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liver.deleonm\Desktop\TESTING\"/>
    </mc:Choice>
  </mc:AlternateContent>
  <xr:revisionPtr revIDLastSave="0" documentId="13_ncr:1_{6D20F8F9-81B0-4685-92F5-F5FD4EE372B6}" xr6:coauthVersionLast="47" xr6:coauthVersionMax="47" xr10:uidLastSave="{00000000-0000-0000-0000-000000000000}"/>
  <bookViews>
    <workbookView xWindow="-120" yWindow="-120" windowWidth="20730" windowHeight="11040" tabRatio="908" activeTab="11" xr2:uid="{00000000-000D-0000-FFFF-FFFF00000000}"/>
  </bookViews>
  <sheets>
    <sheet name="PUNTOS 2021" sheetId="42" r:id="rId1"/>
    <sheet name="Jefe" sheetId="50" r:id="rId2"/>
    <sheet name="SUP" sheetId="48" r:id="rId3"/>
    <sheet name="Rango-Bono" sheetId="49" state="hidden" r:id="rId4"/>
    <sheet name="COMISIONES" sheetId="31" r:id="rId5"/>
    <sheet name="TC" sheetId="2" r:id="rId6"/>
    <sheet name="ADICIONALES" sheetId="8" r:id="rId7"/>
    <sheet name="PRF" sheetId="9" r:id="rId8"/>
    <sheet name="TP" sheetId="16" state="hidden" r:id="rId9"/>
    <sheet name="S.FUN" sheetId="29" state="hidden" r:id="rId10"/>
    <sheet name="CARGOS A" sheetId="10" state="hidden" r:id="rId11"/>
    <sheet name="COMPASS" sheetId="11" r:id="rId12"/>
    <sheet name="CUENTAS" sheetId="20" r:id="rId13"/>
    <sheet name="KASH" sheetId="47" r:id="rId14"/>
    <sheet name="DESC TC" sheetId="13" r:id="rId15"/>
    <sheet name="DESC ADICIONALES" sheetId="14" r:id="rId16"/>
    <sheet name="DESC PRF" sheetId="51" r:id="rId17"/>
  </sheets>
  <definedNames>
    <definedName name="_xlnm._FilterDatabase" localSheetId="6" hidden="1">ADICIONALES!$A$1:$L$122</definedName>
    <definedName name="_xlnm._FilterDatabase" localSheetId="10" hidden="1">'CARGOS A'!$A$1:$O$37</definedName>
    <definedName name="_xlnm._FilterDatabase" localSheetId="4" hidden="1">COMISIONES!$A$1:$BD$33</definedName>
    <definedName name="_xlnm._FilterDatabase" localSheetId="11" hidden="1">COMPASS!$A$1:$P$588</definedName>
    <definedName name="_xlnm._FilterDatabase" localSheetId="12" hidden="1">CUENTAS!$A$1:$M$286</definedName>
    <definedName name="_xlnm._FilterDatabase" localSheetId="15" hidden="1">'DESC ADICIONALES'!$A$1:$N$9</definedName>
    <definedName name="_xlnm._FilterDatabase" localSheetId="14" hidden="1">'DESC TC'!$A$1:$W$20</definedName>
    <definedName name="_xlnm._FilterDatabase" localSheetId="13" hidden="1">KASH!$A$1:$H$137</definedName>
    <definedName name="_xlnm._FilterDatabase" localSheetId="7" hidden="1">PRF!$A$1:$M$362</definedName>
    <definedName name="_xlnm._FilterDatabase" localSheetId="0" hidden="1">'PUNTOS 2021'!$I$2:$M$102</definedName>
    <definedName name="_xlnm._FilterDatabase" localSheetId="9" hidden="1">S.FUN!$A$1:$L$8</definedName>
    <definedName name="_xlnm._FilterDatabase" localSheetId="5" hidden="1">TC!$A$1:$AB$1009</definedName>
    <definedName name="_xlnm._FilterDatabase" localSheetId="8" hidden="1">TP!$A$1:$L$35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2" l="1"/>
  <c r="J6" i="31"/>
  <c r="W3" i="13"/>
  <c r="J8" i="31"/>
  <c r="O465" i="11"/>
  <c r="O448" i="11"/>
  <c r="O418" i="11"/>
  <c r="D38" i="47"/>
  <c r="C38" i="47"/>
  <c r="D37" i="47"/>
  <c r="C37" i="47"/>
  <c r="D36" i="47"/>
  <c r="C36" i="47"/>
  <c r="D35" i="47"/>
  <c r="C35" i="47"/>
  <c r="D34" i="47"/>
  <c r="C34" i="47"/>
  <c r="D33" i="47"/>
  <c r="C33" i="47"/>
  <c r="D32" i="47"/>
  <c r="C32" i="47"/>
  <c r="D31" i="47"/>
  <c r="C31" i="47"/>
  <c r="D30" i="47"/>
  <c r="C30" i="47"/>
  <c r="D29" i="47"/>
  <c r="C29" i="47"/>
  <c r="D28" i="47"/>
  <c r="C28" i="47"/>
  <c r="D27" i="47"/>
  <c r="C27" i="47"/>
  <c r="D26" i="47"/>
  <c r="C26" i="47"/>
  <c r="D25" i="47"/>
  <c r="C25" i="47"/>
  <c r="D24" i="47"/>
  <c r="C24" i="47"/>
  <c r="D23" i="47"/>
  <c r="C23" i="47"/>
  <c r="D22" i="47"/>
  <c r="C22" i="47"/>
  <c r="D21" i="47"/>
  <c r="C21" i="47"/>
  <c r="D20" i="47"/>
  <c r="C20" i="47"/>
  <c r="D19" i="47"/>
  <c r="C19" i="47"/>
  <c r="D18" i="47"/>
  <c r="C18" i="47"/>
  <c r="D17" i="47"/>
  <c r="C17" i="47"/>
  <c r="D16" i="47"/>
  <c r="C16" i="47"/>
  <c r="D15" i="47"/>
  <c r="C15" i="47"/>
  <c r="D14" i="47"/>
  <c r="C14" i="47"/>
  <c r="D13" i="47"/>
  <c r="C13" i="47"/>
  <c r="D12" i="47"/>
  <c r="C12" i="47"/>
  <c r="D11" i="47"/>
  <c r="C11" i="47"/>
  <c r="D10" i="47"/>
  <c r="C10" i="47"/>
  <c r="D9" i="47"/>
  <c r="C9" i="47"/>
  <c r="D8" i="47"/>
  <c r="C8" i="47"/>
  <c r="D7" i="47"/>
  <c r="C7" i="47"/>
  <c r="D6" i="47"/>
  <c r="C6" i="47"/>
  <c r="D5" i="47"/>
  <c r="C5" i="47"/>
  <c r="D4" i="47"/>
  <c r="C4" i="47"/>
  <c r="D3" i="47"/>
  <c r="C3" i="47"/>
  <c r="H38" i="47"/>
  <c r="H37" i="47"/>
  <c r="H36" i="47"/>
  <c r="H35" i="47"/>
  <c r="H34" i="47"/>
  <c r="H33" i="47"/>
  <c r="H32" i="47"/>
  <c r="H31" i="47"/>
  <c r="H30" i="47"/>
  <c r="H29" i="47"/>
  <c r="P588" i="11"/>
  <c r="P587" i="11"/>
  <c r="P586" i="11"/>
  <c r="P585" i="11"/>
  <c r="P584" i="11"/>
  <c r="P583" i="11"/>
  <c r="P582" i="11"/>
  <c r="P581" i="11"/>
  <c r="P580" i="11"/>
  <c r="P579" i="11"/>
  <c r="P578" i="11"/>
  <c r="P577" i="11"/>
  <c r="P576" i="11"/>
  <c r="P332" i="11"/>
  <c r="P76" i="11"/>
  <c r="P393" i="11"/>
  <c r="P297" i="11"/>
  <c r="P243" i="11"/>
  <c r="P303" i="11"/>
  <c r="P389" i="11"/>
  <c r="P246" i="11"/>
  <c r="P31" i="11"/>
  <c r="P210" i="11"/>
  <c r="P392" i="11"/>
  <c r="P375" i="11"/>
  <c r="P384" i="11"/>
  <c r="P386" i="11"/>
  <c r="P354" i="11"/>
  <c r="P341" i="11"/>
  <c r="P186" i="11"/>
  <c r="P202" i="11"/>
  <c r="P316" i="11"/>
  <c r="P349" i="11"/>
  <c r="P236" i="11"/>
  <c r="P86" i="11"/>
  <c r="P571" i="11"/>
  <c r="P77" i="11"/>
  <c r="P569" i="11"/>
  <c r="P359" i="11"/>
  <c r="P413" i="11"/>
  <c r="P55" i="11"/>
  <c r="P273" i="11"/>
  <c r="P564" i="11"/>
  <c r="P390" i="11"/>
  <c r="P400" i="11"/>
  <c r="P554" i="11"/>
  <c r="P391" i="11"/>
  <c r="P254" i="11"/>
  <c r="P51" i="11"/>
  <c r="P289" i="11"/>
  <c r="P195" i="11"/>
  <c r="P300" i="11"/>
  <c r="P56" i="11"/>
  <c r="P313" i="11"/>
  <c r="P377" i="11"/>
  <c r="P114" i="11"/>
  <c r="P9" i="11"/>
  <c r="P358" i="11"/>
  <c r="P312" i="11"/>
  <c r="P130" i="11"/>
  <c r="P570" i="11"/>
  <c r="P256" i="11"/>
  <c r="P207" i="11"/>
  <c r="P58" i="11"/>
  <c r="P57" i="11"/>
  <c r="P43" i="11"/>
  <c r="P189" i="11"/>
  <c r="P249" i="11"/>
  <c r="P379" i="11"/>
  <c r="P567" i="11"/>
  <c r="P321" i="11"/>
  <c r="P40" i="11"/>
  <c r="P90" i="11"/>
  <c r="P334" i="11"/>
  <c r="P286" i="11"/>
  <c r="P216" i="11"/>
  <c r="P102" i="11"/>
  <c r="P223" i="11"/>
  <c r="P244" i="11"/>
  <c r="P322" i="11"/>
  <c r="P3" i="11"/>
  <c r="P5" i="11"/>
  <c r="P4" i="11"/>
  <c r="P2" i="11"/>
  <c r="P39" i="11"/>
  <c r="P397" i="11"/>
  <c r="P8" i="11"/>
  <c r="P7" i="11"/>
  <c r="P97" i="11"/>
  <c r="P211" i="11"/>
  <c r="P165" i="11"/>
  <c r="P572" i="11"/>
  <c r="P140" i="11"/>
  <c r="P225" i="11"/>
  <c r="P338" i="11"/>
  <c r="P101" i="11"/>
  <c r="P419" i="11"/>
  <c r="P299" i="11"/>
  <c r="P376" i="11"/>
  <c r="P24" i="11"/>
  <c r="P234" i="11"/>
  <c r="P137" i="11"/>
  <c r="P227" i="11"/>
  <c r="P200" i="11"/>
  <c r="P553" i="11"/>
  <c r="P134" i="11"/>
  <c r="P12" i="11"/>
  <c r="P383" i="11"/>
  <c r="P415" i="11"/>
  <c r="P25" i="11"/>
  <c r="P179" i="11"/>
  <c r="P215" i="11"/>
  <c r="P405" i="11"/>
  <c r="P115" i="11"/>
  <c r="P93" i="11"/>
  <c r="P398" i="11"/>
  <c r="P34" i="11"/>
  <c r="P251" i="11"/>
  <c r="P113" i="11"/>
  <c r="P123" i="11"/>
  <c r="P81" i="11"/>
  <c r="P308" i="11"/>
  <c r="P198" i="11"/>
  <c r="P104" i="11"/>
  <c r="P191" i="11"/>
  <c r="P319" i="11"/>
  <c r="P157" i="11"/>
  <c r="P552" i="11"/>
  <c r="P262" i="11"/>
  <c r="P162" i="11"/>
  <c r="P183" i="11"/>
  <c r="P19" i="11"/>
  <c r="P14" i="11"/>
  <c r="P42" i="11"/>
  <c r="P565" i="11"/>
  <c r="P120" i="11"/>
  <c r="P22" i="11"/>
  <c r="P232" i="11"/>
  <c r="P559" i="11"/>
  <c r="P110" i="11"/>
  <c r="P264" i="11"/>
  <c r="P556" i="11"/>
  <c r="P352" i="11"/>
  <c r="P260" i="11"/>
  <c r="P403" i="11"/>
  <c r="P150" i="11"/>
  <c r="P298" i="11"/>
  <c r="P388" i="11"/>
  <c r="P91" i="11"/>
  <c r="P292" i="11"/>
  <c r="P368" i="11"/>
  <c r="P284" i="11"/>
  <c r="P36" i="11"/>
  <c r="P80" i="11"/>
  <c r="P378" i="11"/>
  <c r="P185" i="11"/>
  <c r="P353" i="11"/>
  <c r="P330" i="11"/>
  <c r="P259" i="11"/>
  <c r="P188" i="11"/>
  <c r="P199" i="11"/>
  <c r="P240" i="11"/>
  <c r="P351" i="11"/>
  <c r="P214" i="11"/>
  <c r="P20" i="11"/>
  <c r="P317" i="11"/>
  <c r="P197" i="11"/>
  <c r="P49" i="11"/>
  <c r="P409" i="11"/>
  <c r="P169" i="11"/>
  <c r="P257" i="11"/>
  <c r="P133" i="11"/>
  <c r="P279" i="11"/>
  <c r="P144" i="11"/>
  <c r="P32" i="11"/>
  <c r="P231" i="11"/>
  <c r="P94" i="11"/>
  <c r="P252" i="11"/>
  <c r="P98" i="11"/>
  <c r="P173" i="11"/>
  <c r="P333" i="11"/>
  <c r="P172" i="11"/>
  <c r="P295" i="11"/>
  <c r="P280" i="11"/>
  <c r="P126" i="11"/>
  <c r="P11" i="11"/>
  <c r="P287" i="11"/>
  <c r="P380" i="11"/>
  <c r="P151" i="11"/>
  <c r="P568" i="11"/>
  <c r="P344" i="11"/>
  <c r="P237" i="11"/>
  <c r="P209" i="11"/>
  <c r="P26" i="11"/>
  <c r="P212" i="11"/>
  <c r="P46" i="11"/>
  <c r="P360" i="11"/>
  <c r="P148" i="11"/>
  <c r="P158" i="11"/>
  <c r="P63" i="11"/>
  <c r="P13" i="11"/>
  <c r="P345" i="11"/>
  <c r="P111" i="11"/>
  <c r="P116" i="11"/>
  <c r="P350" i="11"/>
  <c r="P235" i="11"/>
  <c r="P106" i="11"/>
  <c r="P6" i="11"/>
  <c r="P385" i="11"/>
  <c r="P342" i="11"/>
  <c r="P410" i="11"/>
  <c r="P78" i="11"/>
  <c r="P181" i="11"/>
  <c r="P206" i="11"/>
  <c r="P138" i="11"/>
  <c r="P241" i="11"/>
  <c r="P45" i="11"/>
  <c r="P194" i="11"/>
  <c r="P70" i="11"/>
  <c r="P37" i="11"/>
  <c r="P82" i="11"/>
  <c r="P263" i="11"/>
  <c r="P100" i="11"/>
  <c r="P67" i="11"/>
  <c r="P208" i="11"/>
  <c r="P253" i="11"/>
  <c r="P68" i="11"/>
  <c r="P128" i="11"/>
  <c r="P213" i="11"/>
  <c r="P52" i="11"/>
  <c r="P242" i="11"/>
  <c r="P421" i="11"/>
  <c r="P417" i="11"/>
  <c r="P182" i="11"/>
  <c r="P187" i="11"/>
  <c r="P318" i="11"/>
  <c r="P153" i="11"/>
  <c r="P160" i="11"/>
  <c r="P96" i="11"/>
  <c r="P294" i="11"/>
  <c r="P196" i="11"/>
  <c r="P374" i="11"/>
  <c r="P329" i="11"/>
  <c r="P155" i="11"/>
  <c r="P41" i="11"/>
  <c r="P118" i="11"/>
  <c r="P283" i="11"/>
  <c r="P233" i="11"/>
  <c r="P59" i="11"/>
  <c r="P79" i="11"/>
  <c r="P17" i="11"/>
  <c r="P356" i="11"/>
  <c r="P363" i="11"/>
  <c r="P267" i="11"/>
  <c r="P339" i="11"/>
  <c r="P274" i="11"/>
  <c r="P346" i="11"/>
  <c r="P125" i="11"/>
  <c r="P84" i="11"/>
  <c r="P230" i="11"/>
  <c r="P575" i="11"/>
  <c r="P549" i="11"/>
  <c r="P548" i="11"/>
  <c r="P547" i="11"/>
  <c r="P546" i="11"/>
  <c r="P545" i="11"/>
  <c r="P544" i="11"/>
  <c r="P543" i="11"/>
  <c r="P542" i="11"/>
  <c r="P541" i="11"/>
  <c r="P540" i="11"/>
  <c r="P539" i="11"/>
  <c r="P538" i="11"/>
  <c r="P537" i="11"/>
  <c r="P536" i="11"/>
  <c r="P132" i="11"/>
  <c r="P535" i="11"/>
  <c r="P534" i="11"/>
  <c r="P533" i="11"/>
  <c r="P532" i="11"/>
  <c r="P531" i="11"/>
  <c r="P530" i="11"/>
  <c r="P529" i="11"/>
  <c r="P528" i="11"/>
  <c r="P527" i="11"/>
  <c r="P526" i="11"/>
  <c r="P525" i="11"/>
  <c r="P524" i="11"/>
  <c r="P523" i="11"/>
  <c r="P522" i="11"/>
  <c r="P521" i="11"/>
  <c r="P520" i="11"/>
  <c r="P519" i="11"/>
  <c r="P518" i="11"/>
  <c r="P517" i="11"/>
  <c r="P30" i="11"/>
  <c r="P141" i="11"/>
  <c r="P291" i="11"/>
  <c r="P369" i="11"/>
  <c r="P355" i="11"/>
  <c r="P516" i="11"/>
  <c r="P515" i="11"/>
  <c r="P514" i="11"/>
  <c r="P513" i="11"/>
  <c r="P512" i="11"/>
  <c r="P163" i="11"/>
  <c r="P171" i="11"/>
  <c r="P247" i="11"/>
  <c r="P328" i="11"/>
  <c r="P511" i="11"/>
  <c r="P510" i="11"/>
  <c r="P509" i="11"/>
  <c r="P508" i="11"/>
  <c r="P506" i="11"/>
  <c r="P505" i="11"/>
  <c r="P504" i="11"/>
  <c r="P503" i="11"/>
  <c r="P502" i="11"/>
  <c r="P501" i="11"/>
  <c r="P500" i="11"/>
  <c r="P499" i="11"/>
  <c r="P498" i="11"/>
  <c r="P497" i="11"/>
  <c r="P496" i="11"/>
  <c r="P495" i="11"/>
  <c r="P494" i="11"/>
  <c r="P493" i="11"/>
  <c r="P492" i="11"/>
  <c r="P491" i="11"/>
  <c r="P490" i="11"/>
  <c r="P489" i="11"/>
  <c r="P488" i="11"/>
  <c r="P487" i="11"/>
  <c r="P486" i="11"/>
  <c r="P485" i="11"/>
  <c r="P484" i="11"/>
  <c r="P364" i="11"/>
  <c r="P551" i="11"/>
  <c r="P483" i="11"/>
  <c r="P482" i="11"/>
  <c r="P481" i="11"/>
  <c r="P480" i="11"/>
  <c r="P479" i="11"/>
  <c r="P478" i="11"/>
  <c r="P477" i="11"/>
  <c r="P476" i="11"/>
  <c r="P475" i="11"/>
  <c r="P474" i="11"/>
  <c r="P412" i="11"/>
  <c r="P411" i="11"/>
  <c r="P473" i="11"/>
  <c r="P204" i="11"/>
  <c r="P472" i="11"/>
  <c r="P471" i="11"/>
  <c r="P470" i="11"/>
  <c r="P469" i="11"/>
  <c r="P314" i="11"/>
  <c r="P550" i="11"/>
  <c r="P468" i="11"/>
  <c r="P467" i="11"/>
  <c r="P466" i="11"/>
  <c r="P464" i="11"/>
  <c r="P463" i="11"/>
  <c r="P33" i="11"/>
  <c r="P462" i="11"/>
  <c r="P461" i="11"/>
  <c r="P460" i="11"/>
  <c r="P459" i="11"/>
  <c r="P457" i="11"/>
  <c r="P456" i="11"/>
  <c r="P455" i="11"/>
  <c r="P454" i="11"/>
  <c r="P453" i="11"/>
  <c r="P452" i="11"/>
  <c r="P451" i="11"/>
  <c r="P450" i="11"/>
  <c r="P449" i="11"/>
  <c r="P72" i="11"/>
  <c r="P174" i="11"/>
  <c r="P266" i="11"/>
  <c r="P21" i="11"/>
  <c r="P447" i="11"/>
  <c r="P446" i="11"/>
  <c r="P445" i="11"/>
  <c r="P444" i="11"/>
  <c r="P443" i="11"/>
  <c r="P442" i="11"/>
  <c r="P441" i="11"/>
  <c r="P440" i="11"/>
  <c r="P439" i="11"/>
  <c r="P438" i="11"/>
  <c r="P269" i="11"/>
  <c r="P203" i="11"/>
  <c r="P437" i="11"/>
  <c r="P436" i="11"/>
  <c r="P435" i="11"/>
  <c r="P434" i="11"/>
  <c r="P433" i="11"/>
  <c r="P432" i="11"/>
  <c r="P431" i="11"/>
  <c r="P430" i="11"/>
  <c r="P129" i="11"/>
  <c r="P429" i="11"/>
  <c r="P428" i="11"/>
  <c r="P427" i="11"/>
  <c r="P426" i="11"/>
  <c r="P425" i="11"/>
  <c r="P424" i="11"/>
  <c r="P423" i="11"/>
  <c r="P422" i="11"/>
  <c r="P323" i="11"/>
  <c r="P305" i="11"/>
  <c r="P255" i="11"/>
  <c r="P296" i="11"/>
  <c r="P281" i="11"/>
  <c r="P271" i="11"/>
  <c r="P261" i="11"/>
  <c r="P325" i="11"/>
  <c r="P201" i="11"/>
  <c r="P270" i="11"/>
  <c r="P167" i="11"/>
  <c r="P75" i="11"/>
  <c r="P117" i="11"/>
  <c r="P347" i="11"/>
  <c r="P573" i="11"/>
  <c r="P205" i="11"/>
  <c r="P293" i="11"/>
  <c r="P192" i="11"/>
  <c r="P408" i="11"/>
  <c r="P131" i="11"/>
  <c r="P147" i="11"/>
  <c r="P156" i="11"/>
  <c r="P62" i="11"/>
  <c r="P302" i="11"/>
  <c r="P95" i="11"/>
  <c r="P105" i="11"/>
  <c r="P574" i="11"/>
  <c r="P27" i="11"/>
  <c r="P285" i="11"/>
  <c r="P35" i="11"/>
  <c r="P275" i="11"/>
  <c r="P228" i="11"/>
  <c r="P44" i="11"/>
  <c r="P309" i="11"/>
  <c r="P152" i="11"/>
  <c r="P146" i="11"/>
  <c r="P335" i="11"/>
  <c r="P560" i="11"/>
  <c r="P311" i="11"/>
  <c r="P107" i="11"/>
  <c r="P149" i="11"/>
  <c r="P265" i="11"/>
  <c r="P218" i="11"/>
  <c r="P127" i="11"/>
  <c r="P382" i="11"/>
  <c r="P103" i="11"/>
  <c r="P340" i="11"/>
  <c r="P366" i="11"/>
  <c r="P175" i="11"/>
  <c r="P159" i="11"/>
  <c r="P558" i="11"/>
  <c r="P135" i="11"/>
  <c r="P166" i="11"/>
  <c r="P555" i="11"/>
  <c r="P50" i="11"/>
  <c r="P561" i="11"/>
  <c r="P47" i="11"/>
  <c r="P48" i="11"/>
  <c r="P109" i="11"/>
  <c r="P29" i="11"/>
  <c r="P60" i="11"/>
  <c r="P85" i="11"/>
  <c r="P142" i="11"/>
  <c r="P336" i="11"/>
  <c r="P73" i="11"/>
  <c r="P307" i="11"/>
  <c r="P65" i="11"/>
  <c r="P10" i="11"/>
  <c r="P64" i="11"/>
  <c r="P278" i="11"/>
  <c r="P71" i="11"/>
  <c r="P28" i="11"/>
  <c r="P258" i="11"/>
  <c r="P154" i="11"/>
  <c r="P248" i="11"/>
  <c r="P324" i="11"/>
  <c r="P217" i="11"/>
  <c r="P276" i="11"/>
  <c r="P229" i="11"/>
  <c r="P396" i="11"/>
  <c r="P92" i="11"/>
  <c r="P38" i="11"/>
  <c r="P566" i="11"/>
  <c r="P112" i="11"/>
  <c r="P121" i="11"/>
  <c r="P15" i="11"/>
  <c r="P337" i="11"/>
  <c r="P222" i="11"/>
  <c r="P99" i="11"/>
  <c r="P124" i="11"/>
  <c r="P343" i="11"/>
  <c r="P320" i="11"/>
  <c r="P381" i="11"/>
  <c r="P220" i="11"/>
  <c r="P250" i="11"/>
  <c r="P108" i="11"/>
  <c r="P372" i="11"/>
  <c r="P301" i="11"/>
  <c r="P288" i="11"/>
  <c r="P184" i="11"/>
  <c r="P306" i="11"/>
  <c r="P54" i="11"/>
  <c r="P365" i="11"/>
  <c r="P367" i="11"/>
  <c r="P136" i="11"/>
  <c r="P170" i="11"/>
  <c r="P245" i="11"/>
  <c r="P268" i="11"/>
  <c r="P563" i="11"/>
  <c r="P315" i="11"/>
  <c r="P370" i="11"/>
  <c r="P88" i="11"/>
  <c r="P238" i="11"/>
  <c r="P361" i="11"/>
  <c r="P407" i="11"/>
  <c r="P348" i="11"/>
  <c r="P83" i="11"/>
  <c r="P168" i="11"/>
  <c r="P272" i="11"/>
  <c r="P161" i="11"/>
  <c r="P310" i="11"/>
  <c r="P406" i="11"/>
  <c r="P18" i="11"/>
  <c r="P143" i="11"/>
  <c r="P221" i="11"/>
  <c r="P23" i="11"/>
  <c r="P193" i="11"/>
  <c r="P61" i="11"/>
  <c r="P239" i="11"/>
  <c r="P277" i="11"/>
  <c r="P394" i="11"/>
  <c r="P404" i="11"/>
  <c r="P371" i="11"/>
  <c r="P224" i="11"/>
  <c r="P362" i="11"/>
  <c r="P420" i="11"/>
  <c r="P399" i="11"/>
  <c r="P87" i="11"/>
  <c r="P74" i="11"/>
  <c r="P326" i="11"/>
  <c r="P557" i="11"/>
  <c r="P395" i="11"/>
  <c r="P53" i="11"/>
  <c r="P122" i="11"/>
  <c r="P226" i="11"/>
  <c r="P327" i="11"/>
  <c r="P219" i="11"/>
  <c r="P373" i="11"/>
  <c r="P145" i="11"/>
  <c r="P357" i="11"/>
  <c r="P69" i="11"/>
  <c r="P282" i="11"/>
  <c r="P164" i="11"/>
  <c r="P16" i="11"/>
  <c r="P89" i="11"/>
  <c r="P180" i="11"/>
  <c r="P66" i="11"/>
  <c r="P177" i="11"/>
  <c r="P190" i="11"/>
  <c r="P387" i="11"/>
  <c r="P416" i="11"/>
  <c r="P119" i="11"/>
  <c r="P562" i="11"/>
  <c r="P290" i="11"/>
  <c r="P176" i="11"/>
  <c r="P178" i="11"/>
  <c r="M362" i="9"/>
  <c r="L362" i="9"/>
  <c r="M361" i="9"/>
  <c r="L361" i="9"/>
  <c r="M360" i="9"/>
  <c r="L360" i="9"/>
  <c r="M359" i="9"/>
  <c r="L359" i="9"/>
  <c r="M358" i="9"/>
  <c r="L358" i="9"/>
  <c r="M357" i="9"/>
  <c r="L357" i="9"/>
  <c r="M356" i="9"/>
  <c r="L356" i="9"/>
  <c r="M355" i="9"/>
  <c r="L355" i="9"/>
  <c r="M354" i="9"/>
  <c r="L354" i="9"/>
  <c r="M353" i="9"/>
  <c r="L353" i="9"/>
  <c r="M352" i="9"/>
  <c r="L352" i="9"/>
  <c r="M351" i="9"/>
  <c r="L351" i="9"/>
  <c r="M350" i="9"/>
  <c r="L350" i="9"/>
  <c r="M349" i="9"/>
  <c r="L349" i="9"/>
  <c r="M348" i="9"/>
  <c r="L348" i="9"/>
  <c r="M347" i="9"/>
  <c r="L347" i="9"/>
  <c r="M346" i="9"/>
  <c r="L346" i="9"/>
  <c r="M345" i="9"/>
  <c r="L345" i="9"/>
  <c r="M344" i="9"/>
  <c r="L344" i="9"/>
  <c r="M343" i="9"/>
  <c r="L343" i="9"/>
  <c r="M342" i="9"/>
  <c r="L342" i="9"/>
  <c r="M341" i="9"/>
  <c r="L341" i="9"/>
  <c r="M340" i="9"/>
  <c r="L340" i="9"/>
  <c r="M339" i="9"/>
  <c r="L339" i="9"/>
  <c r="M338" i="9"/>
  <c r="L338" i="9"/>
  <c r="M337" i="9"/>
  <c r="L337" i="9"/>
  <c r="M336" i="9"/>
  <c r="L336" i="9"/>
  <c r="M335" i="9"/>
  <c r="L335" i="9"/>
  <c r="M334" i="9"/>
  <c r="L334" i="9"/>
  <c r="M333" i="9"/>
  <c r="L333" i="9"/>
  <c r="M332" i="9"/>
  <c r="L332" i="9"/>
  <c r="M331" i="9"/>
  <c r="L331" i="9"/>
  <c r="M330" i="9"/>
  <c r="L330" i="9"/>
  <c r="M329" i="9"/>
  <c r="L329" i="9"/>
  <c r="M328" i="9"/>
  <c r="L328" i="9"/>
  <c r="M327" i="9"/>
  <c r="L327" i="9"/>
  <c r="M326" i="9"/>
  <c r="L326" i="9"/>
  <c r="M325" i="9"/>
  <c r="L325" i="9"/>
  <c r="M324" i="9"/>
  <c r="L324" i="9"/>
  <c r="M323" i="9"/>
  <c r="L323" i="9"/>
  <c r="M322" i="9"/>
  <c r="L322" i="9"/>
  <c r="M321" i="9"/>
  <c r="L321" i="9"/>
  <c r="M320" i="9"/>
  <c r="L320" i="9"/>
  <c r="M319" i="9"/>
  <c r="L319" i="9"/>
  <c r="M318" i="9"/>
  <c r="L318" i="9"/>
  <c r="M317" i="9"/>
  <c r="L317" i="9"/>
  <c r="M316" i="9"/>
  <c r="L316" i="9"/>
  <c r="M315" i="9"/>
  <c r="L315" i="9"/>
  <c r="M314" i="9"/>
  <c r="L314" i="9"/>
  <c r="M313" i="9"/>
  <c r="L313" i="9"/>
  <c r="M312" i="9"/>
  <c r="L312" i="9"/>
  <c r="M311" i="9"/>
  <c r="L311" i="9"/>
  <c r="M310" i="9"/>
  <c r="L310" i="9"/>
  <c r="M309" i="9"/>
  <c r="L309" i="9"/>
  <c r="M308" i="9"/>
  <c r="L308" i="9"/>
  <c r="M307" i="9"/>
  <c r="L307" i="9"/>
  <c r="M306" i="9"/>
  <c r="L306" i="9"/>
  <c r="M305" i="9"/>
  <c r="L305" i="9"/>
  <c r="M304" i="9"/>
  <c r="L304" i="9"/>
  <c r="M303" i="9"/>
  <c r="L303" i="9"/>
  <c r="M302" i="9"/>
  <c r="L302" i="9"/>
  <c r="M301" i="9"/>
  <c r="L301" i="9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A33" i="31"/>
  <c r="BA32" i="31"/>
  <c r="BA31" i="31"/>
  <c r="BA30" i="31"/>
  <c r="BA29" i="31"/>
  <c r="BA28" i="31"/>
  <c r="BA27" i="31"/>
  <c r="BA26" i="31"/>
  <c r="BA25" i="31"/>
  <c r="BA24" i="31"/>
  <c r="BA23" i="31"/>
  <c r="BA22" i="31"/>
  <c r="BA21" i="31"/>
  <c r="BA20" i="31"/>
  <c r="BA19" i="31"/>
  <c r="BA18" i="31"/>
  <c r="BA17" i="31"/>
  <c r="BA16" i="31"/>
  <c r="BA15" i="31"/>
  <c r="BA14" i="31"/>
  <c r="BA13" i="31"/>
  <c r="BA12" i="31"/>
  <c r="BA11" i="31"/>
  <c r="BA10" i="31"/>
  <c r="BA9" i="31"/>
  <c r="BA8" i="31"/>
  <c r="BA7" i="31"/>
  <c r="BA6" i="31"/>
  <c r="BA5" i="31"/>
  <c r="BA4" i="31"/>
  <c r="BA3" i="31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2" i="13"/>
  <c r="BB30" i="31" l="1"/>
  <c r="AZ30" i="31"/>
  <c r="AY30" i="31"/>
  <c r="AJ30" i="31"/>
  <c r="AL30" i="31" s="1"/>
  <c r="AG30" i="31"/>
  <c r="AI30" i="31" s="1"/>
  <c r="AC30" i="31"/>
  <c r="AF30" i="31" s="1"/>
  <c r="Y30" i="31"/>
  <c r="AA30" i="31" s="1"/>
  <c r="V30" i="31"/>
  <c r="Q30" i="31"/>
  <c r="P30" i="31"/>
  <c r="O30" i="31"/>
  <c r="N30" i="31"/>
  <c r="L30" i="31"/>
  <c r="K30" i="31"/>
  <c r="V678" i="2" s="1"/>
  <c r="J30" i="31"/>
  <c r="AG2" i="31"/>
  <c r="S5" i="48"/>
  <c r="X1008" i="2"/>
  <c r="Y1008" i="2" s="1"/>
  <c r="X1007" i="2"/>
  <c r="Y1007" i="2" s="1"/>
  <c r="X1006" i="2"/>
  <c r="Y1006" i="2" s="1"/>
  <c r="X1005" i="2"/>
  <c r="Y1005" i="2" s="1"/>
  <c r="X1004" i="2"/>
  <c r="Y1004" i="2" s="1"/>
  <c r="X1003" i="2"/>
  <c r="Y1003" i="2" s="1"/>
  <c r="X1002" i="2"/>
  <c r="Y1002" i="2" s="1"/>
  <c r="X1001" i="2"/>
  <c r="Y1001" i="2" s="1"/>
  <c r="X1000" i="2"/>
  <c r="Y1000" i="2" s="1"/>
  <c r="X999" i="2"/>
  <c r="Y999" i="2" s="1"/>
  <c r="X998" i="2"/>
  <c r="Y998" i="2" s="1"/>
  <c r="X997" i="2"/>
  <c r="Y997" i="2" s="1"/>
  <c r="X996" i="2"/>
  <c r="Y996" i="2" s="1"/>
  <c r="X995" i="2"/>
  <c r="Y995" i="2" s="1"/>
  <c r="X994" i="2"/>
  <c r="Y994" i="2" s="1"/>
  <c r="X993" i="2"/>
  <c r="Y993" i="2" s="1"/>
  <c r="X992" i="2"/>
  <c r="Y992" i="2" s="1"/>
  <c r="X991" i="2"/>
  <c r="Y991" i="2" s="1"/>
  <c r="X990" i="2"/>
  <c r="Y990" i="2" s="1"/>
  <c r="X989" i="2"/>
  <c r="Y989" i="2" s="1"/>
  <c r="X988" i="2"/>
  <c r="Y988" i="2" s="1"/>
  <c r="X987" i="2"/>
  <c r="Y987" i="2" s="1"/>
  <c r="X986" i="2"/>
  <c r="Y986" i="2" s="1"/>
  <c r="X985" i="2"/>
  <c r="Y985" i="2" s="1"/>
  <c r="X984" i="2"/>
  <c r="Y984" i="2" s="1"/>
  <c r="X983" i="2"/>
  <c r="Y983" i="2" s="1"/>
  <c r="X982" i="2"/>
  <c r="Y982" i="2" s="1"/>
  <c r="X981" i="2"/>
  <c r="Y981" i="2" s="1"/>
  <c r="X980" i="2"/>
  <c r="Y980" i="2" s="1"/>
  <c r="X979" i="2"/>
  <c r="Y979" i="2" s="1"/>
  <c r="X978" i="2"/>
  <c r="Y978" i="2" s="1"/>
  <c r="X977" i="2"/>
  <c r="Y977" i="2" s="1"/>
  <c r="X976" i="2"/>
  <c r="Y976" i="2" s="1"/>
  <c r="X975" i="2"/>
  <c r="Y975" i="2" s="1"/>
  <c r="X974" i="2"/>
  <c r="Y974" i="2" s="1"/>
  <c r="X973" i="2"/>
  <c r="Y973" i="2" s="1"/>
  <c r="X972" i="2"/>
  <c r="Y972" i="2" s="1"/>
  <c r="X971" i="2"/>
  <c r="Y971" i="2" s="1"/>
  <c r="X970" i="2"/>
  <c r="Y970" i="2" s="1"/>
  <c r="X969" i="2"/>
  <c r="Y969" i="2" s="1"/>
  <c r="X968" i="2"/>
  <c r="Y968" i="2" s="1"/>
  <c r="X967" i="2"/>
  <c r="Y967" i="2" s="1"/>
  <c r="X966" i="2"/>
  <c r="Y966" i="2" s="1"/>
  <c r="X965" i="2"/>
  <c r="Y965" i="2" s="1"/>
  <c r="X964" i="2"/>
  <c r="Y964" i="2" s="1"/>
  <c r="X963" i="2"/>
  <c r="Y963" i="2" s="1"/>
  <c r="X962" i="2"/>
  <c r="Y962" i="2" s="1"/>
  <c r="X961" i="2"/>
  <c r="Y961" i="2" s="1"/>
  <c r="X960" i="2"/>
  <c r="Y960" i="2" s="1"/>
  <c r="X959" i="2"/>
  <c r="Y959" i="2" s="1"/>
  <c r="X958" i="2"/>
  <c r="Y958" i="2" s="1"/>
  <c r="X957" i="2"/>
  <c r="Y957" i="2" s="1"/>
  <c r="X956" i="2"/>
  <c r="Y956" i="2" s="1"/>
  <c r="X955" i="2"/>
  <c r="Y955" i="2" s="1"/>
  <c r="X954" i="2"/>
  <c r="Y954" i="2" s="1"/>
  <c r="X953" i="2"/>
  <c r="Y953" i="2" s="1"/>
  <c r="X952" i="2"/>
  <c r="Y952" i="2" s="1"/>
  <c r="X951" i="2"/>
  <c r="Y951" i="2" s="1"/>
  <c r="X950" i="2"/>
  <c r="Y950" i="2" s="1"/>
  <c r="X949" i="2"/>
  <c r="Y949" i="2" s="1"/>
  <c r="X948" i="2"/>
  <c r="Y948" i="2" s="1"/>
  <c r="X947" i="2"/>
  <c r="Y947" i="2" s="1"/>
  <c r="X946" i="2"/>
  <c r="Y946" i="2" s="1"/>
  <c r="X945" i="2"/>
  <c r="Y945" i="2" s="1"/>
  <c r="X944" i="2"/>
  <c r="Y944" i="2" s="1"/>
  <c r="X943" i="2"/>
  <c r="Y943" i="2" s="1"/>
  <c r="X942" i="2"/>
  <c r="Y942" i="2" s="1"/>
  <c r="X941" i="2"/>
  <c r="Y941" i="2" s="1"/>
  <c r="X940" i="2"/>
  <c r="Y940" i="2" s="1"/>
  <c r="X939" i="2"/>
  <c r="Y939" i="2" s="1"/>
  <c r="X938" i="2"/>
  <c r="Y938" i="2" s="1"/>
  <c r="X937" i="2"/>
  <c r="Y937" i="2" s="1"/>
  <c r="X936" i="2"/>
  <c r="Y936" i="2" s="1"/>
  <c r="X935" i="2"/>
  <c r="Y935" i="2" s="1"/>
  <c r="X934" i="2"/>
  <c r="Y934" i="2" s="1"/>
  <c r="X933" i="2"/>
  <c r="Y933" i="2" s="1"/>
  <c r="X932" i="2"/>
  <c r="Y932" i="2" s="1"/>
  <c r="X931" i="2"/>
  <c r="Y931" i="2" s="1"/>
  <c r="X930" i="2"/>
  <c r="Y930" i="2" s="1"/>
  <c r="X929" i="2"/>
  <c r="Y929" i="2" s="1"/>
  <c r="X928" i="2"/>
  <c r="Y928" i="2" s="1"/>
  <c r="X927" i="2"/>
  <c r="Y927" i="2" s="1"/>
  <c r="X926" i="2"/>
  <c r="Y926" i="2" s="1"/>
  <c r="X925" i="2"/>
  <c r="Y925" i="2" s="1"/>
  <c r="X924" i="2"/>
  <c r="Y924" i="2" s="1"/>
  <c r="X923" i="2"/>
  <c r="Y923" i="2" s="1"/>
  <c r="X922" i="2"/>
  <c r="Y922" i="2" s="1"/>
  <c r="X921" i="2"/>
  <c r="Y921" i="2" s="1"/>
  <c r="X920" i="2"/>
  <c r="Y920" i="2" s="1"/>
  <c r="X919" i="2"/>
  <c r="Y919" i="2" s="1"/>
  <c r="X918" i="2"/>
  <c r="Y918" i="2" s="1"/>
  <c r="X917" i="2"/>
  <c r="Y917" i="2" s="1"/>
  <c r="X916" i="2"/>
  <c r="Y916" i="2" s="1"/>
  <c r="X915" i="2"/>
  <c r="Y915" i="2" s="1"/>
  <c r="X914" i="2"/>
  <c r="Y914" i="2" s="1"/>
  <c r="X913" i="2"/>
  <c r="Y913" i="2" s="1"/>
  <c r="X912" i="2"/>
  <c r="Y912" i="2" s="1"/>
  <c r="X911" i="2"/>
  <c r="Y911" i="2" s="1"/>
  <c r="X910" i="2"/>
  <c r="Y910" i="2" s="1"/>
  <c r="X909" i="2"/>
  <c r="Y909" i="2" s="1"/>
  <c r="X908" i="2"/>
  <c r="Y908" i="2" s="1"/>
  <c r="X907" i="2"/>
  <c r="Y907" i="2" s="1"/>
  <c r="X906" i="2"/>
  <c r="Y906" i="2" s="1"/>
  <c r="X905" i="2"/>
  <c r="Y905" i="2" s="1"/>
  <c r="X904" i="2"/>
  <c r="Y904" i="2" s="1"/>
  <c r="X903" i="2"/>
  <c r="Y903" i="2" s="1"/>
  <c r="X902" i="2"/>
  <c r="Y902" i="2" s="1"/>
  <c r="X901" i="2"/>
  <c r="Y901" i="2" s="1"/>
  <c r="X900" i="2"/>
  <c r="Y900" i="2" s="1"/>
  <c r="X899" i="2"/>
  <c r="Y899" i="2" s="1"/>
  <c r="X898" i="2"/>
  <c r="Y898" i="2" s="1"/>
  <c r="X897" i="2"/>
  <c r="Y897" i="2" s="1"/>
  <c r="X896" i="2"/>
  <c r="Y896" i="2" s="1"/>
  <c r="X895" i="2"/>
  <c r="Y895" i="2" s="1"/>
  <c r="X894" i="2"/>
  <c r="Y894" i="2" s="1"/>
  <c r="X893" i="2"/>
  <c r="Y893" i="2" s="1"/>
  <c r="X892" i="2"/>
  <c r="Y892" i="2" s="1"/>
  <c r="X891" i="2"/>
  <c r="Y891" i="2" s="1"/>
  <c r="X890" i="2"/>
  <c r="Y890" i="2" s="1"/>
  <c r="X889" i="2"/>
  <c r="Y889" i="2" s="1"/>
  <c r="X888" i="2"/>
  <c r="Y888" i="2" s="1"/>
  <c r="X887" i="2"/>
  <c r="Y887" i="2" s="1"/>
  <c r="X886" i="2"/>
  <c r="Y886" i="2" s="1"/>
  <c r="X885" i="2"/>
  <c r="Y885" i="2" s="1"/>
  <c r="X884" i="2"/>
  <c r="Y884" i="2" s="1"/>
  <c r="X883" i="2"/>
  <c r="Y883" i="2" s="1"/>
  <c r="X882" i="2"/>
  <c r="Y882" i="2" s="1"/>
  <c r="X881" i="2"/>
  <c r="Y881" i="2" s="1"/>
  <c r="X880" i="2"/>
  <c r="Y880" i="2" s="1"/>
  <c r="X879" i="2"/>
  <c r="Y879" i="2" s="1"/>
  <c r="X878" i="2"/>
  <c r="Y878" i="2" s="1"/>
  <c r="X877" i="2"/>
  <c r="Y877" i="2" s="1"/>
  <c r="X876" i="2"/>
  <c r="Y876" i="2" s="1"/>
  <c r="X875" i="2"/>
  <c r="Y875" i="2" s="1"/>
  <c r="X874" i="2"/>
  <c r="Y874" i="2" s="1"/>
  <c r="X873" i="2"/>
  <c r="Y873" i="2" s="1"/>
  <c r="X872" i="2"/>
  <c r="Y872" i="2" s="1"/>
  <c r="X871" i="2"/>
  <c r="Y871" i="2" s="1"/>
  <c r="X870" i="2"/>
  <c r="Y870" i="2" s="1"/>
  <c r="X869" i="2"/>
  <c r="Y869" i="2" s="1"/>
  <c r="X868" i="2"/>
  <c r="Y868" i="2" s="1"/>
  <c r="X867" i="2"/>
  <c r="Y867" i="2" s="1"/>
  <c r="X866" i="2"/>
  <c r="Y866" i="2" s="1"/>
  <c r="X865" i="2"/>
  <c r="Y865" i="2" s="1"/>
  <c r="X864" i="2"/>
  <c r="Y864" i="2" s="1"/>
  <c r="X863" i="2"/>
  <c r="Y863" i="2" s="1"/>
  <c r="X862" i="2"/>
  <c r="Y862" i="2" s="1"/>
  <c r="X861" i="2"/>
  <c r="Y861" i="2" s="1"/>
  <c r="X860" i="2"/>
  <c r="Y860" i="2" s="1"/>
  <c r="X859" i="2"/>
  <c r="Y859" i="2" s="1"/>
  <c r="X858" i="2"/>
  <c r="Y858" i="2" s="1"/>
  <c r="X857" i="2"/>
  <c r="Y857" i="2" s="1"/>
  <c r="X856" i="2"/>
  <c r="Y856" i="2" s="1"/>
  <c r="X855" i="2"/>
  <c r="Y855" i="2" s="1"/>
  <c r="X854" i="2"/>
  <c r="Y854" i="2" s="1"/>
  <c r="X853" i="2"/>
  <c r="Y853" i="2" s="1"/>
  <c r="X852" i="2"/>
  <c r="Y852" i="2" s="1"/>
  <c r="X851" i="2"/>
  <c r="Y851" i="2" s="1"/>
  <c r="X850" i="2"/>
  <c r="Y850" i="2" s="1"/>
  <c r="X849" i="2"/>
  <c r="Y849" i="2" s="1"/>
  <c r="X848" i="2"/>
  <c r="Y848" i="2" s="1"/>
  <c r="X847" i="2"/>
  <c r="Y847" i="2" s="1"/>
  <c r="X846" i="2"/>
  <c r="Y846" i="2" s="1"/>
  <c r="X845" i="2"/>
  <c r="Y845" i="2" s="1"/>
  <c r="X844" i="2"/>
  <c r="Y844" i="2" s="1"/>
  <c r="X843" i="2"/>
  <c r="Y843" i="2" s="1"/>
  <c r="X842" i="2"/>
  <c r="Y842" i="2" s="1"/>
  <c r="X841" i="2"/>
  <c r="Y841" i="2" s="1"/>
  <c r="X840" i="2"/>
  <c r="Y840" i="2" s="1"/>
  <c r="X839" i="2"/>
  <c r="Y839" i="2" s="1"/>
  <c r="X838" i="2"/>
  <c r="Y838" i="2" s="1"/>
  <c r="X837" i="2"/>
  <c r="Y837" i="2" s="1"/>
  <c r="X836" i="2"/>
  <c r="Y836" i="2" s="1"/>
  <c r="X835" i="2"/>
  <c r="Y835" i="2" s="1"/>
  <c r="X834" i="2"/>
  <c r="Y834" i="2" s="1"/>
  <c r="X833" i="2"/>
  <c r="Y833" i="2" s="1"/>
  <c r="X832" i="2"/>
  <c r="Y832" i="2" s="1"/>
  <c r="X831" i="2"/>
  <c r="Y831" i="2" s="1"/>
  <c r="X830" i="2"/>
  <c r="Y830" i="2" s="1"/>
  <c r="X829" i="2"/>
  <c r="Y829" i="2" s="1"/>
  <c r="X828" i="2"/>
  <c r="Y828" i="2" s="1"/>
  <c r="X827" i="2"/>
  <c r="Y827" i="2" s="1"/>
  <c r="X826" i="2"/>
  <c r="Y826" i="2" s="1"/>
  <c r="X825" i="2"/>
  <c r="Y825" i="2" s="1"/>
  <c r="X824" i="2"/>
  <c r="Y824" i="2" s="1"/>
  <c r="X823" i="2"/>
  <c r="Y823" i="2" s="1"/>
  <c r="X822" i="2"/>
  <c r="Y822" i="2" s="1"/>
  <c r="X821" i="2"/>
  <c r="Y821" i="2" s="1"/>
  <c r="X820" i="2"/>
  <c r="Y820" i="2" s="1"/>
  <c r="X819" i="2"/>
  <c r="Y819" i="2" s="1"/>
  <c r="X818" i="2"/>
  <c r="Y818" i="2" s="1"/>
  <c r="X817" i="2"/>
  <c r="Y817" i="2" s="1"/>
  <c r="X816" i="2"/>
  <c r="Y816" i="2" s="1"/>
  <c r="X815" i="2"/>
  <c r="Y815" i="2" s="1"/>
  <c r="X814" i="2"/>
  <c r="Y814" i="2" s="1"/>
  <c r="X813" i="2"/>
  <c r="Y813" i="2" s="1"/>
  <c r="X812" i="2"/>
  <c r="Y812" i="2" s="1"/>
  <c r="X811" i="2"/>
  <c r="Y811" i="2" s="1"/>
  <c r="X810" i="2"/>
  <c r="Y810" i="2" s="1"/>
  <c r="X809" i="2"/>
  <c r="Y809" i="2" s="1"/>
  <c r="X808" i="2"/>
  <c r="Y808" i="2" s="1"/>
  <c r="X807" i="2"/>
  <c r="Y807" i="2" s="1"/>
  <c r="X806" i="2"/>
  <c r="Y806" i="2" s="1"/>
  <c r="X805" i="2"/>
  <c r="Y805" i="2" s="1"/>
  <c r="X804" i="2"/>
  <c r="Y804" i="2" s="1"/>
  <c r="X803" i="2"/>
  <c r="Y803" i="2" s="1"/>
  <c r="X802" i="2"/>
  <c r="Y802" i="2" s="1"/>
  <c r="X801" i="2"/>
  <c r="Y801" i="2" s="1"/>
  <c r="X800" i="2"/>
  <c r="Y800" i="2" s="1"/>
  <c r="X799" i="2"/>
  <c r="Y799" i="2" s="1"/>
  <c r="X798" i="2"/>
  <c r="Y798" i="2" s="1"/>
  <c r="X797" i="2"/>
  <c r="Y797" i="2" s="1"/>
  <c r="X796" i="2"/>
  <c r="Y796" i="2" s="1"/>
  <c r="X795" i="2"/>
  <c r="Y795" i="2" s="1"/>
  <c r="X794" i="2"/>
  <c r="Y794" i="2" s="1"/>
  <c r="X793" i="2"/>
  <c r="Y793" i="2" s="1"/>
  <c r="X792" i="2"/>
  <c r="Y792" i="2" s="1"/>
  <c r="X791" i="2"/>
  <c r="Y791" i="2" s="1"/>
  <c r="X790" i="2"/>
  <c r="Y790" i="2" s="1"/>
  <c r="X789" i="2"/>
  <c r="Y789" i="2" s="1"/>
  <c r="X788" i="2"/>
  <c r="Y788" i="2" s="1"/>
  <c r="X787" i="2"/>
  <c r="Y787" i="2" s="1"/>
  <c r="X786" i="2"/>
  <c r="Y786" i="2" s="1"/>
  <c r="X785" i="2"/>
  <c r="Y785" i="2" s="1"/>
  <c r="X784" i="2"/>
  <c r="Y784" i="2" s="1"/>
  <c r="X783" i="2"/>
  <c r="Y783" i="2" s="1"/>
  <c r="X782" i="2"/>
  <c r="Y782" i="2" s="1"/>
  <c r="X781" i="2"/>
  <c r="Y781" i="2" s="1"/>
  <c r="X780" i="2"/>
  <c r="Y780" i="2" s="1"/>
  <c r="X779" i="2"/>
  <c r="Y779" i="2" s="1"/>
  <c r="X778" i="2"/>
  <c r="Y778" i="2" s="1"/>
  <c r="X777" i="2"/>
  <c r="Y777" i="2" s="1"/>
  <c r="X776" i="2"/>
  <c r="Y776" i="2" s="1"/>
  <c r="X775" i="2"/>
  <c r="Y775" i="2" s="1"/>
  <c r="X774" i="2"/>
  <c r="Y774" i="2" s="1"/>
  <c r="X773" i="2"/>
  <c r="Y773" i="2" s="1"/>
  <c r="X772" i="2"/>
  <c r="Y772" i="2" s="1"/>
  <c r="X771" i="2"/>
  <c r="Y771" i="2" s="1"/>
  <c r="X770" i="2"/>
  <c r="Y770" i="2" s="1"/>
  <c r="X769" i="2"/>
  <c r="Y769" i="2" s="1"/>
  <c r="X768" i="2"/>
  <c r="Y768" i="2" s="1"/>
  <c r="X767" i="2"/>
  <c r="Y767" i="2" s="1"/>
  <c r="X766" i="2"/>
  <c r="Y766" i="2" s="1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1" i="2"/>
  <c r="W700" i="2"/>
  <c r="W699" i="2"/>
  <c r="W697" i="2"/>
  <c r="W696" i="2"/>
  <c r="W694" i="2"/>
  <c r="W692" i="2"/>
  <c r="W691" i="2"/>
  <c r="W690" i="2"/>
  <c r="W687" i="2"/>
  <c r="W686" i="2"/>
  <c r="W684" i="2"/>
  <c r="W683" i="2"/>
  <c r="W682" i="2"/>
  <c r="W680" i="2"/>
  <c r="W678" i="2"/>
  <c r="W677" i="2"/>
  <c r="W676" i="2"/>
  <c r="W675" i="2"/>
  <c r="W674" i="2"/>
  <c r="W673" i="2"/>
  <c r="W672" i="2"/>
  <c r="W671" i="2"/>
  <c r="W670" i="2"/>
  <c r="W669" i="2"/>
  <c r="W668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2" i="2"/>
  <c r="W641" i="2"/>
  <c r="W640" i="2"/>
  <c r="W637" i="2"/>
  <c r="W636" i="2"/>
  <c r="W635" i="2"/>
  <c r="W634" i="2"/>
  <c r="W633" i="2"/>
  <c r="W631" i="2"/>
  <c r="W630" i="2"/>
  <c r="W629" i="2"/>
  <c r="W628" i="2"/>
  <c r="W627" i="2"/>
  <c r="W626" i="2"/>
  <c r="W625" i="2"/>
  <c r="W624" i="2"/>
  <c r="W623" i="2"/>
  <c r="W621" i="2"/>
  <c r="W620" i="2"/>
  <c r="W619" i="2"/>
  <c r="W618" i="2"/>
  <c r="W617" i="2"/>
  <c r="W614" i="2"/>
  <c r="W613" i="2"/>
  <c r="W610" i="2"/>
  <c r="W609" i="2"/>
  <c r="W608" i="2"/>
  <c r="W607" i="2"/>
  <c r="W606" i="2"/>
  <c r="W605" i="2"/>
  <c r="W604" i="2"/>
  <c r="W601" i="2"/>
  <c r="W600" i="2"/>
  <c r="W599" i="2"/>
  <c r="W597" i="2"/>
  <c r="W592" i="2"/>
  <c r="W591" i="2"/>
  <c r="W590" i="2"/>
  <c r="W589" i="2"/>
  <c r="W587" i="2"/>
  <c r="W585" i="2"/>
  <c r="W580" i="2"/>
  <c r="W579" i="2"/>
  <c r="W577" i="2"/>
  <c r="W576" i="2"/>
  <c r="W574" i="2"/>
  <c r="W573" i="2"/>
  <c r="W572" i="2"/>
  <c r="W571" i="2"/>
  <c r="W570" i="2"/>
  <c r="W568" i="2"/>
  <c r="W567" i="2"/>
  <c r="W566" i="2"/>
  <c r="W565" i="2"/>
  <c r="W564" i="2"/>
  <c r="W563" i="2"/>
  <c r="W561" i="2"/>
  <c r="W560" i="2"/>
  <c r="W559" i="2"/>
  <c r="W556" i="2"/>
  <c r="W555" i="2"/>
  <c r="W554" i="2"/>
  <c r="W553" i="2"/>
  <c r="W552" i="2"/>
  <c r="W551" i="2"/>
  <c r="W550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19" i="2"/>
  <c r="W517" i="2"/>
  <c r="W516" i="2"/>
  <c r="W515" i="2"/>
  <c r="W514" i="2"/>
  <c r="W513" i="2"/>
  <c r="W511" i="2"/>
  <c r="W509" i="2"/>
  <c r="W508" i="2"/>
  <c r="W507" i="2"/>
  <c r="W506" i="2"/>
  <c r="W505" i="2"/>
  <c r="W504" i="2"/>
  <c r="W502" i="2"/>
  <c r="W500" i="2"/>
  <c r="W499" i="2"/>
  <c r="W498" i="2"/>
  <c r="W497" i="2"/>
  <c r="W496" i="2"/>
  <c r="W495" i="2"/>
  <c r="W494" i="2"/>
  <c r="W493" i="2"/>
  <c r="W492" i="2"/>
  <c r="W491" i="2"/>
  <c r="W489" i="2"/>
  <c r="W488" i="2"/>
  <c r="W487" i="2"/>
  <c r="W486" i="2"/>
  <c r="W485" i="2"/>
  <c r="W484" i="2"/>
  <c r="W483" i="2"/>
  <c r="W482" i="2"/>
  <c r="W481" i="2"/>
  <c r="W480" i="2"/>
  <c r="W479" i="2"/>
  <c r="W477" i="2"/>
  <c r="W476" i="2"/>
  <c r="W475" i="2"/>
  <c r="W474" i="2"/>
  <c r="W473" i="2"/>
  <c r="W472" i="2"/>
  <c r="W471" i="2"/>
  <c r="W469" i="2"/>
  <c r="W468" i="2"/>
  <c r="W467" i="2"/>
  <c r="W466" i="2"/>
  <c r="W465" i="2"/>
  <c r="W463" i="2"/>
  <c r="W461" i="2"/>
  <c r="W458" i="2"/>
  <c r="W457" i="2"/>
  <c r="W455" i="2"/>
  <c r="W454" i="2"/>
  <c r="W452" i="2"/>
  <c r="W449" i="2"/>
  <c r="W447" i="2"/>
  <c r="W446" i="2"/>
  <c r="W444" i="2"/>
  <c r="W443" i="2"/>
  <c r="W442" i="2"/>
  <c r="W441" i="2"/>
  <c r="W440" i="2"/>
  <c r="W439" i="2"/>
  <c r="W438" i="2"/>
  <c r="W437" i="2"/>
  <c r="W434" i="2"/>
  <c r="W428" i="2"/>
  <c r="W426" i="2"/>
  <c r="W425" i="2"/>
  <c r="W424" i="2"/>
  <c r="W422" i="2"/>
  <c r="W416" i="2"/>
  <c r="W415" i="2"/>
  <c r="W413" i="2"/>
  <c r="W411" i="2"/>
  <c r="W410" i="2"/>
  <c r="W407" i="2"/>
  <c r="W406" i="2"/>
  <c r="W404" i="2"/>
  <c r="W402" i="2"/>
  <c r="W398" i="2"/>
  <c r="W397" i="2"/>
  <c r="W396" i="2"/>
  <c r="W392" i="2"/>
  <c r="W389" i="2"/>
  <c r="W388" i="2"/>
  <c r="W387" i="2"/>
  <c r="W382" i="2"/>
  <c r="W379" i="2"/>
  <c r="W378" i="2"/>
  <c r="W377" i="2"/>
  <c r="W375" i="2"/>
  <c r="W374" i="2"/>
  <c r="W373" i="2"/>
  <c r="W372" i="2"/>
  <c r="W370" i="2"/>
  <c r="W368" i="2"/>
  <c r="W367" i="2"/>
  <c r="W365" i="2"/>
  <c r="W364" i="2"/>
  <c r="W363" i="2"/>
  <c r="W360" i="2"/>
  <c r="W359" i="2"/>
  <c r="W357" i="2"/>
  <c r="W356" i="2"/>
  <c r="W355" i="2"/>
  <c r="W351" i="2"/>
  <c r="W350" i="2"/>
  <c r="W349" i="2"/>
  <c r="W348" i="2"/>
  <c r="W346" i="2"/>
  <c r="W345" i="2"/>
  <c r="W344" i="2"/>
  <c r="W343" i="2"/>
  <c r="W342" i="2"/>
  <c r="W339" i="2"/>
  <c r="W338" i="2"/>
  <c r="W336" i="2"/>
  <c r="W335" i="2"/>
  <c r="W332" i="2"/>
  <c r="W331" i="2"/>
  <c r="W329" i="2"/>
  <c r="W328" i="2"/>
  <c r="W327" i="2"/>
  <c r="W324" i="2"/>
  <c r="W323" i="2"/>
  <c r="W320" i="2"/>
  <c r="W319" i="2"/>
  <c r="W317" i="2"/>
  <c r="W316" i="2"/>
  <c r="W314" i="2"/>
  <c r="W313" i="2"/>
  <c r="W311" i="2"/>
  <c r="W310" i="2"/>
  <c r="W309" i="2"/>
  <c r="W306" i="2"/>
  <c r="W305" i="2"/>
  <c r="W304" i="2"/>
  <c r="W303" i="2"/>
  <c r="W302" i="2"/>
  <c r="W301" i="2"/>
  <c r="W299" i="2"/>
  <c r="W298" i="2"/>
  <c r="W294" i="2"/>
  <c r="W293" i="2"/>
  <c r="W292" i="2"/>
  <c r="W291" i="2"/>
  <c r="W289" i="2"/>
  <c r="W288" i="2"/>
  <c r="W286" i="2"/>
  <c r="W284" i="2"/>
  <c r="W281" i="2"/>
  <c r="W280" i="2"/>
  <c r="W279" i="2"/>
  <c r="W277" i="2"/>
  <c r="W276" i="2"/>
  <c r="W274" i="2"/>
  <c r="W273" i="2"/>
  <c r="W270" i="2"/>
  <c r="W268" i="2"/>
  <c r="W267" i="2"/>
  <c r="W265" i="2"/>
  <c r="W264" i="2"/>
  <c r="W262" i="2"/>
  <c r="W261" i="2"/>
  <c r="W260" i="2"/>
  <c r="W259" i="2"/>
  <c r="W258" i="2"/>
  <c r="W257" i="2"/>
  <c r="W254" i="2"/>
  <c r="W251" i="2"/>
  <c r="W250" i="2"/>
  <c r="W249" i="2"/>
  <c r="W246" i="2"/>
  <c r="W241" i="2"/>
  <c r="W238" i="2"/>
  <c r="W237" i="2"/>
  <c r="W236" i="2"/>
  <c r="W235" i="2"/>
  <c r="W234" i="2"/>
  <c r="W233" i="2"/>
  <c r="W222" i="2"/>
  <c r="W221" i="2"/>
  <c r="W219" i="2"/>
  <c r="W218" i="2"/>
  <c r="W217" i="2"/>
  <c r="W216" i="2"/>
  <c r="W215" i="2"/>
  <c r="W214" i="2"/>
  <c r="W213" i="2"/>
  <c r="W211" i="2"/>
  <c r="W210" i="2"/>
  <c r="W209" i="2"/>
  <c r="W208" i="2"/>
  <c r="W207" i="2"/>
  <c r="W206" i="2"/>
  <c r="W204" i="2"/>
  <c r="W202" i="2"/>
  <c r="W201" i="2"/>
  <c r="W200" i="2"/>
  <c r="W199" i="2"/>
  <c r="W198" i="2"/>
  <c r="W197" i="2"/>
  <c r="W196" i="2"/>
  <c r="W195" i="2"/>
  <c r="W193" i="2"/>
  <c r="W192" i="2"/>
  <c r="W189" i="2"/>
  <c r="W185" i="2"/>
  <c r="W184" i="2"/>
  <c r="W183" i="2"/>
  <c r="W182" i="2"/>
  <c r="W181" i="2"/>
  <c r="W180" i="2"/>
  <c r="W179" i="2"/>
  <c r="W177" i="2"/>
  <c r="W174" i="2"/>
  <c r="W173" i="2"/>
  <c r="W172" i="2"/>
  <c r="W170" i="2"/>
  <c r="W169" i="2"/>
  <c r="W167" i="2"/>
  <c r="W165" i="2"/>
  <c r="W164" i="2"/>
  <c r="W162" i="2"/>
  <c r="W161" i="2"/>
  <c r="W158" i="2"/>
  <c r="W157" i="2"/>
  <c r="W152" i="2"/>
  <c r="W151" i="2"/>
  <c r="W150" i="2"/>
  <c r="W149" i="2"/>
  <c r="W148" i="2"/>
  <c r="W147" i="2"/>
  <c r="W144" i="2"/>
  <c r="W143" i="2"/>
  <c r="W142" i="2"/>
  <c r="W141" i="2"/>
  <c r="W140" i="2"/>
  <c r="W139" i="2"/>
  <c r="W138" i="2"/>
  <c r="W137" i="2"/>
  <c r="W135" i="2"/>
  <c r="W134" i="2"/>
  <c r="W132" i="2"/>
  <c r="W131" i="2"/>
  <c r="W128" i="2"/>
  <c r="W127" i="2"/>
  <c r="W123" i="2"/>
  <c r="W122" i="2"/>
  <c r="W120" i="2"/>
  <c r="W119" i="2"/>
  <c r="W118" i="2"/>
  <c r="W117" i="2"/>
  <c r="W115" i="2"/>
  <c r="W114" i="2"/>
  <c r="W113" i="2"/>
  <c r="W111" i="2"/>
  <c r="W108" i="2"/>
  <c r="W106" i="2"/>
  <c r="W103" i="2"/>
  <c r="W102" i="2"/>
  <c r="W101" i="2"/>
  <c r="W96" i="2"/>
  <c r="W95" i="2"/>
  <c r="W93" i="2"/>
  <c r="W92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6" i="2"/>
  <c r="W74" i="2"/>
  <c r="W73" i="2"/>
  <c r="W72" i="2"/>
  <c r="W71" i="2"/>
  <c r="W70" i="2"/>
  <c r="W69" i="2"/>
  <c r="W68" i="2"/>
  <c r="W67" i="2"/>
  <c r="W66" i="2"/>
  <c r="W65" i="2"/>
  <c r="W62" i="2"/>
  <c r="W61" i="2"/>
  <c r="W60" i="2"/>
  <c r="W59" i="2"/>
  <c r="W58" i="2"/>
  <c r="W56" i="2"/>
  <c r="W55" i="2"/>
  <c r="W52" i="2"/>
  <c r="W50" i="2"/>
  <c r="W47" i="2"/>
  <c r="W46" i="2"/>
  <c r="W44" i="2"/>
  <c r="W43" i="2"/>
  <c r="W40" i="2"/>
  <c r="W39" i="2"/>
  <c r="W38" i="2"/>
  <c r="W36" i="2"/>
  <c r="W32" i="2"/>
  <c r="W31" i="2"/>
  <c r="W28" i="2"/>
  <c r="W26" i="2"/>
  <c r="W17" i="2"/>
  <c r="W15" i="2"/>
  <c r="W13" i="2"/>
  <c r="W11" i="2"/>
  <c r="W3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4" i="2"/>
  <c r="AA582" i="2"/>
  <c r="AA581" i="2"/>
  <c r="AA580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X1009" i="2"/>
  <c r="Y1009" i="2" s="1"/>
  <c r="D13" i="50"/>
  <c r="D12" i="50"/>
  <c r="D11" i="50"/>
  <c r="E85" i="48"/>
  <c r="E84" i="48"/>
  <c r="E83" i="48"/>
  <c r="E82" i="48"/>
  <c r="E81" i="48"/>
  <c r="E80" i="48"/>
  <c r="D79" i="48"/>
  <c r="E78" i="48"/>
  <c r="D77" i="48"/>
  <c r="D76" i="48"/>
  <c r="E64" i="48"/>
  <c r="E63" i="48"/>
  <c r="E62" i="48"/>
  <c r="E61" i="48"/>
  <c r="E60" i="48"/>
  <c r="E59" i="48"/>
  <c r="D58" i="48"/>
  <c r="E57" i="48"/>
  <c r="D56" i="48"/>
  <c r="D55" i="48"/>
  <c r="E43" i="48"/>
  <c r="E42" i="48"/>
  <c r="E41" i="48"/>
  <c r="E40" i="48"/>
  <c r="E39" i="48"/>
  <c r="E38" i="48"/>
  <c r="D37" i="48"/>
  <c r="E36" i="48"/>
  <c r="D35" i="48"/>
  <c r="D34" i="48"/>
  <c r="E22" i="48"/>
  <c r="E21" i="48"/>
  <c r="E20" i="48"/>
  <c r="E19" i="48"/>
  <c r="E18" i="48"/>
  <c r="E17" i="48"/>
  <c r="D16" i="48"/>
  <c r="E15" i="48"/>
  <c r="D14" i="48"/>
  <c r="D13" i="48"/>
  <c r="BB33" i="31"/>
  <c r="BB32" i="31"/>
  <c r="BB31" i="31"/>
  <c r="BB29" i="31"/>
  <c r="BB28" i="31"/>
  <c r="BB27" i="31"/>
  <c r="BB26" i="31"/>
  <c r="BB25" i="31"/>
  <c r="BB24" i="31"/>
  <c r="BB23" i="31"/>
  <c r="BB22" i="31"/>
  <c r="BB21" i="31"/>
  <c r="BB20" i="31"/>
  <c r="BB19" i="31"/>
  <c r="BB18" i="31"/>
  <c r="BB17" i="31"/>
  <c r="BB16" i="31"/>
  <c r="BB15" i="31"/>
  <c r="BB14" i="31"/>
  <c r="BB13" i="31"/>
  <c r="BB12" i="31"/>
  <c r="BB11" i="31"/>
  <c r="BB10" i="31"/>
  <c r="BB9" i="31"/>
  <c r="BB8" i="31"/>
  <c r="BB7" i="31"/>
  <c r="BB6" i="31"/>
  <c r="BB5" i="31"/>
  <c r="BB4" i="31"/>
  <c r="BB3" i="31"/>
  <c r="BB2" i="31"/>
  <c r="V652" i="2" l="1"/>
  <c r="M30" i="31"/>
  <c r="W30" i="31"/>
  <c r="X30" i="31"/>
  <c r="AM30" i="31" s="1"/>
  <c r="AN30" i="31" s="1"/>
  <c r="Z30" i="31"/>
  <c r="AE30" i="31"/>
  <c r="AH30" i="31"/>
  <c r="AK30" i="31"/>
  <c r="S4" i="48"/>
  <c r="S6" i="48"/>
  <c r="S7" i="48"/>
  <c r="Y741" i="2"/>
  <c r="Y757" i="2"/>
  <c r="Y765" i="2"/>
  <c r="Y728" i="2"/>
  <c r="Y733" i="2"/>
  <c r="Y721" i="2"/>
  <c r="Y753" i="2"/>
  <c r="Y723" i="2"/>
  <c r="Y724" i="2"/>
  <c r="Y725" i="2"/>
  <c r="Y756" i="2"/>
  <c r="Y742" i="2"/>
  <c r="Y729" i="2"/>
  <c r="Y760" i="2"/>
  <c r="Y745" i="2"/>
  <c r="Y743" i="2"/>
  <c r="Y758" i="2"/>
  <c r="Y730" i="2"/>
  <c r="Y744" i="2"/>
  <c r="Y759" i="2"/>
  <c r="Y731" i="2"/>
  <c r="Y732" i="2"/>
  <c r="Y746" i="2"/>
  <c r="Y747" i="2"/>
  <c r="Y761" i="2"/>
  <c r="Y748" i="2"/>
  <c r="Y762" i="2"/>
  <c r="Y722" i="2"/>
  <c r="Y734" i="2"/>
  <c r="Y749" i="2"/>
  <c r="Y763" i="2"/>
  <c r="Y735" i="2"/>
  <c r="Y750" i="2"/>
  <c r="Y764" i="2"/>
  <c r="Y736" i="2"/>
  <c r="Y751" i="2"/>
  <c r="Y737" i="2"/>
  <c r="Y752" i="2"/>
  <c r="Y738" i="2"/>
  <c r="Y726" i="2"/>
  <c r="Y739" i="2"/>
  <c r="Y727" i="2"/>
  <c r="Y740" i="2"/>
  <c r="Y754" i="2"/>
  <c r="Y755" i="2"/>
  <c r="AZ14" i="31"/>
  <c r="AY14" i="31"/>
  <c r="AJ14" i="31"/>
  <c r="AK14" i="31" s="1"/>
  <c r="AG14" i="31"/>
  <c r="AI14" i="31" s="1"/>
  <c r="AC14" i="31"/>
  <c r="AF14" i="31" s="1"/>
  <c r="Y14" i="31"/>
  <c r="AA14" i="31" s="1"/>
  <c r="V14" i="31"/>
  <c r="Q14" i="31"/>
  <c r="P14" i="31"/>
  <c r="O14" i="31"/>
  <c r="N14" i="31"/>
  <c r="L14" i="31"/>
  <c r="K14" i="31"/>
  <c r="J14" i="31"/>
  <c r="AZ23" i="31"/>
  <c r="AY23" i="31"/>
  <c r="AJ23" i="31"/>
  <c r="AK23" i="31" s="1"/>
  <c r="AG23" i="31"/>
  <c r="AH23" i="31" s="1"/>
  <c r="AC23" i="31"/>
  <c r="AF23" i="31" s="1"/>
  <c r="Y23" i="31"/>
  <c r="AA23" i="31" s="1"/>
  <c r="V23" i="31"/>
  <c r="Q23" i="31"/>
  <c r="P23" i="31"/>
  <c r="O23" i="31"/>
  <c r="N23" i="31"/>
  <c r="L23" i="31"/>
  <c r="K23" i="31"/>
  <c r="V691" i="2" s="1"/>
  <c r="J23" i="31"/>
  <c r="H137" i="47"/>
  <c r="H136" i="47"/>
  <c r="H135" i="47"/>
  <c r="H134" i="47"/>
  <c r="H133" i="47"/>
  <c r="H132" i="47"/>
  <c r="H131" i="47"/>
  <c r="H130" i="47"/>
  <c r="H129" i="47"/>
  <c r="H128" i="47"/>
  <c r="H127" i="47"/>
  <c r="H126" i="47"/>
  <c r="H125" i="47"/>
  <c r="H124" i="47"/>
  <c r="H123" i="47"/>
  <c r="H122" i="47"/>
  <c r="H121" i="47"/>
  <c r="H120" i="47"/>
  <c r="H119" i="47"/>
  <c r="H118" i="47"/>
  <c r="H117" i="47"/>
  <c r="H116" i="47"/>
  <c r="H115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H4" i="47"/>
  <c r="H3" i="47"/>
  <c r="L2" i="8"/>
  <c r="AT30" i="31" l="1"/>
  <c r="AS30" i="31"/>
  <c r="AR30" i="31"/>
  <c r="AQ30" i="31"/>
  <c r="AP30" i="31"/>
  <c r="V700" i="2"/>
  <c r="V681" i="2"/>
  <c r="W681" i="2" s="1"/>
  <c r="M14" i="31"/>
  <c r="AL14" i="31"/>
  <c r="W14" i="31"/>
  <c r="X14" i="31"/>
  <c r="Z14" i="31"/>
  <c r="AE14" i="31"/>
  <c r="AH14" i="31"/>
  <c r="M23" i="31"/>
  <c r="AI23" i="31"/>
  <c r="AL23" i="31"/>
  <c r="W23" i="31"/>
  <c r="X23" i="31"/>
  <c r="Z23" i="31"/>
  <c r="AE23" i="31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L274" i="20"/>
  <c r="L273" i="20"/>
  <c r="L272" i="20"/>
  <c r="L271" i="20"/>
  <c r="L270" i="20"/>
  <c r="L269" i="20"/>
  <c r="L268" i="20"/>
  <c r="L267" i="20"/>
  <c r="L266" i="20"/>
  <c r="L265" i="20"/>
  <c r="L264" i="20"/>
  <c r="L263" i="20"/>
  <c r="L262" i="20"/>
  <c r="L261" i="20"/>
  <c r="L260" i="20"/>
  <c r="L259" i="20"/>
  <c r="L258" i="20"/>
  <c r="L257" i="20"/>
  <c r="L256" i="20"/>
  <c r="L255" i="20"/>
  <c r="L254" i="20"/>
  <c r="L253" i="20"/>
  <c r="L252" i="20"/>
  <c r="L251" i="20"/>
  <c r="L250" i="20"/>
  <c r="L249" i="20"/>
  <c r="L248" i="20"/>
  <c r="L247" i="20"/>
  <c r="L246" i="20"/>
  <c r="L245" i="20"/>
  <c r="L244" i="20"/>
  <c r="L243" i="20"/>
  <c r="L242" i="20"/>
  <c r="L241" i="20"/>
  <c r="L240" i="20"/>
  <c r="L239" i="20"/>
  <c r="L238" i="20"/>
  <c r="L237" i="20"/>
  <c r="L236" i="20"/>
  <c r="L235" i="20"/>
  <c r="L234" i="20"/>
  <c r="L233" i="20"/>
  <c r="L232" i="20"/>
  <c r="L231" i="20"/>
  <c r="L230" i="20"/>
  <c r="L229" i="20"/>
  <c r="L228" i="20"/>
  <c r="L227" i="20"/>
  <c r="L226" i="20"/>
  <c r="L225" i="20"/>
  <c r="L224" i="20"/>
  <c r="L223" i="20"/>
  <c r="L222" i="20"/>
  <c r="L221" i="20"/>
  <c r="L220" i="20"/>
  <c r="L219" i="20"/>
  <c r="L218" i="20"/>
  <c r="L217" i="20"/>
  <c r="L216" i="20"/>
  <c r="L215" i="20"/>
  <c r="L214" i="20"/>
  <c r="L213" i="20"/>
  <c r="L212" i="20"/>
  <c r="L211" i="20"/>
  <c r="L210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K122" i="8"/>
  <c r="K121" i="8"/>
  <c r="E30" i="42"/>
  <c r="E29" i="42"/>
  <c r="E28" i="42"/>
  <c r="E27" i="42"/>
  <c r="E26" i="42"/>
  <c r="E25" i="42"/>
  <c r="E24" i="42"/>
  <c r="E23" i="42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K35" i="51"/>
  <c r="K34" i="51"/>
  <c r="K33" i="51"/>
  <c r="K32" i="5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3" i="51"/>
  <c r="K2" i="51"/>
  <c r="C37" i="48"/>
  <c r="L34" i="9" l="1"/>
  <c r="L192" i="9"/>
  <c r="L182" i="9"/>
  <c r="L245" i="9"/>
  <c r="L211" i="9"/>
  <c r="AM14" i="31"/>
  <c r="AN14" i="31" s="1"/>
  <c r="AS14" i="31" s="1"/>
  <c r="AM23" i="31"/>
  <c r="AN23" i="31" s="1"/>
  <c r="AT14" i="31" l="1"/>
  <c r="AP14" i="31"/>
  <c r="AQ14" i="31"/>
  <c r="L247" i="9" s="1"/>
  <c r="AR14" i="31"/>
  <c r="AP23" i="31"/>
  <c r="AQ23" i="31"/>
  <c r="AR23" i="31"/>
  <c r="N581" i="11" s="1"/>
  <c r="O581" i="11" s="1"/>
  <c r="AS23" i="31"/>
  <c r="AT23" i="31"/>
  <c r="N44" i="11" l="1"/>
  <c r="O44" i="11" s="1"/>
  <c r="L89" i="9"/>
  <c r="L11" i="9"/>
  <c r="L10" i="9"/>
  <c r="L143" i="9"/>
  <c r="L5" i="9"/>
  <c r="L77" i="9"/>
  <c r="D8" i="50"/>
  <c r="J33" i="31"/>
  <c r="J32" i="31"/>
  <c r="J31" i="31"/>
  <c r="J29" i="31"/>
  <c r="J28" i="31"/>
  <c r="J27" i="31"/>
  <c r="J26" i="31"/>
  <c r="J25" i="31"/>
  <c r="J24" i="31"/>
  <c r="J22" i="31"/>
  <c r="J21" i="31"/>
  <c r="J20" i="31"/>
  <c r="J19" i="31"/>
  <c r="J18" i="31"/>
  <c r="J17" i="31"/>
  <c r="J16" i="31"/>
  <c r="J15" i="31"/>
  <c r="J13" i="31"/>
  <c r="J12" i="31"/>
  <c r="J11" i="31"/>
  <c r="J10" i="31"/>
  <c r="J9" i="31"/>
  <c r="J7" i="31"/>
  <c r="J5" i="31"/>
  <c r="J4" i="31"/>
  <c r="J3" i="31"/>
  <c r="J2" i="31"/>
  <c r="AZ6" i="31"/>
  <c r="AY6" i="31"/>
  <c r="AJ6" i="31"/>
  <c r="AL6" i="31" s="1"/>
  <c r="AG6" i="31"/>
  <c r="AI6" i="31" s="1"/>
  <c r="AC6" i="31"/>
  <c r="AF6" i="31" s="1"/>
  <c r="Y6" i="31"/>
  <c r="Z6" i="31" s="1"/>
  <c r="V6" i="31"/>
  <c r="X6" i="31" s="1"/>
  <c r="Q6" i="31"/>
  <c r="P6" i="31"/>
  <c r="O6" i="31"/>
  <c r="N6" i="31"/>
  <c r="L6" i="31"/>
  <c r="K6" i="31"/>
  <c r="AZ31" i="31"/>
  <c r="AY31" i="31"/>
  <c r="AJ31" i="31"/>
  <c r="AL31" i="31" s="1"/>
  <c r="AG31" i="31"/>
  <c r="AI31" i="31" s="1"/>
  <c r="AC31" i="31"/>
  <c r="AF31" i="31" s="1"/>
  <c r="Y31" i="31"/>
  <c r="AA31" i="31" s="1"/>
  <c r="V31" i="31"/>
  <c r="X31" i="31" s="1"/>
  <c r="Q31" i="31"/>
  <c r="P31" i="31"/>
  <c r="O31" i="31"/>
  <c r="N31" i="31"/>
  <c r="L31" i="31"/>
  <c r="K31" i="31"/>
  <c r="AZ5" i="31"/>
  <c r="AY5" i="31"/>
  <c r="AJ5" i="31"/>
  <c r="AK5" i="31" s="1"/>
  <c r="AG5" i="31"/>
  <c r="AI5" i="31" s="1"/>
  <c r="AC5" i="31"/>
  <c r="AF5" i="31" s="1"/>
  <c r="Y5" i="31"/>
  <c r="AA5" i="31" s="1"/>
  <c r="V5" i="31"/>
  <c r="X5" i="31" s="1"/>
  <c r="Q5" i="31"/>
  <c r="P5" i="31"/>
  <c r="O5" i="31"/>
  <c r="N5" i="31"/>
  <c r="L5" i="31"/>
  <c r="K5" i="31"/>
  <c r="F2" i="50"/>
  <c r="E2" i="50"/>
  <c r="D2" i="50"/>
  <c r="C2" i="50"/>
  <c r="B2" i="50"/>
  <c r="F7" i="48"/>
  <c r="E7" i="48"/>
  <c r="F6" i="48"/>
  <c r="E6" i="48"/>
  <c r="F5" i="48"/>
  <c r="E5" i="48"/>
  <c r="F4" i="48"/>
  <c r="E4" i="48"/>
  <c r="D7" i="48"/>
  <c r="D6" i="48"/>
  <c r="D5" i="48"/>
  <c r="D4" i="48"/>
  <c r="C7" i="48"/>
  <c r="C77" i="48" s="1"/>
  <c r="C6" i="48"/>
  <c r="C56" i="48" s="1"/>
  <c r="C5" i="48"/>
  <c r="C35" i="48" s="1"/>
  <c r="C4" i="48"/>
  <c r="B7" i="48"/>
  <c r="P7" i="48" s="1"/>
  <c r="B6" i="48"/>
  <c r="P6" i="48" s="1"/>
  <c r="B5" i="48"/>
  <c r="P5" i="48" s="1"/>
  <c r="B4" i="48"/>
  <c r="P4" i="48" s="1"/>
  <c r="AJ33" i="31"/>
  <c r="AL33" i="31" s="1"/>
  <c r="AJ32" i="31"/>
  <c r="AL32" i="31" s="1"/>
  <c r="AJ29" i="31"/>
  <c r="AL29" i="31" s="1"/>
  <c r="AJ28" i="31"/>
  <c r="AL28" i="31" s="1"/>
  <c r="AJ27" i="31"/>
  <c r="AL27" i="31" s="1"/>
  <c r="AJ26" i="31"/>
  <c r="AL26" i="31" s="1"/>
  <c r="AJ25" i="31"/>
  <c r="AL25" i="31" s="1"/>
  <c r="AJ24" i="31"/>
  <c r="AL24" i="31" s="1"/>
  <c r="AJ22" i="31"/>
  <c r="AL22" i="31" s="1"/>
  <c r="AJ21" i="31"/>
  <c r="AL21" i="31" s="1"/>
  <c r="AJ20" i="31"/>
  <c r="AL20" i="31" s="1"/>
  <c r="AJ19" i="31"/>
  <c r="AL19" i="31" s="1"/>
  <c r="AJ18" i="31"/>
  <c r="AL18" i="31" s="1"/>
  <c r="AJ17" i="31"/>
  <c r="AL17" i="31" s="1"/>
  <c r="AJ16" i="31"/>
  <c r="AL16" i="31" s="1"/>
  <c r="AJ15" i="31"/>
  <c r="AL15" i="31" s="1"/>
  <c r="AJ13" i="31"/>
  <c r="AL13" i="31" s="1"/>
  <c r="AJ12" i="31"/>
  <c r="AL12" i="31" s="1"/>
  <c r="AJ11" i="31"/>
  <c r="AL11" i="31" s="1"/>
  <c r="AJ10" i="31"/>
  <c r="AL10" i="31" s="1"/>
  <c r="AJ9" i="31"/>
  <c r="AL9" i="31" s="1"/>
  <c r="AJ8" i="31"/>
  <c r="AL8" i="31" s="1"/>
  <c r="AJ7" i="31"/>
  <c r="AL7" i="31" s="1"/>
  <c r="AJ4" i="31"/>
  <c r="AL4" i="31" s="1"/>
  <c r="AJ3" i="31"/>
  <c r="AL3" i="31" s="1"/>
  <c r="AJ2" i="31"/>
  <c r="AG33" i="31"/>
  <c r="AI33" i="31" s="1"/>
  <c r="AG32" i="31"/>
  <c r="AI32" i="31" s="1"/>
  <c r="AG29" i="31"/>
  <c r="AI29" i="31" s="1"/>
  <c r="AG28" i="31"/>
  <c r="AI28" i="31" s="1"/>
  <c r="AG27" i="31"/>
  <c r="AI27" i="31" s="1"/>
  <c r="AG26" i="31"/>
  <c r="AI26" i="31" s="1"/>
  <c r="AG25" i="31"/>
  <c r="AI25" i="31" s="1"/>
  <c r="AG24" i="31"/>
  <c r="AH24" i="31" s="1"/>
  <c r="AG22" i="31"/>
  <c r="AH22" i="31" s="1"/>
  <c r="AG21" i="31"/>
  <c r="AI21" i="31" s="1"/>
  <c r="AG20" i="31"/>
  <c r="AI20" i="31" s="1"/>
  <c r="AG19" i="31"/>
  <c r="AI19" i="31" s="1"/>
  <c r="AG18" i="31"/>
  <c r="AI18" i="31" s="1"/>
  <c r="AG17" i="31"/>
  <c r="AI17" i="31" s="1"/>
  <c r="AG16" i="31"/>
  <c r="AI16" i="31" s="1"/>
  <c r="AG15" i="31"/>
  <c r="AI15" i="31" s="1"/>
  <c r="AG13" i="31"/>
  <c r="AI13" i="31" s="1"/>
  <c r="AG12" i="31"/>
  <c r="AH12" i="31" s="1"/>
  <c r="AG11" i="31"/>
  <c r="AI11" i="31" s="1"/>
  <c r="AG10" i="31"/>
  <c r="AI10" i="31" s="1"/>
  <c r="AG9" i="31"/>
  <c r="AI9" i="31" s="1"/>
  <c r="AG8" i="31"/>
  <c r="AI8" i="31" s="1"/>
  <c r="AG7" i="31"/>
  <c r="AI7" i="31" s="1"/>
  <c r="AG4" i="31"/>
  <c r="AI4" i="31" s="1"/>
  <c r="AG3" i="31"/>
  <c r="AI2" i="31"/>
  <c r="AC33" i="31"/>
  <c r="AF33" i="31" s="1"/>
  <c r="AC32" i="31"/>
  <c r="AF32" i="31" s="1"/>
  <c r="AC29" i="31"/>
  <c r="AF29" i="31" s="1"/>
  <c r="AC28" i="31"/>
  <c r="AF28" i="31" s="1"/>
  <c r="AC27" i="31"/>
  <c r="AF27" i="31" s="1"/>
  <c r="AC26" i="31"/>
  <c r="AF26" i="31" s="1"/>
  <c r="AC25" i="31"/>
  <c r="AF25" i="31" s="1"/>
  <c r="AC24" i="31"/>
  <c r="AF24" i="31" s="1"/>
  <c r="AC22" i="31"/>
  <c r="AE22" i="31" s="1"/>
  <c r="AC21" i="31"/>
  <c r="AF21" i="31" s="1"/>
  <c r="AC20" i="31"/>
  <c r="AF20" i="31" s="1"/>
  <c r="AC19" i="31"/>
  <c r="AF19" i="31" s="1"/>
  <c r="AC18" i="31"/>
  <c r="AF18" i="31" s="1"/>
  <c r="AC17" i="31"/>
  <c r="AF17" i="31" s="1"/>
  <c r="AC16" i="31"/>
  <c r="AF16" i="31" s="1"/>
  <c r="AC15" i="31"/>
  <c r="AF15" i="31" s="1"/>
  <c r="AC13" i="31"/>
  <c r="AF13" i="31" s="1"/>
  <c r="AC12" i="31"/>
  <c r="AF12" i="31" s="1"/>
  <c r="AC11" i="31"/>
  <c r="AF11" i="31" s="1"/>
  <c r="AC10" i="31"/>
  <c r="AF10" i="31" s="1"/>
  <c r="AC9" i="31"/>
  <c r="AF9" i="31" s="1"/>
  <c r="AC8" i="31"/>
  <c r="AF8" i="31" s="1"/>
  <c r="AC7" i="31"/>
  <c r="AF7" i="31" s="1"/>
  <c r="AC4" i="31"/>
  <c r="AF4" i="31" s="1"/>
  <c r="AC3" i="31"/>
  <c r="AF3" i="31" s="1"/>
  <c r="AC2" i="31"/>
  <c r="Y33" i="31"/>
  <c r="AA33" i="31" s="1"/>
  <c r="Y32" i="31"/>
  <c r="AA32" i="31" s="1"/>
  <c r="Y29" i="31"/>
  <c r="AA29" i="31" s="1"/>
  <c r="Y28" i="31"/>
  <c r="AA28" i="31" s="1"/>
  <c r="Y27" i="31"/>
  <c r="AA27" i="31" s="1"/>
  <c r="Y26" i="31"/>
  <c r="AA26" i="31" s="1"/>
  <c r="Y25" i="31"/>
  <c r="AA25" i="31" s="1"/>
  <c r="Y24" i="31"/>
  <c r="AA24" i="31" s="1"/>
  <c r="Y22" i="31"/>
  <c r="AA22" i="31" s="1"/>
  <c r="Y21" i="31"/>
  <c r="AA21" i="31" s="1"/>
  <c r="Y20" i="31"/>
  <c r="AA20" i="31" s="1"/>
  <c r="Y19" i="31"/>
  <c r="AA19" i="31" s="1"/>
  <c r="Y18" i="31"/>
  <c r="Z18" i="31" s="1"/>
  <c r="Y17" i="31"/>
  <c r="AA17" i="31" s="1"/>
  <c r="Y16" i="31"/>
  <c r="AA16" i="31" s="1"/>
  <c r="Y15" i="31"/>
  <c r="AA15" i="31" s="1"/>
  <c r="Y13" i="31"/>
  <c r="AA13" i="31" s="1"/>
  <c r="Y12" i="31"/>
  <c r="AA12" i="31" s="1"/>
  <c r="Y11" i="31"/>
  <c r="AA11" i="31" s="1"/>
  <c r="Y10" i="31"/>
  <c r="Z10" i="31" s="1"/>
  <c r="Y9" i="31"/>
  <c r="AA9" i="31" s="1"/>
  <c r="Y8" i="31"/>
  <c r="AA8" i="31" s="1"/>
  <c r="Y7" i="31"/>
  <c r="AA7" i="31" s="1"/>
  <c r="Y4" i="31"/>
  <c r="AA4" i="31" s="1"/>
  <c r="Y3" i="31"/>
  <c r="AA3" i="31" s="1"/>
  <c r="Y2" i="31"/>
  <c r="V33" i="31"/>
  <c r="X33" i="31" s="1"/>
  <c r="V32" i="31"/>
  <c r="W32" i="31" s="1"/>
  <c r="V29" i="31"/>
  <c r="X29" i="31" s="1"/>
  <c r="V28" i="31"/>
  <c r="X28" i="31" s="1"/>
  <c r="V27" i="31"/>
  <c r="X27" i="31" s="1"/>
  <c r="V26" i="31"/>
  <c r="X26" i="31" s="1"/>
  <c r="V25" i="31"/>
  <c r="W25" i="31" s="1"/>
  <c r="V24" i="31"/>
  <c r="W24" i="31" s="1"/>
  <c r="V22" i="31"/>
  <c r="X22" i="31" s="1"/>
  <c r="V21" i="31"/>
  <c r="X21" i="31" s="1"/>
  <c r="V20" i="31"/>
  <c r="W20" i="31" s="1"/>
  <c r="V19" i="31"/>
  <c r="W19" i="31" s="1"/>
  <c r="V18" i="31"/>
  <c r="X18" i="31" s="1"/>
  <c r="V17" i="31"/>
  <c r="X17" i="31" s="1"/>
  <c r="V16" i="31"/>
  <c r="X16" i="31" s="1"/>
  <c r="V15" i="31"/>
  <c r="V13" i="31"/>
  <c r="X13" i="31" s="1"/>
  <c r="V12" i="31"/>
  <c r="X12" i="31" s="1"/>
  <c r="V11" i="31"/>
  <c r="W11" i="31" s="1"/>
  <c r="V10" i="31"/>
  <c r="X10" i="31" s="1"/>
  <c r="V9" i="31"/>
  <c r="X9" i="31" s="1"/>
  <c r="V8" i="31"/>
  <c r="X8" i="31" s="1"/>
  <c r="V7" i="31"/>
  <c r="W7" i="31" s="1"/>
  <c r="V4" i="31"/>
  <c r="X4" i="31" s="1"/>
  <c r="V3" i="31"/>
  <c r="X3" i="31" s="1"/>
  <c r="V2" i="31"/>
  <c r="Q33" i="31"/>
  <c r="P33" i="31"/>
  <c r="O33" i="31"/>
  <c r="N33" i="31"/>
  <c r="Q32" i="31"/>
  <c r="P32" i="31"/>
  <c r="O32" i="31"/>
  <c r="N32" i="31"/>
  <c r="Q29" i="31"/>
  <c r="P29" i="31"/>
  <c r="O29" i="31"/>
  <c r="N29" i="31"/>
  <c r="Q28" i="31"/>
  <c r="P28" i="31"/>
  <c r="O28" i="31"/>
  <c r="N28" i="31"/>
  <c r="Q27" i="31"/>
  <c r="P27" i="31"/>
  <c r="O27" i="31"/>
  <c r="N27" i="31"/>
  <c r="Q26" i="31"/>
  <c r="P26" i="31"/>
  <c r="O26" i="31"/>
  <c r="N26" i="31"/>
  <c r="Q25" i="31"/>
  <c r="P25" i="31"/>
  <c r="O25" i="31"/>
  <c r="N25" i="31"/>
  <c r="Q24" i="31"/>
  <c r="P24" i="31"/>
  <c r="O24" i="31"/>
  <c r="N24" i="31"/>
  <c r="Q22" i="31"/>
  <c r="P22" i="31"/>
  <c r="O22" i="31"/>
  <c r="N22" i="31"/>
  <c r="Q21" i="31"/>
  <c r="P21" i="31"/>
  <c r="O21" i="31"/>
  <c r="N21" i="31"/>
  <c r="Q20" i="31"/>
  <c r="P20" i="31"/>
  <c r="O20" i="31"/>
  <c r="N20" i="31"/>
  <c r="Q19" i="31"/>
  <c r="P19" i="31"/>
  <c r="O19" i="31"/>
  <c r="N19" i="31"/>
  <c r="Q18" i="31"/>
  <c r="P18" i="31"/>
  <c r="O18" i="31"/>
  <c r="N18" i="31"/>
  <c r="Q17" i="31"/>
  <c r="P17" i="31"/>
  <c r="O17" i="31"/>
  <c r="N17" i="31"/>
  <c r="Q16" i="31"/>
  <c r="P16" i="31"/>
  <c r="O16" i="31"/>
  <c r="N16" i="31"/>
  <c r="Q15" i="31"/>
  <c r="P15" i="31"/>
  <c r="O15" i="31"/>
  <c r="N15" i="31"/>
  <c r="Q13" i="31"/>
  <c r="P13" i="31"/>
  <c r="O13" i="31"/>
  <c r="N13" i="31"/>
  <c r="Q12" i="31"/>
  <c r="P12" i="31"/>
  <c r="O12" i="31"/>
  <c r="N12" i="31"/>
  <c r="Q11" i="31"/>
  <c r="P11" i="31"/>
  <c r="O11" i="31"/>
  <c r="N11" i="31"/>
  <c r="Q10" i="31"/>
  <c r="P10" i="31"/>
  <c r="O10" i="31"/>
  <c r="N10" i="31"/>
  <c r="Q9" i="31"/>
  <c r="P9" i="31"/>
  <c r="O9" i="31"/>
  <c r="N9" i="31"/>
  <c r="Q8" i="31"/>
  <c r="P8" i="31"/>
  <c r="O8" i="31"/>
  <c r="N8" i="31"/>
  <c r="Q7" i="31"/>
  <c r="P7" i="31"/>
  <c r="O7" i="31"/>
  <c r="N7" i="31"/>
  <c r="Q4" i="31"/>
  <c r="P4" i="31"/>
  <c r="O4" i="31"/>
  <c r="N4" i="31"/>
  <c r="Q3" i="31"/>
  <c r="P3" i="31"/>
  <c r="O3" i="31"/>
  <c r="N3" i="31"/>
  <c r="Q2" i="31"/>
  <c r="P2" i="31"/>
  <c r="O2" i="31"/>
  <c r="N2" i="31"/>
  <c r="L33" i="31"/>
  <c r="K33" i="31"/>
  <c r="L32" i="31"/>
  <c r="K32" i="31"/>
  <c r="L29" i="31"/>
  <c r="K29" i="31"/>
  <c r="L28" i="31"/>
  <c r="K28" i="31"/>
  <c r="L27" i="31"/>
  <c r="K27" i="31"/>
  <c r="L26" i="31"/>
  <c r="K26" i="31"/>
  <c r="L25" i="31"/>
  <c r="K25" i="31"/>
  <c r="L24" i="31"/>
  <c r="K24" i="31"/>
  <c r="L22" i="31"/>
  <c r="K22" i="31"/>
  <c r="V2" i="2" s="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3" i="31"/>
  <c r="K13" i="31"/>
  <c r="L12" i="31"/>
  <c r="K12" i="31"/>
  <c r="L11" i="31"/>
  <c r="K11" i="31"/>
  <c r="L10" i="31"/>
  <c r="K10" i="31"/>
  <c r="L9" i="31"/>
  <c r="K9" i="31"/>
  <c r="L8" i="31"/>
  <c r="K8" i="31"/>
  <c r="V6" i="2" s="1"/>
  <c r="L7" i="31"/>
  <c r="K7" i="31"/>
  <c r="L4" i="31"/>
  <c r="K4" i="31"/>
  <c r="L3" i="31"/>
  <c r="K3" i="31"/>
  <c r="L2" i="31"/>
  <c r="K2" i="31"/>
  <c r="X2" i="31" l="1"/>
  <c r="AF2" i="31"/>
  <c r="Z2" i="31"/>
  <c r="AI3" i="31"/>
  <c r="V687" i="2"/>
  <c r="V686" i="2"/>
  <c r="V649" i="2"/>
  <c r="V446" i="2"/>
  <c r="V656" i="2"/>
  <c r="V697" i="2"/>
  <c r="V477" i="2"/>
  <c r="V670" i="2"/>
  <c r="V699" i="2"/>
  <c r="V680" i="2"/>
  <c r="V664" i="2"/>
  <c r="V673" i="2"/>
  <c r="V717" i="2"/>
  <c r="V701" i="2"/>
  <c r="V646" i="2"/>
  <c r="V111" i="2"/>
  <c r="V693" i="2"/>
  <c r="W693" i="2" s="1"/>
  <c r="V707" i="2"/>
  <c r="V674" i="2"/>
  <c r="V529" i="2"/>
  <c r="V713" i="2"/>
  <c r="V712" i="2"/>
  <c r="V679" i="2"/>
  <c r="W679" i="2" s="1"/>
  <c r="V706" i="2"/>
  <c r="V719" i="2"/>
  <c r="V684" i="2"/>
  <c r="V558" i="2"/>
  <c r="W558" i="2" s="1"/>
  <c r="V690" i="2"/>
  <c r="V600" i="2"/>
  <c r="V658" i="2"/>
  <c r="V651" i="2"/>
  <c r="V366" i="2"/>
  <c r="W366" i="2" s="1"/>
  <c r="V714" i="2"/>
  <c r="V665" i="2"/>
  <c r="V694" i="2"/>
  <c r="V708" i="2"/>
  <c r="V677" i="2"/>
  <c r="V653" i="2"/>
  <c r="V645" i="2"/>
  <c r="V512" i="2"/>
  <c r="W512" i="2" s="1"/>
  <c r="V644" i="2"/>
  <c r="V688" i="2"/>
  <c r="W688" i="2" s="1"/>
  <c r="V703" i="2"/>
  <c r="W703" i="2" s="1"/>
  <c r="V672" i="2"/>
  <c r="V702" i="2"/>
  <c r="W702" i="2" s="1"/>
  <c r="V698" i="2"/>
  <c r="W698" i="2" s="1"/>
  <c r="V696" i="2"/>
  <c r="V604" i="2"/>
  <c r="V412" i="2"/>
  <c r="W412" i="2" s="1"/>
  <c r="V695" i="2"/>
  <c r="W695" i="2" s="1"/>
  <c r="V660" i="2"/>
  <c r="V319" i="2"/>
  <c r="V360" i="2"/>
  <c r="V718" i="2"/>
  <c r="W718" i="2" s="1"/>
  <c r="V671" i="2"/>
  <c r="V662" i="2"/>
  <c r="V659" i="2"/>
  <c r="V397" i="2"/>
  <c r="V313" i="2"/>
  <c r="V720" i="2"/>
  <c r="V705" i="2"/>
  <c r="W705" i="2" s="1"/>
  <c r="V704" i="2"/>
  <c r="W704" i="2" s="1"/>
  <c r="V709" i="2"/>
  <c r="V135" i="2"/>
  <c r="V286" i="2"/>
  <c r="V254" i="2"/>
  <c r="V219" i="2"/>
  <c r="V669" i="2"/>
  <c r="V683" i="2"/>
  <c r="V648" i="2"/>
  <c r="V108" i="2"/>
  <c r="V655" i="2"/>
  <c r="V666" i="2"/>
  <c r="V710" i="2"/>
  <c r="V676" i="2"/>
  <c r="V565" i="2"/>
  <c r="V715" i="2"/>
  <c r="V663" i="2"/>
  <c r="V668" i="2"/>
  <c r="V692" i="2"/>
  <c r="V369" i="2"/>
  <c r="W369" i="2" s="1"/>
  <c r="V685" i="2"/>
  <c r="W685" i="2" s="1"/>
  <c r="V667" i="2"/>
  <c r="W667" i="2" s="1"/>
  <c r="V531" i="2"/>
  <c r="V689" i="2"/>
  <c r="W689" i="2" s="1"/>
  <c r="V682" i="2"/>
  <c r="V675" i="2"/>
  <c r="V361" i="2"/>
  <c r="W361" i="2" s="1"/>
  <c r="V716" i="2"/>
  <c r="V647" i="2"/>
  <c r="V654" i="2"/>
  <c r="V711" i="2"/>
  <c r="V661" i="2"/>
  <c r="V624" i="2"/>
  <c r="V657" i="2"/>
  <c r="V650" i="2"/>
  <c r="V57" i="2"/>
  <c r="W57" i="2" s="1"/>
  <c r="V190" i="2"/>
  <c r="W190" i="2" s="1"/>
  <c r="V5" i="2"/>
  <c r="W5" i="2" s="1"/>
  <c r="V269" i="2"/>
  <c r="W269" i="2" s="1"/>
  <c r="V82" i="2"/>
  <c r="V476" i="2"/>
  <c r="V141" i="2"/>
  <c r="V33" i="2"/>
  <c r="W33" i="2" s="1"/>
  <c r="V296" i="2"/>
  <c r="W296" i="2" s="1"/>
  <c r="V550" i="2"/>
  <c r="V401" i="2"/>
  <c r="W401" i="2" s="1"/>
  <c r="V628" i="2"/>
  <c r="V287" i="2"/>
  <c r="W287" i="2" s="1"/>
  <c r="V191" i="2"/>
  <c r="W191" i="2" s="1"/>
  <c r="V149" i="2"/>
  <c r="V285" i="2"/>
  <c r="W285" i="2" s="1"/>
  <c r="V359" i="2"/>
  <c r="V538" i="2"/>
  <c r="V602" i="2"/>
  <c r="W602" i="2" s="1"/>
  <c r="V505" i="2"/>
  <c r="V167" i="2"/>
  <c r="V340" i="2"/>
  <c r="W340" i="2" s="1"/>
  <c r="V308" i="2"/>
  <c r="W308" i="2" s="1"/>
  <c r="V164" i="2"/>
  <c r="V104" i="2"/>
  <c r="W104" i="2" s="1"/>
  <c r="V595" i="2"/>
  <c r="W595" i="2" s="1"/>
  <c r="V39" i="2"/>
  <c r="V101" i="2"/>
  <c r="V403" i="2"/>
  <c r="W403" i="2" s="1"/>
  <c r="V301" i="2"/>
  <c r="V410" i="2"/>
  <c r="V640" i="2"/>
  <c r="V393" i="2"/>
  <c r="W393" i="2" s="1"/>
  <c r="V376" i="2"/>
  <c r="W376" i="2" s="1"/>
  <c r="V204" i="2"/>
  <c r="V556" i="2"/>
  <c r="V392" i="2"/>
  <c r="V282" i="2"/>
  <c r="W282" i="2" s="1"/>
  <c r="V344" i="2"/>
  <c r="V16" i="2"/>
  <c r="W16" i="2" s="1"/>
  <c r="V195" i="2"/>
  <c r="V583" i="2"/>
  <c r="W583" i="2" s="1"/>
  <c r="V230" i="2"/>
  <c r="W230" i="2" s="1"/>
  <c r="V276" i="2"/>
  <c r="V12" i="2"/>
  <c r="W12" i="2" s="1"/>
  <c r="V485" i="2"/>
  <c r="V351" i="2"/>
  <c r="V178" i="2"/>
  <c r="W178" i="2" s="1"/>
  <c r="V318" i="2"/>
  <c r="W318" i="2" s="1"/>
  <c r="V114" i="2"/>
  <c r="V84" i="2"/>
  <c r="V559" i="2"/>
  <c r="V462" i="2"/>
  <c r="W462" i="2" s="1"/>
  <c r="V428" i="2"/>
  <c r="V206" i="2"/>
  <c r="V608" i="2"/>
  <c r="V591" i="2"/>
  <c r="V81" i="2"/>
  <c r="V65" i="2"/>
  <c r="V492" i="2"/>
  <c r="V330" i="2"/>
  <c r="W330" i="2" s="1"/>
  <c r="V555" i="2"/>
  <c r="V95" i="2"/>
  <c r="V17" i="2"/>
  <c r="V94" i="2"/>
  <c r="W94" i="2" s="1"/>
  <c r="V41" i="2"/>
  <c r="W41" i="2" s="1"/>
  <c r="V200" i="2"/>
  <c r="V15" i="2"/>
  <c r="V263" i="2"/>
  <c r="W263" i="2" s="1"/>
  <c r="V420" i="2"/>
  <c r="W420" i="2" s="1"/>
  <c r="V370" i="2"/>
  <c r="V262" i="2"/>
  <c r="V580" i="2"/>
  <c r="V436" i="2"/>
  <c r="W436" i="2" s="1"/>
  <c r="V292" i="2"/>
  <c r="V197" i="2"/>
  <c r="V452" i="2"/>
  <c r="V338" i="2"/>
  <c r="V367" i="2"/>
  <c r="V431" i="2"/>
  <c r="W431" i="2" s="1"/>
  <c r="V209" i="2"/>
  <c r="V193" i="2"/>
  <c r="V147" i="2"/>
  <c r="V55" i="2"/>
  <c r="V176" i="2"/>
  <c r="W176" i="2" s="1"/>
  <c r="V115" i="2"/>
  <c r="V69" i="2"/>
  <c r="V7" i="2"/>
  <c r="W7" i="2" s="1"/>
  <c r="V83" i="2"/>
  <c r="V362" i="2"/>
  <c r="W362" i="2" s="1"/>
  <c r="V221" i="2"/>
  <c r="V128" i="2"/>
  <c r="V66" i="2"/>
  <c r="V443" i="2"/>
  <c r="V331" i="2"/>
  <c r="V97" i="2"/>
  <c r="W97" i="2" s="1"/>
  <c r="V171" i="2"/>
  <c r="W171" i="2" s="1"/>
  <c r="V424" i="2"/>
  <c r="V250" i="2"/>
  <c r="V202" i="2"/>
  <c r="V154" i="2"/>
  <c r="W154" i="2" s="1"/>
  <c r="V504" i="2"/>
  <c r="V469" i="2"/>
  <c r="V416" i="2"/>
  <c r="V305" i="2"/>
  <c r="V71" i="2"/>
  <c r="V516" i="2"/>
  <c r="V257" i="2"/>
  <c r="V413" i="2"/>
  <c r="V208" i="2"/>
  <c r="V482" i="2"/>
  <c r="V610" i="2"/>
  <c r="V364" i="2"/>
  <c r="W6" i="2"/>
  <c r="V129" i="2"/>
  <c r="W129" i="2" s="1"/>
  <c r="V394" i="2"/>
  <c r="W394" i="2" s="1"/>
  <c r="V510" i="2"/>
  <c r="W510" i="2" s="1"/>
  <c r="V606" i="2"/>
  <c r="V80" i="2"/>
  <c r="V140" i="2"/>
  <c r="V570" i="2"/>
  <c r="V233" i="2"/>
  <c r="V217" i="2"/>
  <c r="V585" i="2"/>
  <c r="V439" i="2"/>
  <c r="V341" i="2"/>
  <c r="W341" i="2" s="1"/>
  <c r="V310" i="2"/>
  <c r="V214" i="2"/>
  <c r="V166" i="2"/>
  <c r="W166" i="2" s="1"/>
  <c r="V119" i="2"/>
  <c r="V613" i="2"/>
  <c r="V532" i="2"/>
  <c r="V409" i="2"/>
  <c r="W409" i="2" s="1"/>
  <c r="V236" i="2"/>
  <c r="V408" i="2"/>
  <c r="W408" i="2" s="1"/>
  <c r="V227" i="2"/>
  <c r="W227" i="2" s="1"/>
  <c r="V261" i="2"/>
  <c r="V434" i="2"/>
  <c r="V25" i="2"/>
  <c r="W25" i="2" s="1"/>
  <c r="R9" i="31" s="1"/>
  <c r="V543" i="2"/>
  <c r="V396" i="2"/>
  <c r="V239" i="2"/>
  <c r="W239" i="2" s="1"/>
  <c r="V590" i="2"/>
  <c r="V299" i="2"/>
  <c r="V35" i="2"/>
  <c r="W35" i="2" s="1"/>
  <c r="V374" i="2"/>
  <c r="V387" i="2"/>
  <c r="V231" i="2"/>
  <c r="W231" i="2" s="1"/>
  <c r="V521" i="2"/>
  <c r="W521" i="2" s="1"/>
  <c r="V325" i="2"/>
  <c r="W325" i="2" s="1"/>
  <c r="V293" i="2"/>
  <c r="V29" i="2"/>
  <c r="W29" i="2" s="1"/>
  <c r="V599" i="2"/>
  <c r="V520" i="2"/>
  <c r="W520" i="2" s="1"/>
  <c r="V368" i="2"/>
  <c r="V629" i="2"/>
  <c r="V596" i="2"/>
  <c r="W596" i="2" s="1"/>
  <c r="V288" i="2"/>
  <c r="V643" i="2"/>
  <c r="W643" i="2" s="1"/>
  <c r="V577" i="2"/>
  <c r="V435" i="2"/>
  <c r="W435" i="2" s="1"/>
  <c r="V419" i="2"/>
  <c r="W419" i="2" s="1"/>
  <c r="V388" i="2"/>
  <c r="V161" i="2"/>
  <c r="V625" i="2"/>
  <c r="V461" i="2"/>
  <c r="V267" i="2"/>
  <c r="V406" i="2"/>
  <c r="V265" i="2"/>
  <c r="V619" i="2"/>
  <c r="V523" i="2"/>
  <c r="V372" i="2"/>
  <c r="V91" i="2"/>
  <c r="W91" i="2" s="1"/>
  <c r="V632" i="2"/>
  <c r="W632" i="2" s="1"/>
  <c r="V453" i="2"/>
  <c r="W453" i="2" s="1"/>
  <c r="V324" i="2"/>
  <c r="V432" i="2"/>
  <c r="W432" i="2" s="1"/>
  <c r="V380" i="2"/>
  <c r="W380" i="2" s="1"/>
  <c r="V131" i="2"/>
  <c r="V451" i="2"/>
  <c r="W451" i="2" s="1"/>
  <c r="V395" i="2"/>
  <c r="W395" i="2" s="1"/>
  <c r="V144" i="2"/>
  <c r="V124" i="2"/>
  <c r="W124" i="2" s="1"/>
  <c r="V493" i="2"/>
  <c r="V621" i="2"/>
  <c r="V79" i="2"/>
  <c r="V484" i="2"/>
  <c r="V327" i="2"/>
  <c r="V45" i="2"/>
  <c r="W45" i="2" s="1"/>
  <c r="V355" i="2"/>
  <c r="V277" i="2"/>
  <c r="V503" i="2"/>
  <c r="W503" i="2" s="1"/>
  <c r="V307" i="2"/>
  <c r="W307" i="2" s="1"/>
  <c r="V180" i="2"/>
  <c r="V89" i="2"/>
  <c r="V10" i="2"/>
  <c r="W10" i="2" s="1"/>
  <c r="V483" i="2"/>
  <c r="V620" i="2"/>
  <c r="V255" i="2"/>
  <c r="W255" i="2" s="1"/>
  <c r="V145" i="2"/>
  <c r="W145" i="2" s="1"/>
  <c r="V317" i="2"/>
  <c r="V52" i="2"/>
  <c r="V3" i="2"/>
  <c r="V155" i="2"/>
  <c r="W155" i="2" s="1"/>
  <c r="V622" i="2"/>
  <c r="W622" i="2" s="1"/>
  <c r="V407" i="2"/>
  <c r="V281" i="2"/>
  <c r="V125" i="2"/>
  <c r="W125" i="2" s="1"/>
  <c r="V437" i="2"/>
  <c r="V246" i="2"/>
  <c r="V198" i="2"/>
  <c r="V229" i="2"/>
  <c r="W229" i="2" s="1"/>
  <c r="V228" i="2"/>
  <c r="W228" i="2" s="1"/>
  <c r="V501" i="2"/>
  <c r="W501" i="2" s="1"/>
  <c r="V275" i="2"/>
  <c r="W275" i="2" s="1"/>
  <c r="V24" i="2"/>
  <c r="W24" i="2" s="1"/>
  <c r="V497" i="2"/>
  <c r="V224" i="2"/>
  <c r="W224" i="2" s="1"/>
  <c r="V37" i="2"/>
  <c r="W37" i="2" s="1"/>
  <c r="V592" i="2"/>
  <c r="V332" i="2"/>
  <c r="V300" i="2"/>
  <c r="W300" i="2" s="1"/>
  <c r="V173" i="2"/>
  <c r="V322" i="2"/>
  <c r="W322" i="2" s="1"/>
  <c r="V172" i="2"/>
  <c r="V571" i="2"/>
  <c r="V525" i="2"/>
  <c r="V425" i="2"/>
  <c r="V157" i="2"/>
  <c r="V34" i="2"/>
  <c r="W34" i="2" s="1"/>
  <c r="V186" i="2"/>
  <c r="W186" i="2" s="1"/>
  <c r="V343" i="2"/>
  <c r="V295" i="2"/>
  <c r="W295" i="2" s="1"/>
  <c r="V279" i="2"/>
  <c r="V139" i="2"/>
  <c r="V601" i="2"/>
  <c r="V356" i="2"/>
  <c r="V215" i="2"/>
  <c r="V630" i="2"/>
  <c r="V633" i="2"/>
  <c r="V309" i="2"/>
  <c r="V182" i="2"/>
  <c r="V75" i="2"/>
  <c r="W75" i="2" s="1"/>
  <c r="V59" i="2"/>
  <c r="V291" i="2"/>
  <c r="V260" i="2"/>
  <c r="V73" i="2"/>
  <c r="V274" i="2"/>
  <c r="V102" i="2"/>
  <c r="V465" i="2"/>
  <c r="V414" i="2"/>
  <c r="W414" i="2" s="1"/>
  <c r="V304" i="2"/>
  <c r="V54" i="2"/>
  <c r="W54" i="2" s="1"/>
  <c r="V588" i="2"/>
  <c r="W588" i="2" s="1"/>
  <c r="V641" i="2"/>
  <c r="V32" i="2"/>
  <c r="V134" i="2"/>
  <c r="V253" i="2"/>
  <c r="W253" i="2" s="1"/>
  <c r="V237" i="2"/>
  <c r="V188" i="2"/>
  <c r="W188" i="2" s="1"/>
  <c r="V235" i="2"/>
  <c r="V391" i="2"/>
  <c r="W391" i="2" s="1"/>
  <c r="V329" i="2"/>
  <c r="V218" i="2"/>
  <c r="V423" i="2"/>
  <c r="W423" i="2" s="1"/>
  <c r="V566" i="2"/>
  <c r="V385" i="2"/>
  <c r="W385" i="2" s="1"/>
  <c r="V196" i="2"/>
  <c r="V211" i="2"/>
  <c r="V382" i="2"/>
  <c r="V241" i="2"/>
  <c r="V463" i="2"/>
  <c r="V379" i="2"/>
  <c r="V411" i="2"/>
  <c r="V526" i="2"/>
  <c r="V427" i="2"/>
  <c r="W427" i="2" s="1"/>
  <c r="V284" i="2"/>
  <c r="V51" i="2"/>
  <c r="W51" i="2" s="1"/>
  <c r="V20" i="2"/>
  <c r="W20" i="2" s="1"/>
  <c r="Y20" i="2" s="1"/>
  <c r="V573" i="2"/>
  <c r="V142" i="2"/>
  <c r="V352" i="2"/>
  <c r="W352" i="2" s="1"/>
  <c r="V639" i="2"/>
  <c r="W639" i="2" s="1"/>
  <c r="V589" i="2"/>
  <c r="V298" i="2"/>
  <c r="V605" i="2"/>
  <c r="V587" i="2"/>
  <c r="V441" i="2"/>
  <c r="V216" i="2"/>
  <c r="V455" i="2"/>
  <c r="V371" i="2"/>
  <c r="W371" i="2" s="1"/>
  <c r="V617" i="2"/>
  <c r="V402" i="2"/>
  <c r="V386" i="2"/>
  <c r="W386" i="2" s="1"/>
  <c r="V43" i="2"/>
  <c r="V598" i="2"/>
  <c r="W598" i="2" s="1"/>
  <c r="V27" i="2"/>
  <c r="W27" i="2" s="1"/>
  <c r="V450" i="2"/>
  <c r="W450" i="2" s="1"/>
  <c r="V194" i="2"/>
  <c r="W194" i="2" s="1"/>
  <c r="V133" i="2"/>
  <c r="W133" i="2" s="1"/>
  <c r="V162" i="2"/>
  <c r="V635" i="2"/>
  <c r="V302" i="2"/>
  <c r="V495" i="2"/>
  <c r="V160" i="2"/>
  <c r="W160" i="2" s="1"/>
  <c r="V444" i="2"/>
  <c r="V541" i="2"/>
  <c r="V283" i="2"/>
  <c r="W283" i="2" s="1"/>
  <c r="V127" i="2"/>
  <c r="V259" i="2"/>
  <c r="V251" i="2"/>
  <c r="V187" i="2"/>
  <c r="W187" i="2" s="1"/>
  <c r="V553" i="2"/>
  <c r="V489" i="2"/>
  <c r="V405" i="2"/>
  <c r="W405" i="2" s="1"/>
  <c r="V62" i="2"/>
  <c r="V584" i="2"/>
  <c r="W584" i="2" s="1"/>
  <c r="V438" i="2"/>
  <c r="V122" i="2"/>
  <c r="V14" i="2"/>
  <c r="W14" i="2" s="1"/>
  <c r="V137" i="2"/>
  <c r="V470" i="2"/>
  <c r="W470" i="2" s="1"/>
  <c r="V42" i="2"/>
  <c r="W42" i="2" s="1"/>
  <c r="V117" i="2"/>
  <c r="V381" i="2"/>
  <c r="W381" i="2" s="1"/>
  <c r="V336" i="2"/>
  <c r="V8" i="2"/>
  <c r="W8" i="2" s="1"/>
  <c r="V447" i="2"/>
  <c r="V430" i="2"/>
  <c r="W430" i="2" s="1"/>
  <c r="V192" i="2"/>
  <c r="V85" i="2"/>
  <c r="V23" i="2"/>
  <c r="W23" i="2" s="1"/>
  <c r="V593" i="2"/>
  <c r="W593" i="2" s="1"/>
  <c r="V479" i="2"/>
  <c r="V100" i="2"/>
  <c r="W100" i="2" s="1"/>
  <c r="V478" i="2"/>
  <c r="W478" i="2" s="1"/>
  <c r="V378" i="2"/>
  <c r="V174" i="2"/>
  <c r="V377" i="2"/>
  <c r="V205" i="2"/>
  <c r="W205" i="2" s="1"/>
  <c r="V189" i="2"/>
  <c r="V460" i="2"/>
  <c r="W460" i="2" s="1"/>
  <c r="V459" i="2"/>
  <c r="W459" i="2" s="1"/>
  <c r="V234" i="2"/>
  <c r="V170" i="2"/>
  <c r="V110" i="2"/>
  <c r="W110" i="2" s="1"/>
  <c r="V264" i="2"/>
  <c r="V248" i="2"/>
  <c r="W248" i="2" s="1"/>
  <c r="V123" i="2"/>
  <c r="V487" i="2"/>
  <c r="V213" i="2"/>
  <c r="V614" i="2"/>
  <c r="V579" i="2"/>
  <c r="V563" i="2"/>
  <c r="V562" i="2"/>
  <c r="W562" i="2" s="1"/>
  <c r="V546" i="2"/>
  <c r="V499" i="2"/>
  <c r="V572" i="2"/>
  <c r="V467" i="2"/>
  <c r="V238" i="2"/>
  <c r="V290" i="2"/>
  <c r="W290" i="2" s="1"/>
  <c r="V542" i="2"/>
  <c r="V494" i="2"/>
  <c r="V143" i="2"/>
  <c r="V252" i="2"/>
  <c r="W252" i="2" s="1"/>
  <c r="V509" i="2"/>
  <c r="V49" i="2"/>
  <c r="W49" i="2" s="1"/>
  <c r="V539" i="2"/>
  <c r="V586" i="2"/>
  <c r="W586" i="2" s="1"/>
  <c r="V328" i="2"/>
  <c r="V280" i="2"/>
  <c r="V636" i="2"/>
  <c r="V568" i="2"/>
  <c r="V311" i="2"/>
  <c r="V153" i="2"/>
  <c r="W153" i="2" s="1"/>
  <c r="V138" i="2"/>
  <c r="V121" i="2"/>
  <c r="W121" i="2" s="1"/>
  <c r="V60" i="2"/>
  <c r="V151" i="2"/>
  <c r="V120" i="2"/>
  <c r="V631" i="2"/>
  <c r="V323" i="2"/>
  <c r="V547" i="2"/>
  <c r="V242" i="2"/>
  <c r="W242" i="2" s="1"/>
  <c r="V448" i="2"/>
  <c r="W448" i="2" s="1"/>
  <c r="V86" i="2"/>
  <c r="V464" i="2"/>
  <c r="W464" i="2" s="1"/>
  <c r="V256" i="2"/>
  <c r="W256" i="2" s="1"/>
  <c r="V429" i="2"/>
  <c r="W429" i="2" s="1"/>
  <c r="V334" i="2"/>
  <c r="W334" i="2" s="1"/>
  <c r="V109" i="2"/>
  <c r="W109" i="2" s="1"/>
  <c r="V88" i="2"/>
  <c r="V507" i="2"/>
  <c r="V457" i="2"/>
  <c r="V199" i="2"/>
  <c r="V502" i="2"/>
  <c r="V442" i="2"/>
  <c r="V126" i="2"/>
  <c r="W126" i="2" s="1"/>
  <c r="V358" i="2"/>
  <c r="W358" i="2" s="1"/>
  <c r="V249" i="2"/>
  <c r="V168" i="2"/>
  <c r="W168" i="2" s="1"/>
  <c r="V634" i="2"/>
  <c r="V567" i="2"/>
  <c r="V106" i="2"/>
  <c r="V418" i="2"/>
  <c r="W418" i="2" s="1"/>
  <c r="V549" i="2"/>
  <c r="W549" i="2" s="1"/>
  <c r="V56" i="2"/>
  <c r="V225" i="2"/>
  <c r="W225" i="2" s="1"/>
  <c r="V627" i="2"/>
  <c r="V561" i="2"/>
  <c r="V513" i="2"/>
  <c r="V223" i="2"/>
  <c r="W223" i="2" s="1"/>
  <c r="V175" i="2"/>
  <c r="W175" i="2" s="1"/>
  <c r="V575" i="2"/>
  <c r="W575" i="2" s="1"/>
  <c r="V445" i="2"/>
  <c r="W445" i="2" s="1"/>
  <c r="V333" i="2"/>
  <c r="W333" i="2" s="1"/>
  <c r="V564" i="2"/>
  <c r="V163" i="2"/>
  <c r="W163" i="2" s="1"/>
  <c r="V346" i="2"/>
  <c r="V268" i="2"/>
  <c r="V638" i="2"/>
  <c r="W638" i="2" s="1"/>
  <c r="V491" i="2"/>
  <c r="V475" i="2"/>
  <c r="V569" i="2"/>
  <c r="W569" i="2" s="1"/>
  <c r="V201" i="2"/>
  <c r="V78" i="2"/>
  <c r="V389" i="2"/>
  <c r="V77" i="2"/>
  <c r="W77" i="2" s="1"/>
  <c r="V46" i="2"/>
  <c r="V552" i="2"/>
  <c r="V536" i="2"/>
  <c r="V278" i="2"/>
  <c r="W278" i="2" s="1"/>
  <c r="V92" i="2"/>
  <c r="V417" i="2"/>
  <c r="W417" i="2" s="1"/>
  <c r="V466" i="2"/>
  <c r="V449" i="2"/>
  <c r="V612" i="2"/>
  <c r="W612" i="2" s="1"/>
  <c r="V578" i="2"/>
  <c r="W578" i="2" s="1"/>
  <c r="V320" i="2"/>
  <c r="V496" i="2"/>
  <c r="V22" i="2"/>
  <c r="W22" i="2" s="1"/>
  <c r="V36" i="2"/>
  <c r="V113" i="2"/>
  <c r="V557" i="2"/>
  <c r="W557" i="2" s="1"/>
  <c r="V540" i="2"/>
  <c r="V64" i="2"/>
  <c r="W64" i="2" s="1"/>
  <c r="V458" i="2"/>
  <c r="V63" i="2"/>
  <c r="W63" i="2" s="1"/>
  <c r="V48" i="2"/>
  <c r="W48" i="2" s="1"/>
  <c r="S23" i="31" s="1"/>
  <c r="V603" i="2"/>
  <c r="W603" i="2" s="1"/>
  <c r="V373" i="2"/>
  <c r="V473" i="2"/>
  <c r="V342" i="2"/>
  <c r="V31" i="2"/>
  <c r="V30" i="2"/>
  <c r="W30" i="2" s="1"/>
  <c r="V535" i="2"/>
  <c r="W535" i="2" s="1"/>
  <c r="V454" i="2"/>
  <c r="V165" i="2"/>
  <c r="V105" i="2"/>
  <c r="W105" i="2" s="1"/>
  <c r="V517" i="2"/>
  <c r="V350" i="2"/>
  <c r="V70" i="2"/>
  <c r="V146" i="2"/>
  <c r="W146" i="2" s="1"/>
  <c r="V112" i="2"/>
  <c r="W112" i="2" s="1"/>
  <c r="V266" i="2"/>
  <c r="W266" i="2" s="1"/>
  <c r="V616" i="2"/>
  <c r="W616" i="2" s="1"/>
  <c r="V181" i="2"/>
  <c r="V179" i="2"/>
  <c r="V615" i="2"/>
  <c r="W615" i="2" s="1"/>
  <c r="V150" i="2"/>
  <c r="V258" i="2"/>
  <c r="V514" i="2"/>
  <c r="V642" i="2"/>
  <c r="V626" i="2"/>
  <c r="V576" i="2"/>
  <c r="V271" i="2"/>
  <c r="W271" i="2" s="1"/>
  <c r="V623" i="2"/>
  <c r="V607" i="2"/>
  <c r="V220" i="2"/>
  <c r="W220" i="2" s="1"/>
  <c r="V158" i="2"/>
  <c r="V19" i="2"/>
  <c r="W19" i="2" s="1"/>
  <c r="V96" i="2"/>
  <c r="V508" i="2"/>
  <c r="V297" i="2"/>
  <c r="W297" i="2" s="1"/>
  <c r="V490" i="2"/>
  <c r="W490" i="2" s="1"/>
  <c r="V474" i="2"/>
  <c r="V312" i="2"/>
  <c r="W312" i="2" s="1"/>
  <c r="V581" i="2"/>
  <c r="W581" i="2" s="1"/>
  <c r="V519" i="2"/>
  <c r="V353" i="2"/>
  <c r="W353" i="2" s="1"/>
  <c r="V58" i="2"/>
  <c r="V468" i="2"/>
  <c r="V226" i="2"/>
  <c r="W226" i="2" s="1"/>
  <c r="V210" i="2"/>
  <c r="V40" i="2"/>
  <c r="V515" i="2"/>
  <c r="V383" i="2"/>
  <c r="W383" i="2" s="1"/>
  <c r="V363" i="2"/>
  <c r="V348" i="2"/>
  <c r="V222" i="2"/>
  <c r="V345" i="2"/>
  <c r="V314" i="2"/>
  <c r="V203" i="2"/>
  <c r="W203" i="2" s="1"/>
  <c r="V390" i="2"/>
  <c r="W390" i="2" s="1"/>
  <c r="V537" i="2"/>
  <c r="V456" i="2"/>
  <c r="W456" i="2" s="1"/>
  <c r="V357" i="2"/>
  <c r="V232" i="2"/>
  <c r="W232" i="2" s="1"/>
  <c r="V93" i="2"/>
  <c r="V472" i="2"/>
  <c r="V326" i="2"/>
  <c r="W326" i="2" s="1"/>
  <c r="V183" i="2"/>
  <c r="V582" i="2"/>
  <c r="W582" i="2" s="1"/>
  <c r="V136" i="2"/>
  <c r="W136" i="2" s="1"/>
  <c r="V339" i="2"/>
  <c r="V415" i="2"/>
  <c r="V321" i="2"/>
  <c r="W321" i="2" s="1"/>
  <c r="V273" i="2"/>
  <c r="V335" i="2"/>
  <c r="V303" i="2"/>
  <c r="V527" i="2"/>
  <c r="V118" i="2"/>
  <c r="V522" i="2"/>
  <c r="V551" i="2"/>
  <c r="V471" i="2"/>
  <c r="V152" i="2"/>
  <c r="V354" i="2"/>
  <c r="W354" i="2" s="1"/>
  <c r="V533" i="2"/>
  <c r="V400" i="2"/>
  <c r="W400" i="2" s="1"/>
  <c r="V212" i="2"/>
  <c r="W212" i="2" s="1"/>
  <c r="V87" i="2"/>
  <c r="V9" i="2"/>
  <c r="W9" i="2" s="1"/>
  <c r="V481" i="2"/>
  <c r="V116" i="2"/>
  <c r="W116" i="2" s="1"/>
  <c r="V560" i="2"/>
  <c r="V528" i="2"/>
  <c r="V349" i="2"/>
  <c r="V207" i="2"/>
  <c r="V68" i="2"/>
  <c r="V67" i="2"/>
  <c r="V511" i="2"/>
  <c r="V316" i="2"/>
  <c r="V72" i="2"/>
  <c r="V50" i="2"/>
  <c r="V156" i="2"/>
  <c r="W156" i="2" s="1"/>
  <c r="V243" i="2"/>
  <c r="W243" i="2" s="1"/>
  <c r="V184" i="2"/>
  <c r="V618" i="2"/>
  <c r="V294" i="2"/>
  <c r="V534" i="2"/>
  <c r="V28" i="2"/>
  <c r="V433" i="2"/>
  <c r="W433" i="2" s="1"/>
  <c r="V500" i="2"/>
  <c r="V337" i="2"/>
  <c r="W337" i="2" s="1"/>
  <c r="V530" i="2"/>
  <c r="V611" i="2"/>
  <c r="W611" i="2" s="1"/>
  <c r="V594" i="2"/>
  <c r="W594" i="2" s="1"/>
  <c r="V545" i="2"/>
  <c r="V498" i="2"/>
  <c r="V426" i="2"/>
  <c r="V375" i="2"/>
  <c r="V506" i="2"/>
  <c r="V422" i="2"/>
  <c r="V61" i="2"/>
  <c r="V44" i="2"/>
  <c r="V13" i="2"/>
  <c r="V11" i="2"/>
  <c r="V289" i="2"/>
  <c r="V272" i="2"/>
  <c r="W272" i="2" s="1"/>
  <c r="V609" i="2"/>
  <c r="V99" i="2"/>
  <c r="W99" i="2" s="1"/>
  <c r="V26" i="2"/>
  <c r="V574" i="2"/>
  <c r="V98" i="2"/>
  <c r="W98" i="2" s="1"/>
  <c r="V18" i="2"/>
  <c r="W18" i="2" s="1"/>
  <c r="V524" i="2"/>
  <c r="V637" i="2"/>
  <c r="V169" i="2"/>
  <c r="V488" i="2"/>
  <c r="V404" i="2"/>
  <c r="V76" i="2"/>
  <c r="V245" i="2"/>
  <c r="W245" i="2" s="1"/>
  <c r="V90" i="2"/>
  <c r="V518" i="2"/>
  <c r="W518" i="2" s="1"/>
  <c r="V103" i="2"/>
  <c r="V132" i="2"/>
  <c r="V480" i="2"/>
  <c r="V365" i="2"/>
  <c r="V130" i="2"/>
  <c r="W130" i="2" s="1"/>
  <c r="V185" i="2"/>
  <c r="V306" i="2"/>
  <c r="V21" i="2"/>
  <c r="W21" i="2" s="1"/>
  <c r="V4" i="2"/>
  <c r="W4" i="2" s="1"/>
  <c r="V399" i="2"/>
  <c r="W399" i="2" s="1"/>
  <c r="V74" i="2"/>
  <c r="V384" i="2"/>
  <c r="W384" i="2" s="1"/>
  <c r="V240" i="2"/>
  <c r="W240" i="2" s="1"/>
  <c r="V38" i="2"/>
  <c r="V53" i="2"/>
  <c r="W53" i="2" s="1"/>
  <c r="V544" i="2"/>
  <c r="V270" i="2"/>
  <c r="V548" i="2"/>
  <c r="W548" i="2" s="1"/>
  <c r="V347" i="2"/>
  <c r="W347" i="2" s="1"/>
  <c r="V159" i="2"/>
  <c r="W159" i="2" s="1"/>
  <c r="V315" i="2"/>
  <c r="W315" i="2" s="1"/>
  <c r="V554" i="2"/>
  <c r="V440" i="2"/>
  <c r="V47" i="2"/>
  <c r="V597" i="2"/>
  <c r="V421" i="2"/>
  <c r="W421" i="2" s="1"/>
  <c r="V247" i="2"/>
  <c r="W247" i="2" s="1"/>
  <c r="V107" i="2"/>
  <c r="W107" i="2" s="1"/>
  <c r="V486" i="2"/>
  <c r="V244" i="2"/>
  <c r="W244" i="2" s="1"/>
  <c r="V148" i="2"/>
  <c r="V398" i="2"/>
  <c r="V177" i="2"/>
  <c r="X15" i="31"/>
  <c r="W15" i="31"/>
  <c r="AH18" i="31"/>
  <c r="AH10" i="31"/>
  <c r="AH20" i="31"/>
  <c r="AI22" i="31"/>
  <c r="AI24" i="31"/>
  <c r="AH26" i="31"/>
  <c r="AH33" i="31"/>
  <c r="AH6" i="31"/>
  <c r="AH7" i="31"/>
  <c r="AH11" i="31"/>
  <c r="AH19" i="31"/>
  <c r="AH25" i="31"/>
  <c r="AH32" i="31"/>
  <c r="AI12" i="31"/>
  <c r="AH8" i="31"/>
  <c r="AH13" i="31"/>
  <c r="AH21" i="31"/>
  <c r="AH27" i="31"/>
  <c r="AH15" i="31"/>
  <c r="AH28" i="31"/>
  <c r="AH3" i="31"/>
  <c r="AH16" i="31"/>
  <c r="AH29" i="31"/>
  <c r="AH4" i="31"/>
  <c r="AH31" i="31"/>
  <c r="AH5" i="31"/>
  <c r="AH9" i="31"/>
  <c r="AH17" i="31"/>
  <c r="AE7" i="31"/>
  <c r="AE19" i="31"/>
  <c r="AF22" i="31"/>
  <c r="AE32" i="31"/>
  <c r="AA6" i="31"/>
  <c r="AM6" i="31" s="1"/>
  <c r="AN6" i="31" s="1"/>
  <c r="AA18" i="31"/>
  <c r="AA10" i="31"/>
  <c r="Z7" i="31"/>
  <c r="Z11" i="31"/>
  <c r="Z19" i="31"/>
  <c r="Z25" i="31"/>
  <c r="Z32" i="31"/>
  <c r="Z12" i="31"/>
  <c r="Z20" i="31"/>
  <c r="Z26" i="31"/>
  <c r="Z8" i="31"/>
  <c r="Z13" i="31"/>
  <c r="Z21" i="31"/>
  <c r="Z27" i="31"/>
  <c r="Z15" i="31"/>
  <c r="Z22" i="31"/>
  <c r="Z28" i="31"/>
  <c r="Z33" i="31"/>
  <c r="Z3" i="31"/>
  <c r="Z16" i="31"/>
  <c r="Z29" i="31"/>
  <c r="Z4" i="31"/>
  <c r="Z24" i="31"/>
  <c r="Z31" i="31"/>
  <c r="Z5" i="31"/>
  <c r="Z9" i="31"/>
  <c r="Z17" i="31"/>
  <c r="AE5" i="31"/>
  <c r="AE9" i="31"/>
  <c r="AE17" i="31"/>
  <c r="AE6" i="31"/>
  <c r="AE10" i="31"/>
  <c r="AE18" i="31"/>
  <c r="AE11" i="31"/>
  <c r="AE25" i="31"/>
  <c r="AE12" i="31"/>
  <c r="AE20" i="31"/>
  <c r="AE26" i="31"/>
  <c r="AE8" i="31"/>
  <c r="AE13" i="31"/>
  <c r="AE21" i="31"/>
  <c r="AE27" i="31"/>
  <c r="AE15" i="31"/>
  <c r="AE28" i="31"/>
  <c r="AE33" i="31"/>
  <c r="AE3" i="31"/>
  <c r="AE16" i="31"/>
  <c r="AE29" i="31"/>
  <c r="AE4" i="31"/>
  <c r="AE24" i="31"/>
  <c r="AE31" i="31"/>
  <c r="X25" i="31"/>
  <c r="W26" i="31"/>
  <c r="X32" i="31"/>
  <c r="W4" i="31"/>
  <c r="X7" i="31"/>
  <c r="X11" i="31"/>
  <c r="W12" i="31"/>
  <c r="X19" i="31"/>
  <c r="W22" i="31"/>
  <c r="W28" i="31"/>
  <c r="W33" i="31"/>
  <c r="W3" i="31"/>
  <c r="W16" i="31"/>
  <c r="W29" i="31"/>
  <c r="W31" i="31"/>
  <c r="X24" i="31"/>
  <c r="W5" i="31"/>
  <c r="W9" i="31"/>
  <c r="W17" i="31"/>
  <c r="W6" i="31"/>
  <c r="W10" i="31"/>
  <c r="W18" i="31"/>
  <c r="X20" i="31"/>
  <c r="W8" i="31"/>
  <c r="W13" i="31"/>
  <c r="W21" i="31"/>
  <c r="W27" i="31"/>
  <c r="M31" i="31"/>
  <c r="M6" i="31"/>
  <c r="AK6" i="31"/>
  <c r="M5" i="31"/>
  <c r="AM31" i="31"/>
  <c r="AN31" i="31" s="1"/>
  <c r="AK31" i="31"/>
  <c r="AL5" i="31"/>
  <c r="AH2" i="31"/>
  <c r="AE2" i="31"/>
  <c r="AA2" i="31"/>
  <c r="W2" i="31"/>
  <c r="R5" i="31" l="1"/>
  <c r="R4" i="31"/>
  <c r="R23" i="31"/>
  <c r="T23" i="31" s="1"/>
  <c r="U23" i="31" s="1"/>
  <c r="AO23" i="31" s="1"/>
  <c r="X691" i="2" s="1"/>
  <c r="Y691" i="2" s="1"/>
  <c r="R11" i="31"/>
  <c r="S30" i="31"/>
  <c r="R30" i="31"/>
  <c r="R12" i="31"/>
  <c r="R3" i="31"/>
  <c r="R18" i="31"/>
  <c r="R8" i="31"/>
  <c r="R26" i="31"/>
  <c r="R22" i="31"/>
  <c r="S14" i="31"/>
  <c r="R14" i="31"/>
  <c r="R32" i="31"/>
  <c r="S9" i="31"/>
  <c r="S26" i="31"/>
  <c r="R29" i="31"/>
  <c r="R16" i="31"/>
  <c r="R7" i="31"/>
  <c r="R2" i="31"/>
  <c r="R10" i="31"/>
  <c r="R21" i="31"/>
  <c r="R28" i="31"/>
  <c r="R17" i="31"/>
  <c r="R33" i="31"/>
  <c r="R15" i="31"/>
  <c r="R31" i="31"/>
  <c r="S24" i="31"/>
  <c r="R24" i="31"/>
  <c r="R13" i="31"/>
  <c r="R20" i="31"/>
  <c r="R19" i="31"/>
  <c r="R25" i="31"/>
  <c r="R27" i="31"/>
  <c r="R6" i="31"/>
  <c r="S7" i="31"/>
  <c r="S16" i="31"/>
  <c r="S22" i="31"/>
  <c r="S20" i="31"/>
  <c r="S2" i="31"/>
  <c r="S5" i="31"/>
  <c r="S10" i="31"/>
  <c r="S32" i="31"/>
  <c r="S19" i="31"/>
  <c r="S21" i="31"/>
  <c r="S12" i="31"/>
  <c r="S6" i="31"/>
  <c r="S13" i="31"/>
  <c r="S27" i="31"/>
  <c r="S15" i="31"/>
  <c r="S33" i="31"/>
  <c r="S8" i="31"/>
  <c r="S4" i="31"/>
  <c r="S3" i="31"/>
  <c r="S31" i="31"/>
  <c r="S28" i="31"/>
  <c r="S11" i="31"/>
  <c r="S29" i="31"/>
  <c r="S25" i="31"/>
  <c r="S17" i="31"/>
  <c r="S18" i="31"/>
  <c r="AT6" i="31"/>
  <c r="AS6" i="31"/>
  <c r="AR6" i="31"/>
  <c r="N514" i="11" s="1"/>
  <c r="O514" i="11" s="1"/>
  <c r="AQ6" i="31"/>
  <c r="AP6" i="31"/>
  <c r="K104" i="8" s="1"/>
  <c r="AT31" i="31"/>
  <c r="AS31" i="31"/>
  <c r="AR31" i="31"/>
  <c r="AQ31" i="31"/>
  <c r="AP31" i="31"/>
  <c r="K116" i="8" s="1"/>
  <c r="AM5" i="31"/>
  <c r="AN5" i="31" s="1"/>
  <c r="AM15" i="31"/>
  <c r="AM28" i="31"/>
  <c r="AM9" i="31"/>
  <c r="AM10" i="31"/>
  <c r="AM32" i="31"/>
  <c r="AM11" i="31"/>
  <c r="AM27" i="31"/>
  <c r="AM29" i="31"/>
  <c r="AM18" i="31"/>
  <c r="AM26" i="31"/>
  <c r="AM16" i="31"/>
  <c r="AM12" i="31"/>
  <c r="AM4" i="31"/>
  <c r="AM25" i="31"/>
  <c r="AM21" i="31"/>
  <c r="AM24" i="31"/>
  <c r="AM8" i="31"/>
  <c r="AM19" i="31"/>
  <c r="AM7" i="31"/>
  <c r="AM33" i="31"/>
  <c r="AM17" i="31"/>
  <c r="AM13" i="31"/>
  <c r="AM20" i="31"/>
  <c r="AM3" i="31"/>
  <c r="AM22" i="31"/>
  <c r="N5" i="11" l="1"/>
  <c r="O5" i="11" s="1"/>
  <c r="N217" i="11"/>
  <c r="O217" i="11" s="1"/>
  <c r="N18" i="11"/>
  <c r="O18" i="11" s="1"/>
  <c r="N529" i="11"/>
  <c r="O529" i="11" s="1"/>
  <c r="N72" i="11"/>
  <c r="O72" i="11" s="1"/>
  <c r="N75" i="11"/>
  <c r="O75" i="11" s="1"/>
  <c r="O507" i="11"/>
  <c r="L250" i="9"/>
  <c r="L50" i="9"/>
  <c r="L120" i="9"/>
  <c r="L218" i="9"/>
  <c r="L27" i="9"/>
  <c r="L151" i="9"/>
  <c r="L39" i="9"/>
  <c r="T30" i="31"/>
  <c r="U30" i="31" s="1"/>
  <c r="AO30" i="31" s="1"/>
  <c r="AU23" i="31"/>
  <c r="T5" i="31"/>
  <c r="U5" i="31" s="1"/>
  <c r="AO5" i="31" s="1"/>
  <c r="T14" i="31"/>
  <c r="U14" i="31" s="1"/>
  <c r="AO14" i="31" s="1"/>
  <c r="T31" i="31"/>
  <c r="U31" i="31" s="1"/>
  <c r="AO31" i="31" s="1"/>
  <c r="T6" i="31"/>
  <c r="U6" i="31" s="1"/>
  <c r="AO6" i="31" s="1"/>
  <c r="X111" i="2" s="1"/>
  <c r="Y111" i="2" s="1"/>
  <c r="AQ5" i="31"/>
  <c r="AR5" i="31"/>
  <c r="N588" i="11" s="1"/>
  <c r="O588" i="11" s="1"/>
  <c r="AS5" i="31"/>
  <c r="AP5" i="31"/>
  <c r="AT5" i="31"/>
  <c r="N9" i="14"/>
  <c r="N8" i="14"/>
  <c r="N7" i="14"/>
  <c r="N6" i="14"/>
  <c r="N5" i="14"/>
  <c r="N4" i="14"/>
  <c r="N3" i="14"/>
  <c r="N2" i="14"/>
  <c r="P139" i="11"/>
  <c r="AZ4" i="31"/>
  <c r="AY4" i="31"/>
  <c r="T4" i="31"/>
  <c r="M4" i="31"/>
  <c r="AA2" i="2"/>
  <c r="C10" i="50"/>
  <c r="D9" i="50"/>
  <c r="C7" i="50"/>
  <c r="B10" i="50"/>
  <c r="G17" i="50"/>
  <c r="H17" i="50" s="1"/>
  <c r="G16" i="50"/>
  <c r="H16" i="50" s="1"/>
  <c r="G15" i="50"/>
  <c r="H15" i="50" s="1"/>
  <c r="F14" i="50"/>
  <c r="F6" i="50"/>
  <c r="K2" i="50"/>
  <c r="B13" i="50" s="1"/>
  <c r="J2" i="50"/>
  <c r="B12" i="50" s="1"/>
  <c r="I2" i="50"/>
  <c r="B11" i="50" s="1"/>
  <c r="N203" i="11" l="1"/>
  <c r="O203" i="11" s="1"/>
  <c r="N518" i="11"/>
  <c r="O518" i="11" s="1"/>
  <c r="L130" i="9"/>
  <c r="L241" i="9"/>
  <c r="L160" i="9"/>
  <c r="L134" i="9"/>
  <c r="L102" i="9"/>
  <c r="L213" i="9"/>
  <c r="L179" i="9"/>
  <c r="AU30" i="31"/>
  <c r="X678" i="2"/>
  <c r="Y678" i="2" s="1"/>
  <c r="X652" i="2"/>
  <c r="Y652" i="2" s="1"/>
  <c r="X646" i="2"/>
  <c r="Y646" i="2" s="1"/>
  <c r="X673" i="2"/>
  <c r="Y673" i="2" s="1"/>
  <c r="X717" i="2"/>
  <c r="Y717" i="2" s="1"/>
  <c r="X701" i="2"/>
  <c r="Y701" i="2" s="1"/>
  <c r="X719" i="2"/>
  <c r="Y719" i="2" s="1"/>
  <c r="X684" i="2"/>
  <c r="Y684" i="2" s="1"/>
  <c r="X558" i="2"/>
  <c r="Y558" i="2" s="1"/>
  <c r="X700" i="2"/>
  <c r="Y700" i="2" s="1"/>
  <c r="X681" i="2"/>
  <c r="Y681" i="2" s="1"/>
  <c r="X694" i="2"/>
  <c r="Y694" i="2" s="1"/>
  <c r="X708" i="2"/>
  <c r="Y708" i="2" s="1"/>
  <c r="X677" i="2"/>
  <c r="Y677" i="2" s="1"/>
  <c r="X714" i="2"/>
  <c r="Y714" i="2" s="1"/>
  <c r="X665" i="2"/>
  <c r="Y665" i="2" s="1"/>
  <c r="Y585" i="2"/>
  <c r="X570" i="2"/>
  <c r="Y570" i="2" s="1"/>
  <c r="X610" i="2"/>
  <c r="Y610" i="2" s="1"/>
  <c r="X141" i="2"/>
  <c r="Y141" i="2" s="1"/>
  <c r="X246" i="2"/>
  <c r="Y246" i="2" s="1"/>
  <c r="X145" i="2"/>
  <c r="Y145" i="2" s="1"/>
  <c r="X228" i="2"/>
  <c r="Y228" i="2" s="1"/>
  <c r="X224" i="2"/>
  <c r="Y224" i="2" s="1"/>
  <c r="X24" i="2"/>
  <c r="Y24" i="2" s="1"/>
  <c r="AU14" i="31"/>
  <c r="AU6" i="31"/>
  <c r="AU31" i="31"/>
  <c r="C11" i="50"/>
  <c r="C8" i="50"/>
  <c r="E8" i="50" s="1"/>
  <c r="C9" i="50"/>
  <c r="C12" i="50"/>
  <c r="C13" i="50"/>
  <c r="AU5" i="31"/>
  <c r="AN4" i="31"/>
  <c r="AR4" i="31" s="1"/>
  <c r="U4" i="31"/>
  <c r="AK4" i="31"/>
  <c r="G10" i="50"/>
  <c r="H10" i="50" s="1"/>
  <c r="E7" i="50"/>
  <c r="AY3" i="31"/>
  <c r="AZ3" i="31"/>
  <c r="AY7" i="31"/>
  <c r="AZ7" i="31"/>
  <c r="AY8" i="31"/>
  <c r="AZ8" i="31"/>
  <c r="AK9" i="31"/>
  <c r="AY9" i="31"/>
  <c r="AZ9" i="31"/>
  <c r="AY10" i="31"/>
  <c r="AZ10" i="31"/>
  <c r="AY11" i="31"/>
  <c r="AZ11" i="31"/>
  <c r="AY12" i="31"/>
  <c r="AZ12" i="31"/>
  <c r="AY13" i="31"/>
  <c r="AZ13" i="31"/>
  <c r="AY15" i="31"/>
  <c r="AZ15" i="31"/>
  <c r="AK16" i="31"/>
  <c r="AY16" i="31"/>
  <c r="AZ16" i="31"/>
  <c r="AK17" i="31"/>
  <c r="AY17" i="31"/>
  <c r="AZ17" i="31"/>
  <c r="AY26" i="31"/>
  <c r="AZ26" i="31"/>
  <c r="AY18" i="31"/>
  <c r="AZ18" i="31"/>
  <c r="AY19" i="31"/>
  <c r="AZ19" i="31"/>
  <c r="AY20" i="31"/>
  <c r="AZ20" i="31"/>
  <c r="AY21" i="31"/>
  <c r="AZ21" i="31"/>
  <c r="AK22" i="31"/>
  <c r="AY22" i="31"/>
  <c r="AZ22" i="31"/>
  <c r="AK24" i="31"/>
  <c r="AY24" i="31"/>
  <c r="AZ24" i="31"/>
  <c r="AY25" i="31"/>
  <c r="AZ25" i="31"/>
  <c r="AY27" i="31"/>
  <c r="AZ27" i="31"/>
  <c r="AK28" i="31"/>
  <c r="AY28" i="31"/>
  <c r="AZ28" i="31"/>
  <c r="AY29" i="31"/>
  <c r="AZ29" i="31"/>
  <c r="AK32" i="31"/>
  <c r="AY32" i="31"/>
  <c r="AZ32" i="31"/>
  <c r="AY33" i="31"/>
  <c r="AZ33" i="31"/>
  <c r="C2" i="47"/>
  <c r="M286" i="20"/>
  <c r="M285" i="20"/>
  <c r="M284" i="20"/>
  <c r="M283" i="20"/>
  <c r="M282" i="20"/>
  <c r="M281" i="20"/>
  <c r="M280" i="20"/>
  <c r="M279" i="20"/>
  <c r="M278" i="20"/>
  <c r="M277" i="20"/>
  <c r="M276" i="20"/>
  <c r="M275" i="20"/>
  <c r="M274" i="20"/>
  <c r="M273" i="20"/>
  <c r="M272" i="20"/>
  <c r="M271" i="20"/>
  <c r="M270" i="20"/>
  <c r="M269" i="20"/>
  <c r="M268" i="20"/>
  <c r="M267" i="20"/>
  <c r="M266" i="20"/>
  <c r="M265" i="20"/>
  <c r="M264" i="20"/>
  <c r="M263" i="20"/>
  <c r="M262" i="20"/>
  <c r="M261" i="20"/>
  <c r="M260" i="20"/>
  <c r="M259" i="20"/>
  <c r="M258" i="20"/>
  <c r="M257" i="20"/>
  <c r="M256" i="20"/>
  <c r="M255" i="20"/>
  <c r="M254" i="20"/>
  <c r="M253" i="20"/>
  <c r="M252" i="20"/>
  <c r="M251" i="20"/>
  <c r="M250" i="20"/>
  <c r="M249" i="20"/>
  <c r="M248" i="20"/>
  <c r="M247" i="20"/>
  <c r="M246" i="20"/>
  <c r="M245" i="20"/>
  <c r="M244" i="20"/>
  <c r="M243" i="20"/>
  <c r="M242" i="20"/>
  <c r="M241" i="20"/>
  <c r="M240" i="20"/>
  <c r="M239" i="20"/>
  <c r="M238" i="20"/>
  <c r="M237" i="20"/>
  <c r="M236" i="20"/>
  <c r="M235" i="20"/>
  <c r="M234" i="20"/>
  <c r="M233" i="20"/>
  <c r="M232" i="20"/>
  <c r="M231" i="20"/>
  <c r="M230" i="20"/>
  <c r="M229" i="20"/>
  <c r="M228" i="20"/>
  <c r="M227" i="20"/>
  <c r="M226" i="20"/>
  <c r="M225" i="20"/>
  <c r="M224" i="20"/>
  <c r="M223" i="20"/>
  <c r="M222" i="20"/>
  <c r="M221" i="20"/>
  <c r="M220" i="20"/>
  <c r="M219" i="20"/>
  <c r="M218" i="20"/>
  <c r="M217" i="20"/>
  <c r="M216" i="20"/>
  <c r="M215" i="20"/>
  <c r="M214" i="20"/>
  <c r="M213" i="20"/>
  <c r="M212" i="20"/>
  <c r="M211" i="20"/>
  <c r="M210" i="20"/>
  <c r="M209" i="20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M2" i="9"/>
  <c r="AO4" i="31" l="1"/>
  <c r="AT4" i="31"/>
  <c r="AS4" i="31"/>
  <c r="AQ4" i="31"/>
  <c r="AP4" i="31"/>
  <c r="T9" i="31"/>
  <c r="U9" i="31" s="1"/>
  <c r="M12" i="31"/>
  <c r="AK3" i="31"/>
  <c r="AK13" i="31"/>
  <c r="T18" i="31"/>
  <c r="U18" i="31" s="1"/>
  <c r="M29" i="31"/>
  <c r="T17" i="31"/>
  <c r="U17" i="31" s="1"/>
  <c r="T11" i="31"/>
  <c r="U11" i="31" s="1"/>
  <c r="M9" i="31"/>
  <c r="T27" i="31"/>
  <c r="U27" i="31" s="1"/>
  <c r="T12" i="31"/>
  <c r="U12" i="31" s="1"/>
  <c r="M20" i="31"/>
  <c r="M10" i="31"/>
  <c r="M22" i="31"/>
  <c r="M3" i="31"/>
  <c r="AK33" i="31"/>
  <c r="M27" i="31"/>
  <c r="T25" i="31"/>
  <c r="U25" i="31" s="1"/>
  <c r="T26" i="31"/>
  <c r="U26" i="31" s="1"/>
  <c r="T7" i="31"/>
  <c r="U7" i="31" s="1"/>
  <c r="T21" i="31"/>
  <c r="U21" i="31" s="1"/>
  <c r="T19" i="31"/>
  <c r="U19" i="31" s="1"/>
  <c r="T29" i="31"/>
  <c r="U29" i="31" s="1"/>
  <c r="M25" i="31"/>
  <c r="M32" i="31"/>
  <c r="AK21" i="31"/>
  <c r="AK19" i="31"/>
  <c r="AK7" i="31"/>
  <c r="AK11" i="31"/>
  <c r="T3" i="31"/>
  <c r="U3" i="31" s="1"/>
  <c r="M24" i="31"/>
  <c r="M11" i="31"/>
  <c r="T10" i="31"/>
  <c r="U10" i="31" s="1"/>
  <c r="AK27" i="31"/>
  <c r="AK18" i="31"/>
  <c r="T15" i="31"/>
  <c r="U15" i="31" s="1"/>
  <c r="T33" i="31"/>
  <c r="U33" i="31" s="1"/>
  <c r="AK26" i="31"/>
  <c r="M17" i="31"/>
  <c r="AK12" i="31"/>
  <c r="T28" i="31"/>
  <c r="U28" i="31" s="1"/>
  <c r="M16" i="31"/>
  <c r="T13" i="31"/>
  <c r="U13" i="31" s="1"/>
  <c r="T22" i="31"/>
  <c r="U22" i="31" s="1"/>
  <c r="M33" i="31"/>
  <c r="T32" i="31"/>
  <c r="U32" i="31" s="1"/>
  <c r="M26" i="31"/>
  <c r="M7" i="31"/>
  <c r="AK29" i="31"/>
  <c r="M28" i="31"/>
  <c r="AK10" i="31"/>
  <c r="T8" i="31"/>
  <c r="U8" i="31" s="1"/>
  <c r="AK25" i="31"/>
  <c r="M18" i="31"/>
  <c r="M13" i="31"/>
  <c r="AK8" i="31"/>
  <c r="T24" i="31"/>
  <c r="U24" i="31" s="1"/>
  <c r="T20" i="31"/>
  <c r="U20" i="31" s="1"/>
  <c r="M19" i="31"/>
  <c r="AK15" i="31"/>
  <c r="AK20" i="31"/>
  <c r="T16" i="31"/>
  <c r="M8" i="31"/>
  <c r="M21" i="31"/>
  <c r="M15" i="31"/>
  <c r="D2" i="47"/>
  <c r="AL2" i="31"/>
  <c r="H2" i="47"/>
  <c r="N488" i="11" l="1"/>
  <c r="O488" i="11" s="1"/>
  <c r="N431" i="11"/>
  <c r="O431" i="11" s="1"/>
  <c r="N487" i="11"/>
  <c r="O487" i="11" s="1"/>
  <c r="N474" i="11"/>
  <c r="O474" i="11" s="1"/>
  <c r="N179" i="11"/>
  <c r="O179" i="11" s="1"/>
  <c r="N308" i="11"/>
  <c r="O308" i="11" s="1"/>
  <c r="N517" i="11"/>
  <c r="O517" i="11" s="1"/>
  <c r="N47" i="11"/>
  <c r="O47" i="11" s="1"/>
  <c r="N71" i="11"/>
  <c r="O71" i="11" s="1"/>
  <c r="N315" i="11"/>
  <c r="O315" i="11" s="1"/>
  <c r="N561" i="11"/>
  <c r="O561" i="11" s="1"/>
  <c r="L202" i="9"/>
  <c r="L25" i="9"/>
  <c r="L103" i="9"/>
  <c r="L95" i="9"/>
  <c r="L32" i="9"/>
  <c r="L158" i="9"/>
  <c r="L235" i="9"/>
  <c r="L115" i="9"/>
  <c r="L116" i="9"/>
  <c r="L107" i="9"/>
  <c r="K119" i="8"/>
  <c r="K96" i="8"/>
  <c r="X710" i="2"/>
  <c r="Y710" i="2" s="1"/>
  <c r="X676" i="2"/>
  <c r="Y676" i="2" s="1"/>
  <c r="X655" i="2"/>
  <c r="Y655" i="2" s="1"/>
  <c r="X666" i="2"/>
  <c r="Y666" i="2" s="1"/>
  <c r="X565" i="2"/>
  <c r="Y565" i="2" s="1"/>
  <c r="X229" i="2"/>
  <c r="Y229" i="2" s="1"/>
  <c r="X364" i="2"/>
  <c r="Y364" i="2" s="1"/>
  <c r="X418" i="2"/>
  <c r="Y418" i="2" s="1"/>
  <c r="X106" i="2"/>
  <c r="Y106" i="2" s="1"/>
  <c r="AU4" i="31"/>
  <c r="AN19" i="31"/>
  <c r="AO19" i="31" s="1"/>
  <c r="AN26" i="31"/>
  <c r="AO26" i="31" s="1"/>
  <c r="X275" i="2" s="1"/>
  <c r="Y275" i="2" s="1"/>
  <c r="AN7" i="31"/>
  <c r="AO7" i="31" s="1"/>
  <c r="AN3" i="31"/>
  <c r="AO3" i="31" s="1"/>
  <c r="X627" i="2" s="1"/>
  <c r="Y627" i="2" s="1"/>
  <c r="AN11" i="31"/>
  <c r="AO11" i="31" s="1"/>
  <c r="X249" i="2" s="1"/>
  <c r="Y249" i="2" s="1"/>
  <c r="AN21" i="31"/>
  <c r="AO21" i="31" s="1"/>
  <c r="X634" i="2" s="1"/>
  <c r="Y634" i="2" s="1"/>
  <c r="AN15" i="31"/>
  <c r="AO15" i="31" s="1"/>
  <c r="U16" i="31"/>
  <c r="AN8" i="31"/>
  <c r="AO8" i="31" s="1"/>
  <c r="X168" i="2" s="1"/>
  <c r="Y168" i="2" s="1"/>
  <c r="AN10" i="31"/>
  <c r="AO10" i="31" s="1"/>
  <c r="AN33" i="31"/>
  <c r="AO33" i="31" s="1"/>
  <c r="AN9" i="31"/>
  <c r="AO9" i="31" s="1"/>
  <c r="AN29" i="31"/>
  <c r="AO29" i="31" s="1"/>
  <c r="AN12" i="31"/>
  <c r="AO12" i="31" s="1"/>
  <c r="AN27" i="31"/>
  <c r="AO27" i="31" s="1"/>
  <c r="AN18" i="31"/>
  <c r="AO18" i="31" s="1"/>
  <c r="X56" i="2" s="1"/>
  <c r="Y56" i="2" s="1"/>
  <c r="AN13" i="31"/>
  <c r="AO13" i="31" s="1"/>
  <c r="AN22" i="31"/>
  <c r="AO22" i="31" s="1"/>
  <c r="AN25" i="31"/>
  <c r="AO25" i="31" s="1"/>
  <c r="AN16" i="31"/>
  <c r="AN24" i="31"/>
  <c r="AO24" i="31" s="1"/>
  <c r="AN17" i="31"/>
  <c r="AO17" i="31" s="1"/>
  <c r="AN20" i="31"/>
  <c r="AO20" i="31" s="1"/>
  <c r="AN28" i="31"/>
  <c r="AO28" i="31" s="1"/>
  <c r="AN32" i="31"/>
  <c r="AO32" i="31" s="1"/>
  <c r="X126" i="2" s="1"/>
  <c r="Y126" i="2" s="1"/>
  <c r="M6" i="48"/>
  <c r="M4" i="48"/>
  <c r="M5" i="48"/>
  <c r="M7" i="48"/>
  <c r="AK2" i="31"/>
  <c r="X662" i="2" l="1"/>
  <c r="Y662" i="2" s="1"/>
  <c r="X659" i="2"/>
  <c r="Y659" i="2" s="1"/>
  <c r="X718" i="2"/>
  <c r="Y718" i="2" s="1"/>
  <c r="X671" i="2"/>
  <c r="Y671" i="2" s="1"/>
  <c r="X313" i="2"/>
  <c r="Y313" i="2" s="1"/>
  <c r="X397" i="2"/>
  <c r="Y397" i="2" s="1"/>
  <c r="X217" i="2"/>
  <c r="Y217" i="2" s="1"/>
  <c r="X57" i="2"/>
  <c r="Y57" i="2" s="1"/>
  <c r="X437" i="2"/>
  <c r="Y437" i="2" s="1"/>
  <c r="X693" i="2"/>
  <c r="Y693" i="2" s="1"/>
  <c r="X707" i="2"/>
  <c r="Y707" i="2" s="1"/>
  <c r="X674" i="2"/>
  <c r="Y674" i="2" s="1"/>
  <c r="X394" i="2"/>
  <c r="Y394" i="2" s="1"/>
  <c r="X166" i="2"/>
  <c r="Y166" i="2" s="1"/>
  <c r="X287" i="2"/>
  <c r="Y287" i="2" s="1"/>
  <c r="X529" i="2"/>
  <c r="Y529" i="2" s="1"/>
  <c r="X567" i="2"/>
  <c r="Y567" i="2" s="1"/>
  <c r="X695" i="2"/>
  <c r="Y695" i="2" s="1"/>
  <c r="X660" i="2"/>
  <c r="Y660" i="2" s="1"/>
  <c r="X360" i="2"/>
  <c r="Y360" i="2" s="1"/>
  <c r="X319" i="2"/>
  <c r="Y319" i="2" s="1"/>
  <c r="X550" i="2"/>
  <c r="Y550" i="2" s="1"/>
  <c r="X620" i="2"/>
  <c r="Y620" i="2" s="1"/>
  <c r="X255" i="2"/>
  <c r="Y255" i="2" s="1"/>
  <c r="X3" i="2"/>
  <c r="Y3" i="2" s="1"/>
  <c r="X225" i="2"/>
  <c r="Y225" i="2" s="1"/>
  <c r="X687" i="2"/>
  <c r="Y687" i="2" s="1"/>
  <c r="X686" i="2"/>
  <c r="Y686" i="2" s="1"/>
  <c r="X649" i="2"/>
  <c r="Y649" i="2" s="1"/>
  <c r="X446" i="2"/>
  <c r="Y446" i="2" s="1"/>
  <c r="X233" i="2"/>
  <c r="Y233" i="2" s="1"/>
  <c r="X119" i="2"/>
  <c r="Y119" i="2" s="1"/>
  <c r="X310" i="2"/>
  <c r="Y310" i="2" s="1"/>
  <c r="X497" i="2"/>
  <c r="Y497" i="2" s="1"/>
  <c r="X709" i="2"/>
  <c r="Y709" i="2" s="1"/>
  <c r="X720" i="2"/>
  <c r="Y720" i="2" s="1"/>
  <c r="X705" i="2"/>
  <c r="Y705" i="2" s="1"/>
  <c r="X704" i="2"/>
  <c r="Y704" i="2" s="1"/>
  <c r="X219" i="2"/>
  <c r="Y219" i="2" s="1"/>
  <c r="X254" i="2"/>
  <c r="Y254" i="2" s="1"/>
  <c r="X286" i="2"/>
  <c r="Y286" i="2" s="1"/>
  <c r="X135" i="2"/>
  <c r="Y135" i="2" s="1"/>
  <c r="X198" i="2"/>
  <c r="Y198" i="2" s="1"/>
  <c r="X6" i="2"/>
  <c r="Y6" i="2" s="1"/>
  <c r="X644" i="2"/>
  <c r="Y644" i="2" s="1"/>
  <c r="X688" i="2"/>
  <c r="Y688" i="2" s="1"/>
  <c r="X703" i="2"/>
  <c r="Y703" i="2" s="1"/>
  <c r="X317" i="2"/>
  <c r="Y317" i="2" s="1"/>
  <c r="X82" i="2"/>
  <c r="Y82" i="2" s="1"/>
  <c r="X690" i="2"/>
  <c r="Y690" i="2" s="1"/>
  <c r="X600" i="2"/>
  <c r="Y600" i="2" s="1"/>
  <c r="X692" i="2"/>
  <c r="Y692" i="2" s="1"/>
  <c r="X668" i="2"/>
  <c r="Y668" i="2" s="1"/>
  <c r="X369" i="2"/>
  <c r="Y369" i="2" s="1"/>
  <c r="X675" i="2"/>
  <c r="Y675" i="2" s="1"/>
  <c r="X689" i="2"/>
  <c r="Y689" i="2" s="1"/>
  <c r="X682" i="2"/>
  <c r="Y682" i="2" s="1"/>
  <c r="X361" i="2"/>
  <c r="Y361" i="2" s="1"/>
  <c r="X670" i="2"/>
  <c r="Y670" i="2" s="1"/>
  <c r="X699" i="2"/>
  <c r="Y699" i="2" s="1"/>
  <c r="X680" i="2"/>
  <c r="Y680" i="2" s="1"/>
  <c r="X664" i="2"/>
  <c r="Y664" i="2" s="1"/>
  <c r="X407" i="2"/>
  <c r="Y407" i="2" s="1"/>
  <c r="X33" i="2"/>
  <c r="Y33" i="2" s="1"/>
  <c r="X281" i="2"/>
  <c r="Y281" i="2" s="1"/>
  <c r="X613" i="2"/>
  <c r="Y613" i="2" s="1"/>
  <c r="X628" i="2"/>
  <c r="Y628" i="2" s="1"/>
  <c r="X52" i="2"/>
  <c r="Y52" i="2" s="1"/>
  <c r="X663" i="2"/>
  <c r="Y663" i="2" s="1"/>
  <c r="X715" i="2"/>
  <c r="Y715" i="2" s="1"/>
  <c r="X269" i="2"/>
  <c r="Y269" i="2" s="1"/>
  <c r="X648" i="2"/>
  <c r="Y648" i="2" s="1"/>
  <c r="X669" i="2"/>
  <c r="Y669" i="2" s="1"/>
  <c r="X683" i="2"/>
  <c r="Y683" i="2" s="1"/>
  <c r="X108" i="2"/>
  <c r="Y108" i="2" s="1"/>
  <c r="X341" i="2"/>
  <c r="Y341" i="2" s="1"/>
  <c r="X125" i="2"/>
  <c r="Y125" i="2" s="1"/>
  <c r="X606" i="2"/>
  <c r="Y606" i="2" s="1"/>
  <c r="X679" i="2"/>
  <c r="Y679" i="2" s="1"/>
  <c r="X706" i="2"/>
  <c r="Y706" i="2" s="1"/>
  <c r="X713" i="2"/>
  <c r="Y713" i="2" s="1"/>
  <c r="X712" i="2"/>
  <c r="Y712" i="2" s="1"/>
  <c r="X622" i="2"/>
  <c r="Y622" i="2" s="1"/>
  <c r="X155" i="2"/>
  <c r="Y155" i="2" s="1"/>
  <c r="X439" i="2"/>
  <c r="Y439" i="2" s="1"/>
  <c r="X401" i="2"/>
  <c r="Y401" i="2" s="1"/>
  <c r="X661" i="2"/>
  <c r="Y661" i="2" s="1"/>
  <c r="X654" i="2"/>
  <c r="Y654" i="2" s="1"/>
  <c r="X711" i="2"/>
  <c r="Y711" i="2" s="1"/>
  <c r="X624" i="2"/>
  <c r="Y624" i="2" s="1"/>
  <c r="X501" i="2"/>
  <c r="Y501" i="2" s="1"/>
  <c r="X510" i="2"/>
  <c r="Y510" i="2" s="1"/>
  <c r="X645" i="2"/>
  <c r="Y645" i="2" s="1"/>
  <c r="X653" i="2"/>
  <c r="Y653" i="2" s="1"/>
  <c r="X512" i="2"/>
  <c r="Y512" i="2" s="1"/>
  <c r="X214" i="2"/>
  <c r="Y214" i="2" s="1"/>
  <c r="X358" i="2"/>
  <c r="Y358" i="2" s="1"/>
  <c r="X685" i="2"/>
  <c r="Y685" i="2" s="1"/>
  <c r="X667" i="2"/>
  <c r="Y667" i="2" s="1"/>
  <c r="X531" i="2"/>
  <c r="Y531" i="2" s="1"/>
  <c r="X190" i="2"/>
  <c r="Y190" i="2" s="1"/>
  <c r="X672" i="2"/>
  <c r="Y672" i="2" s="1"/>
  <c r="X702" i="2"/>
  <c r="Y702" i="2" s="1"/>
  <c r="X698" i="2"/>
  <c r="Y698" i="2" s="1"/>
  <c r="X696" i="2"/>
  <c r="Y696" i="2" s="1"/>
  <c r="X604" i="2"/>
  <c r="Y604" i="2" s="1"/>
  <c r="X412" i="2"/>
  <c r="Y412" i="2" s="1"/>
  <c r="X647" i="2"/>
  <c r="Y647" i="2" s="1"/>
  <c r="X716" i="2"/>
  <c r="Y716" i="2" s="1"/>
  <c r="X442" i="2"/>
  <c r="Y442" i="2" s="1"/>
  <c r="X549" i="2"/>
  <c r="Y549" i="2" s="1"/>
  <c r="X656" i="2"/>
  <c r="Y656" i="2" s="1"/>
  <c r="X697" i="2"/>
  <c r="Y697" i="2" s="1"/>
  <c r="X296" i="2"/>
  <c r="Y296" i="2" s="1"/>
  <c r="X129" i="2"/>
  <c r="Y129" i="2" s="1"/>
  <c r="X477" i="2"/>
  <c r="Y477" i="2" s="1"/>
  <c r="X5" i="2"/>
  <c r="Y5" i="2" s="1"/>
  <c r="X318" i="2"/>
  <c r="Y318" i="2" s="1"/>
  <c r="X431" i="2"/>
  <c r="Y431" i="2" s="1"/>
  <c r="X591" i="2"/>
  <c r="Y591" i="2" s="1"/>
  <c r="X370" i="2"/>
  <c r="Y370" i="2" s="1"/>
  <c r="X206" i="2"/>
  <c r="Y206" i="2" s="1"/>
  <c r="X338" i="2"/>
  <c r="Y338" i="2" s="1"/>
  <c r="X95" i="2"/>
  <c r="Y95" i="2" s="1"/>
  <c r="X81" i="2"/>
  <c r="Y81" i="2" s="1"/>
  <c r="X69" i="2"/>
  <c r="Y69" i="2" s="1"/>
  <c r="X7" i="2"/>
  <c r="Y7" i="2" s="1"/>
  <c r="X292" i="2"/>
  <c r="Y292" i="2" s="1"/>
  <c r="X94" i="2"/>
  <c r="Y94" i="2" s="1"/>
  <c r="X452" i="2"/>
  <c r="Y452" i="2" s="1"/>
  <c r="X428" i="2"/>
  <c r="Y428" i="2" s="1"/>
  <c r="X367" i="2"/>
  <c r="Y367" i="2" s="1"/>
  <c r="X559" i="2"/>
  <c r="Y559" i="2" s="1"/>
  <c r="X55" i="2"/>
  <c r="Y55" i="2" s="1"/>
  <c r="X17" i="2"/>
  <c r="Y17" i="2" s="1"/>
  <c r="X462" i="2"/>
  <c r="Y462" i="2" s="1"/>
  <c r="X176" i="2"/>
  <c r="Y176" i="2" s="1"/>
  <c r="X115" i="2"/>
  <c r="Y115" i="2" s="1"/>
  <c r="X65" i="2"/>
  <c r="Y65" i="2" s="1"/>
  <c r="Y41" i="2"/>
  <c r="X114" i="2"/>
  <c r="Y114" i="2" s="1"/>
  <c r="X200" i="2"/>
  <c r="Y200" i="2" s="1"/>
  <c r="X15" i="2"/>
  <c r="Y15" i="2" s="1"/>
  <c r="X436" i="2"/>
  <c r="Y436" i="2" s="1"/>
  <c r="X263" i="2"/>
  <c r="Y263" i="2" s="1"/>
  <c r="X262" i="2"/>
  <c r="Y262" i="2" s="1"/>
  <c r="X608" i="2"/>
  <c r="Y608" i="2" s="1"/>
  <c r="X492" i="2"/>
  <c r="Y492" i="2" s="1"/>
  <c r="X197" i="2"/>
  <c r="Y197" i="2" s="1"/>
  <c r="X330" i="2"/>
  <c r="Y330" i="2" s="1"/>
  <c r="X209" i="2"/>
  <c r="Y209" i="2" s="1"/>
  <c r="Y147" i="2"/>
  <c r="X121" i="2"/>
  <c r="Y121" i="2" s="1"/>
  <c r="X60" i="2"/>
  <c r="Y60" i="2" s="1"/>
  <c r="X539" i="2"/>
  <c r="Y539" i="2" s="1"/>
  <c r="X467" i="2"/>
  <c r="Y467" i="2" s="1"/>
  <c r="X120" i="2"/>
  <c r="Y120" i="2" s="1"/>
  <c r="X631" i="2"/>
  <c r="Y631" i="2" s="1"/>
  <c r="X328" i="2"/>
  <c r="Y328" i="2" s="1"/>
  <c r="X143" i="2"/>
  <c r="Y143" i="2" s="1"/>
  <c r="X256" i="2"/>
  <c r="Y256" i="2" s="1"/>
  <c r="X464" i="2"/>
  <c r="Y464" i="2" s="1"/>
  <c r="X280" i="2"/>
  <c r="Y280" i="2" s="1"/>
  <c r="X242" i="2"/>
  <c r="Y242" i="2" s="1"/>
  <c r="X547" i="2"/>
  <c r="Y547" i="2" s="1"/>
  <c r="X572" i="2"/>
  <c r="Y572" i="2" s="1"/>
  <c r="X153" i="2"/>
  <c r="Y153" i="2" s="1"/>
  <c r="X290" i="2"/>
  <c r="Y290" i="2" s="1"/>
  <c r="X252" i="2"/>
  <c r="Y252" i="2" s="1"/>
  <c r="X586" i="2"/>
  <c r="Y586" i="2" s="1"/>
  <c r="X509" i="2"/>
  <c r="Y509" i="2" s="1"/>
  <c r="X323" i="2"/>
  <c r="Y323" i="2" s="1"/>
  <c r="X151" i="2"/>
  <c r="Y151" i="2" s="1"/>
  <c r="X494" i="2"/>
  <c r="Y494" i="2" s="1"/>
  <c r="X238" i="2"/>
  <c r="Y238" i="2" s="1"/>
  <c r="X448" i="2"/>
  <c r="Y448" i="2" s="1"/>
  <c r="X311" i="2"/>
  <c r="Y311" i="2" s="1"/>
  <c r="X138" i="2"/>
  <c r="Y138" i="2" s="1"/>
  <c r="X568" i="2"/>
  <c r="Y568" i="2" s="1"/>
  <c r="X636" i="2"/>
  <c r="Y636" i="2" s="1"/>
  <c r="X542" i="2"/>
  <c r="Y542" i="2" s="1"/>
  <c r="X49" i="2"/>
  <c r="Y49" i="2" s="1"/>
  <c r="X86" i="2"/>
  <c r="Y86" i="2" s="1"/>
  <c r="X371" i="2"/>
  <c r="Y371" i="2" s="1"/>
  <c r="X526" i="2"/>
  <c r="Y526" i="2" s="1"/>
  <c r="X194" i="2"/>
  <c r="Y194" i="2" s="1"/>
  <c r="X605" i="2"/>
  <c r="Y605" i="2" s="1"/>
  <c r="X617" i="2"/>
  <c r="Y617" i="2" s="1"/>
  <c r="X455" i="2"/>
  <c r="Y455" i="2" s="1"/>
  <c r="X142" i="2"/>
  <c r="Y142" i="2" s="1"/>
  <c r="X441" i="2"/>
  <c r="Y441" i="2" s="1"/>
  <c r="X379" i="2"/>
  <c r="Y379" i="2" s="1"/>
  <c r="X43" i="2"/>
  <c r="Y43" i="2" s="1"/>
  <c r="X589" i="2"/>
  <c r="Y589" i="2" s="1"/>
  <c r="X573" i="2"/>
  <c r="Y573" i="2" s="1"/>
  <c r="X463" i="2"/>
  <c r="Y463" i="2" s="1"/>
  <c r="X402" i="2"/>
  <c r="Y402" i="2" s="1"/>
  <c r="X216" i="2"/>
  <c r="Y216" i="2" s="1"/>
  <c r="X587" i="2"/>
  <c r="Y587" i="2" s="1"/>
  <c r="X450" i="2"/>
  <c r="Y450" i="2" s="1"/>
  <c r="X427" i="2"/>
  <c r="Y427" i="2" s="1"/>
  <c r="X639" i="2"/>
  <c r="Y639" i="2" s="1"/>
  <c r="X27" i="2"/>
  <c r="Y27" i="2" s="1"/>
  <c r="X598" i="2"/>
  <c r="Y598" i="2" s="1"/>
  <c r="X386" i="2"/>
  <c r="Y386" i="2" s="1"/>
  <c r="X352" i="2"/>
  <c r="Y352" i="2" s="1"/>
  <c r="X51" i="2"/>
  <c r="Y51" i="2" s="1"/>
  <c r="X162" i="2"/>
  <c r="Y162" i="2" s="1"/>
  <c r="X298" i="2"/>
  <c r="Y298" i="2" s="1"/>
  <c r="X284" i="2"/>
  <c r="Y284" i="2" s="1"/>
  <c r="X9" i="2"/>
  <c r="Y9" i="2" s="1"/>
  <c r="X551" i="2"/>
  <c r="Y551" i="2" s="1"/>
  <c r="X118" i="2"/>
  <c r="Y118" i="2" s="1"/>
  <c r="X116" i="2"/>
  <c r="Y116" i="2" s="1"/>
  <c r="X400" i="2"/>
  <c r="Y400" i="2" s="1"/>
  <c r="X152" i="2"/>
  <c r="Y152" i="2" s="1"/>
  <c r="X533" i="2"/>
  <c r="Y533" i="2" s="1"/>
  <c r="X522" i="2"/>
  <c r="Y522" i="2" s="1"/>
  <c r="X354" i="2"/>
  <c r="Y354" i="2" s="1"/>
  <c r="X212" i="2"/>
  <c r="Y212" i="2" s="1"/>
  <c r="X471" i="2"/>
  <c r="Y471" i="2" s="1"/>
  <c r="X481" i="2"/>
  <c r="Y481" i="2" s="1"/>
  <c r="X87" i="2"/>
  <c r="Y87" i="2" s="1"/>
  <c r="X527" i="2"/>
  <c r="Y527" i="2" s="1"/>
  <c r="X245" i="2"/>
  <c r="Y245" i="2" s="1"/>
  <c r="X132" i="2"/>
  <c r="Y132" i="2" s="1"/>
  <c r="X524" i="2"/>
  <c r="Y524" i="2" s="1"/>
  <c r="X488" i="2"/>
  <c r="Y488" i="2" s="1"/>
  <c r="X404" i="2"/>
  <c r="Y404" i="2" s="1"/>
  <c r="X574" i="2"/>
  <c r="Y574" i="2" s="1"/>
  <c r="X18" i="2"/>
  <c r="Y18" i="2" s="1"/>
  <c r="X103" i="2"/>
  <c r="Y103" i="2" s="1"/>
  <c r="X365" i="2"/>
  <c r="Y365" i="2" s="1"/>
  <c r="X90" i="2"/>
  <c r="Y90" i="2" s="1"/>
  <c r="X637" i="2"/>
  <c r="Y637" i="2" s="1"/>
  <c r="X76" i="2"/>
  <c r="Y76" i="2" s="1"/>
  <c r="X609" i="2"/>
  <c r="Y609" i="2" s="1"/>
  <c r="X26" i="2"/>
  <c r="Y26" i="2" s="1"/>
  <c r="X518" i="2"/>
  <c r="Y518" i="2" s="1"/>
  <c r="X480" i="2"/>
  <c r="Y480" i="2" s="1"/>
  <c r="X98" i="2"/>
  <c r="Y98" i="2" s="1"/>
  <c r="X227" i="2"/>
  <c r="Y227" i="2" s="1"/>
  <c r="X532" i="2"/>
  <c r="Y532" i="2" s="1"/>
  <c r="X236" i="2"/>
  <c r="Y236" i="2" s="1"/>
  <c r="X434" i="2"/>
  <c r="Y434" i="2" s="1"/>
  <c r="X261" i="2"/>
  <c r="Y261" i="2" s="1"/>
  <c r="X25" i="2"/>
  <c r="Y25" i="2" s="1"/>
  <c r="X409" i="2"/>
  <c r="Y409" i="2" s="1"/>
  <c r="X540" i="2"/>
  <c r="Y540" i="2" s="1"/>
  <c r="X146" i="2"/>
  <c r="Y146" i="2" s="1"/>
  <c r="X22" i="2"/>
  <c r="Y22" i="2" s="1"/>
  <c r="X70" i="2"/>
  <c r="Y70" i="2" s="1"/>
  <c r="X603" i="2"/>
  <c r="Y603" i="2" s="1"/>
  <c r="X165" i="2"/>
  <c r="Y165" i="2" s="1"/>
  <c r="X105" i="2"/>
  <c r="Y105" i="2" s="1"/>
  <c r="X535" i="2"/>
  <c r="Y535" i="2" s="1"/>
  <c r="X30" i="2"/>
  <c r="Y30" i="2" s="1"/>
  <c r="X496" i="2"/>
  <c r="Y496" i="2" s="1"/>
  <c r="X473" i="2"/>
  <c r="Y473" i="2" s="1"/>
  <c r="X557" i="2"/>
  <c r="Y557" i="2" s="1"/>
  <c r="X64" i="2"/>
  <c r="Y64" i="2" s="1"/>
  <c r="X342" i="2"/>
  <c r="Y342" i="2" s="1"/>
  <c r="X113" i="2"/>
  <c r="Y113" i="2" s="1"/>
  <c r="X63" i="2"/>
  <c r="Y63" i="2" s="1"/>
  <c r="X373" i="2"/>
  <c r="Y373" i="2" s="1"/>
  <c r="X350" i="2"/>
  <c r="Y350" i="2" s="1"/>
  <c r="X36" i="2"/>
  <c r="Y36" i="2" s="1"/>
  <c r="X517" i="2"/>
  <c r="Y517" i="2" s="1"/>
  <c r="X458" i="2"/>
  <c r="Y458" i="2" s="1"/>
  <c r="X48" i="2"/>
  <c r="Y48" i="2" s="1"/>
  <c r="X593" i="2"/>
  <c r="Y593" i="2" s="1"/>
  <c r="Y579" i="2"/>
  <c r="X478" i="2"/>
  <c r="Y478" i="2" s="1"/>
  <c r="X563" i="2"/>
  <c r="Y563" i="2" s="1"/>
  <c r="X562" i="2"/>
  <c r="Y562" i="2" s="1"/>
  <c r="X205" i="2"/>
  <c r="Y205" i="2" s="1"/>
  <c r="X499" i="2"/>
  <c r="Y499" i="2" s="1"/>
  <c r="X614" i="2"/>
  <c r="Y614" i="2" s="1"/>
  <c r="X378" i="2"/>
  <c r="Y378" i="2" s="1"/>
  <c r="X546" i="2"/>
  <c r="Y546" i="2" s="1"/>
  <c r="X377" i="2"/>
  <c r="Y377" i="2" s="1"/>
  <c r="X189" i="2"/>
  <c r="Y189" i="2" s="1"/>
  <c r="X213" i="2"/>
  <c r="Y213" i="2" s="1"/>
  <c r="X264" i="2"/>
  <c r="Y264" i="2" s="1"/>
  <c r="X174" i="2"/>
  <c r="Y174" i="2" s="1"/>
  <c r="X460" i="2"/>
  <c r="Y460" i="2" s="1"/>
  <c r="X100" i="2"/>
  <c r="Y100" i="2" s="1"/>
  <c r="X459" i="2"/>
  <c r="Y459" i="2" s="1"/>
  <c r="X248" i="2"/>
  <c r="Y248" i="2" s="1"/>
  <c r="X123" i="2"/>
  <c r="Y123" i="2" s="1"/>
  <c r="X479" i="2"/>
  <c r="Y479" i="2" s="1"/>
  <c r="X234" i="2"/>
  <c r="Y234" i="2" s="1"/>
  <c r="Y170" i="2"/>
  <c r="X110" i="2"/>
  <c r="Y110" i="2" s="1"/>
  <c r="X195" i="2"/>
  <c r="Y195" i="2" s="1"/>
  <c r="X393" i="2"/>
  <c r="Y393" i="2" s="1"/>
  <c r="X282" i="2"/>
  <c r="Y282" i="2" s="1"/>
  <c r="X392" i="2"/>
  <c r="Y392" i="2" s="1"/>
  <c r="X230" i="2"/>
  <c r="Y230" i="2" s="1"/>
  <c r="X204" i="2"/>
  <c r="Y204" i="2" s="1"/>
  <c r="X403" i="2"/>
  <c r="Y403" i="2" s="1"/>
  <c r="X178" i="2"/>
  <c r="Y178" i="2" s="1"/>
  <c r="X640" i="2"/>
  <c r="Y640" i="2" s="1"/>
  <c r="X485" i="2"/>
  <c r="Y485" i="2" s="1"/>
  <c r="X376" i="2"/>
  <c r="Y376" i="2" s="1"/>
  <c r="X276" i="2"/>
  <c r="Y276" i="2" s="1"/>
  <c r="X16" i="2"/>
  <c r="Y16" i="2" s="1"/>
  <c r="X301" i="2"/>
  <c r="Y301" i="2" s="1"/>
  <c r="Y583" i="2"/>
  <c r="X556" i="2"/>
  <c r="Y556" i="2" s="1"/>
  <c r="X351" i="2"/>
  <c r="Y351" i="2" s="1"/>
  <c r="X12" i="2"/>
  <c r="Y12" i="2" s="1"/>
  <c r="X410" i="2"/>
  <c r="Y410" i="2" s="1"/>
  <c r="X348" i="2"/>
  <c r="Y348" i="2" s="1"/>
  <c r="X339" i="2"/>
  <c r="Y339" i="2" s="1"/>
  <c r="X456" i="2"/>
  <c r="Y456" i="2" s="1"/>
  <c r="X232" i="2"/>
  <c r="Y232" i="2" s="1"/>
  <c r="X537" i="2"/>
  <c r="Y537" i="2" s="1"/>
  <c r="X326" i="2"/>
  <c r="Y326" i="2" s="1"/>
  <c r="X357" i="2"/>
  <c r="Y357" i="2" s="1"/>
  <c r="X415" i="2"/>
  <c r="Y415" i="2" s="1"/>
  <c r="X390" i="2"/>
  <c r="Y390" i="2" s="1"/>
  <c r="X345" i="2"/>
  <c r="Y345" i="2" s="1"/>
  <c r="X203" i="2"/>
  <c r="Y203" i="2" s="1"/>
  <c r="X93" i="2"/>
  <c r="Y93" i="2" s="1"/>
  <c r="X335" i="2"/>
  <c r="Y335" i="2" s="1"/>
  <c r="X314" i="2"/>
  <c r="Y314" i="2" s="1"/>
  <c r="X303" i="2"/>
  <c r="Y303" i="2" s="1"/>
  <c r="X472" i="2"/>
  <c r="Y472" i="2" s="1"/>
  <c r="X363" i="2"/>
  <c r="Y363" i="2" s="1"/>
  <c r="X321" i="2"/>
  <c r="Y321" i="2" s="1"/>
  <c r="X136" i="2"/>
  <c r="Y136" i="2" s="1"/>
  <c r="X222" i="2"/>
  <c r="Y222" i="2" s="1"/>
  <c r="X383" i="2"/>
  <c r="Y383" i="2" s="1"/>
  <c r="X183" i="2"/>
  <c r="Y183" i="2" s="1"/>
  <c r="X616" i="2"/>
  <c r="Y616" i="2" s="1"/>
  <c r="X179" i="2"/>
  <c r="Y179" i="2" s="1"/>
  <c r="X615" i="2"/>
  <c r="Y615" i="2" s="1"/>
  <c r="X150" i="2"/>
  <c r="Y150" i="2" s="1"/>
  <c r="X112" i="2"/>
  <c r="Y112" i="2" s="1"/>
  <c r="X619" i="2"/>
  <c r="Y619" i="2" s="1"/>
  <c r="X432" i="2"/>
  <c r="Y432" i="2" s="1"/>
  <c r="X632" i="2"/>
  <c r="Y632" i="2" s="1"/>
  <c r="X419" i="2"/>
  <c r="Y419" i="2" s="1"/>
  <c r="X406" i="2"/>
  <c r="Y406" i="2" s="1"/>
  <c r="X380" i="2"/>
  <c r="Y380" i="2" s="1"/>
  <c r="X131" i="2"/>
  <c r="Y131" i="2" s="1"/>
  <c r="X453" i="2"/>
  <c r="Y453" i="2" s="1"/>
  <c r="X267" i="2"/>
  <c r="Y267" i="2" s="1"/>
  <c r="X324" i="2"/>
  <c r="Y324" i="2" s="1"/>
  <c r="X523" i="2"/>
  <c r="Y523" i="2" s="1"/>
  <c r="X91" i="2"/>
  <c r="Y91" i="2" s="1"/>
  <c r="X625" i="2"/>
  <c r="Y625" i="2" s="1"/>
  <c r="X388" i="2"/>
  <c r="Y388" i="2" s="1"/>
  <c r="X265" i="2"/>
  <c r="Y265" i="2" s="1"/>
  <c r="X461" i="2"/>
  <c r="Y461" i="2" s="1"/>
  <c r="X161" i="2"/>
  <c r="Y161" i="2" s="1"/>
  <c r="X372" i="2"/>
  <c r="Y372" i="2" s="1"/>
  <c r="X503" i="2"/>
  <c r="Y503" i="2" s="1"/>
  <c r="X395" i="2"/>
  <c r="Y395" i="2" s="1"/>
  <c r="X10" i="2"/>
  <c r="Y10" i="2" s="1"/>
  <c r="X307" i="2"/>
  <c r="Y307" i="2" s="1"/>
  <c r="X180" i="2"/>
  <c r="Y180" i="2" s="1"/>
  <c r="X144" i="2"/>
  <c r="Y144" i="2" s="1"/>
  <c r="X327" i="2"/>
  <c r="Y327" i="2" s="1"/>
  <c r="X45" i="2"/>
  <c r="Y45" i="2" s="1"/>
  <c r="X451" i="2"/>
  <c r="Y451" i="2" s="1"/>
  <c r="X355" i="2"/>
  <c r="Y355" i="2" s="1"/>
  <c r="X79" i="2"/>
  <c r="Y79" i="2" s="1"/>
  <c r="X277" i="2"/>
  <c r="Y277" i="2" s="1"/>
  <c r="X484" i="2"/>
  <c r="Y484" i="2" s="1"/>
  <c r="X483" i="2"/>
  <c r="Y483" i="2" s="1"/>
  <c r="X89" i="2"/>
  <c r="Y89" i="2" s="1"/>
  <c r="X493" i="2"/>
  <c r="Y493" i="2" s="1"/>
  <c r="X621" i="2"/>
  <c r="Y621" i="2" s="1"/>
  <c r="X124" i="2"/>
  <c r="Y124" i="2" s="1"/>
  <c r="X272" i="2"/>
  <c r="Y272" i="2" s="1"/>
  <c r="X44" i="2"/>
  <c r="Y44" i="2" s="1"/>
  <c r="X498" i="2"/>
  <c r="Y498" i="2" s="1"/>
  <c r="X426" i="2"/>
  <c r="Y426" i="2" s="1"/>
  <c r="X289" i="2"/>
  <c r="Y289" i="2" s="1"/>
  <c r="X375" i="2"/>
  <c r="Y375" i="2" s="1"/>
  <c r="X13" i="2"/>
  <c r="Y13" i="2" s="1"/>
  <c r="X506" i="2"/>
  <c r="Y506" i="2" s="1"/>
  <c r="X422" i="2"/>
  <c r="Y422" i="2" s="1"/>
  <c r="X11" i="2"/>
  <c r="Y11" i="2" s="1"/>
  <c r="X61" i="2"/>
  <c r="Y61" i="2" s="1"/>
  <c r="X35" i="2"/>
  <c r="Y35" i="2" s="1"/>
  <c r="X577" i="2"/>
  <c r="Y577" i="2" s="1"/>
  <c r="X643" i="2"/>
  <c r="Y643" i="2" s="1"/>
  <c r="X231" i="2"/>
  <c r="Y231" i="2" s="1"/>
  <c r="X590" i="2"/>
  <c r="Y590" i="2" s="1"/>
  <c r="X368" i="2"/>
  <c r="Y368" i="2" s="1"/>
  <c r="X293" i="2"/>
  <c r="Y293" i="2" s="1"/>
  <c r="X629" i="2"/>
  <c r="Y629" i="2" s="1"/>
  <c r="X325" i="2"/>
  <c r="Y325" i="2" s="1"/>
  <c r="X29" i="2"/>
  <c r="Y29" i="2" s="1"/>
  <c r="X521" i="2"/>
  <c r="Y521" i="2" s="1"/>
  <c r="X387" i="2"/>
  <c r="Y387" i="2" s="1"/>
  <c r="X520" i="2"/>
  <c r="Y520" i="2" s="1"/>
  <c r="X543" i="2"/>
  <c r="Y543" i="2" s="1"/>
  <c r="X374" i="2"/>
  <c r="Y374" i="2" s="1"/>
  <c r="X299" i="2"/>
  <c r="Y299" i="2" s="1"/>
  <c r="X596" i="2"/>
  <c r="Y596" i="2" s="1"/>
  <c r="X396" i="2"/>
  <c r="Y396" i="2" s="1"/>
  <c r="X502" i="2"/>
  <c r="Y502" i="2" s="1"/>
  <c r="X457" i="2"/>
  <c r="Y457" i="2" s="1"/>
  <c r="X109" i="2"/>
  <c r="Y109" i="2" s="1"/>
  <c r="X429" i="2"/>
  <c r="Y429" i="2" s="1"/>
  <c r="X334" i="2"/>
  <c r="Y334" i="2" s="1"/>
  <c r="X199" i="2"/>
  <c r="Y199" i="2" s="1"/>
  <c r="X507" i="2"/>
  <c r="Y507" i="2" s="1"/>
  <c r="X88" i="2"/>
  <c r="Y88" i="2" s="1"/>
  <c r="X552" i="2"/>
  <c r="Y552" i="2" s="1"/>
  <c r="X578" i="2"/>
  <c r="Y578" i="2" s="1"/>
  <c r="X564" i="2"/>
  <c r="Y564" i="2" s="1"/>
  <c r="X466" i="2"/>
  <c r="Y466" i="2" s="1"/>
  <c r="X46" i="2"/>
  <c r="Y46" i="2" s="1"/>
  <c r="X513" i="2"/>
  <c r="Y513" i="2" s="1"/>
  <c r="X417" i="2"/>
  <c r="Y417" i="2" s="1"/>
  <c r="X346" i="2"/>
  <c r="Y346" i="2" s="1"/>
  <c r="X268" i="2"/>
  <c r="Y268" i="2" s="1"/>
  <c r="X536" i="2"/>
  <c r="Y536" i="2" s="1"/>
  <c r="X475" i="2"/>
  <c r="Y475" i="2" s="1"/>
  <c r="X278" i="2"/>
  <c r="Y278" i="2" s="1"/>
  <c r="X92" i="2"/>
  <c r="Y92" i="2" s="1"/>
  <c r="X612" i="2"/>
  <c r="Y612" i="2" s="1"/>
  <c r="X389" i="2"/>
  <c r="Y389" i="2" s="1"/>
  <c r="X163" i="2"/>
  <c r="Y163" i="2" s="1"/>
  <c r="X201" i="2"/>
  <c r="Y201" i="2" s="1"/>
  <c r="X175" i="2"/>
  <c r="Y175" i="2" s="1"/>
  <c r="X78" i="2"/>
  <c r="Y78" i="2" s="1"/>
  <c r="X638" i="2"/>
  <c r="Y638" i="2" s="1"/>
  <c r="X449" i="2"/>
  <c r="Y449" i="2" s="1"/>
  <c r="X333" i="2"/>
  <c r="Y333" i="2" s="1"/>
  <c r="X77" i="2"/>
  <c r="Y77" i="2" s="1"/>
  <c r="X569" i="2"/>
  <c r="Y569" i="2" s="1"/>
  <c r="X223" i="2"/>
  <c r="Y223" i="2" s="1"/>
  <c r="X320" i="2"/>
  <c r="Y320" i="2" s="1"/>
  <c r="X491" i="2"/>
  <c r="Y491" i="2" s="1"/>
  <c r="X633" i="2"/>
  <c r="Y633" i="2" s="1"/>
  <c r="X182" i="2"/>
  <c r="Y182" i="2" s="1"/>
  <c r="X592" i="2"/>
  <c r="Y592" i="2" s="1"/>
  <c r="X59" i="2"/>
  <c r="Y59" i="2" s="1"/>
  <c r="X295" i="2"/>
  <c r="Y295" i="2" s="1"/>
  <c r="X157" i="2"/>
  <c r="Y157" i="2" s="1"/>
  <c r="X34" i="2"/>
  <c r="Y34" i="2" s="1"/>
  <c r="X630" i="2"/>
  <c r="Y630" i="2" s="1"/>
  <c r="X525" i="2"/>
  <c r="Y525" i="2" s="1"/>
  <c r="X465" i="2"/>
  <c r="Y465" i="2" s="1"/>
  <c r="X356" i="2"/>
  <c r="Y356" i="2" s="1"/>
  <c r="X304" i="2"/>
  <c r="Y304" i="2" s="1"/>
  <c r="X291" i="2"/>
  <c r="Y291" i="2" s="1"/>
  <c r="X279" i="2"/>
  <c r="Y279" i="2" s="1"/>
  <c r="X601" i="2"/>
  <c r="Y601" i="2" s="1"/>
  <c r="X414" i="2"/>
  <c r="Y414" i="2" s="1"/>
  <c r="X215" i="2"/>
  <c r="Y215" i="2" s="1"/>
  <c r="X571" i="2"/>
  <c r="Y571" i="2" s="1"/>
  <c r="X54" i="2"/>
  <c r="Y54" i="2" s="1"/>
  <c r="X343" i="2"/>
  <c r="Y343" i="2" s="1"/>
  <c r="X102" i="2"/>
  <c r="Y102" i="2" s="1"/>
  <c r="X425" i="2"/>
  <c r="Y425" i="2" s="1"/>
  <c r="X139" i="2"/>
  <c r="Y139" i="2" s="1"/>
  <c r="X332" i="2"/>
  <c r="Y332" i="2" s="1"/>
  <c r="X322" i="2"/>
  <c r="Y322" i="2" s="1"/>
  <c r="X300" i="2"/>
  <c r="Y300" i="2" s="1"/>
  <c r="X186" i="2"/>
  <c r="Y186" i="2" s="1"/>
  <c r="X173" i="2"/>
  <c r="Y173" i="2" s="1"/>
  <c r="X172" i="2"/>
  <c r="Y172" i="2" s="1"/>
  <c r="X75" i="2"/>
  <c r="Y75" i="2" s="1"/>
  <c r="X274" i="2"/>
  <c r="Y274" i="2" s="1"/>
  <c r="X37" i="2"/>
  <c r="Y37" i="2" s="1"/>
  <c r="X309" i="2"/>
  <c r="Y309" i="2" s="1"/>
  <c r="X260" i="2"/>
  <c r="Y260" i="2" s="1"/>
  <c r="X73" i="2"/>
  <c r="Y73" i="2" s="1"/>
  <c r="X72" i="2"/>
  <c r="Y72" i="2" s="1"/>
  <c r="X207" i="2"/>
  <c r="Y207" i="2" s="1"/>
  <c r="X500" i="2"/>
  <c r="Y500" i="2" s="1"/>
  <c r="X316" i="2"/>
  <c r="Y316" i="2" s="1"/>
  <c r="X294" i="2"/>
  <c r="Y294" i="2" s="1"/>
  <c r="X156" i="2"/>
  <c r="Y156" i="2" s="1"/>
  <c r="X337" i="2"/>
  <c r="Y337" i="2" s="1"/>
  <c r="X243" i="2"/>
  <c r="Y243" i="2" s="1"/>
  <c r="X560" i="2"/>
  <c r="Y560" i="2" s="1"/>
  <c r="X68" i="2"/>
  <c r="Y68" i="2" s="1"/>
  <c r="X511" i="2"/>
  <c r="Y511" i="2" s="1"/>
  <c r="X67" i="2"/>
  <c r="Y67" i="2" s="1"/>
  <c r="X545" i="2"/>
  <c r="Y545" i="2" s="1"/>
  <c r="X534" i="2"/>
  <c r="Y534" i="2" s="1"/>
  <c r="X611" i="2"/>
  <c r="Y611" i="2" s="1"/>
  <c r="X28" i="2"/>
  <c r="Y28" i="2" s="1"/>
  <c r="X530" i="2"/>
  <c r="Y530" i="2" s="1"/>
  <c r="X50" i="2"/>
  <c r="Y50" i="2" s="1"/>
  <c r="X528" i="2"/>
  <c r="Y528" i="2" s="1"/>
  <c r="X184" i="2"/>
  <c r="Y184" i="2" s="1"/>
  <c r="X594" i="2"/>
  <c r="Y594" i="2" s="1"/>
  <c r="X433" i="2"/>
  <c r="Y433" i="2" s="1"/>
  <c r="X349" i="2"/>
  <c r="Y349" i="2" s="1"/>
  <c r="X329" i="2"/>
  <c r="Y329" i="2" s="1"/>
  <c r="X134" i="2"/>
  <c r="Y134" i="2" s="1"/>
  <c r="X382" i="2"/>
  <c r="Y382" i="2" s="1"/>
  <c r="X218" i="2"/>
  <c r="Y218" i="2" s="1"/>
  <c r="X641" i="2"/>
  <c r="Y641" i="2" s="1"/>
  <c r="X391" i="2"/>
  <c r="Y391" i="2" s="1"/>
  <c r="X32" i="2"/>
  <c r="Y32" i="2" s="1"/>
  <c r="X588" i="2"/>
  <c r="Y588" i="2" s="1"/>
  <c r="X253" i="2"/>
  <c r="Y253" i="2" s="1"/>
  <c r="X241" i="2"/>
  <c r="Y241" i="2" s="1"/>
  <c r="X237" i="2"/>
  <c r="Y237" i="2" s="1"/>
  <c r="X423" i="2"/>
  <c r="Y423" i="2" s="1"/>
  <c r="X385" i="2"/>
  <c r="Y385" i="2" s="1"/>
  <c r="X211" i="2"/>
  <c r="Y211" i="2" s="1"/>
  <c r="X566" i="2"/>
  <c r="Y566" i="2" s="1"/>
  <c r="X235" i="2"/>
  <c r="Y235" i="2" s="1"/>
  <c r="X196" i="2"/>
  <c r="Y196" i="2" s="1"/>
  <c r="X21" i="2"/>
  <c r="Y21" i="2" s="1"/>
  <c r="X306" i="2"/>
  <c r="Y306" i="2" s="1"/>
  <c r="X130" i="2"/>
  <c r="Y130" i="2" s="1"/>
  <c r="X4" i="2"/>
  <c r="Y4" i="2" s="1"/>
  <c r="X240" i="2"/>
  <c r="Y240" i="2" s="1"/>
  <c r="X399" i="2"/>
  <c r="Y399" i="2" s="1"/>
  <c r="X38" i="2"/>
  <c r="Y38" i="2" s="1"/>
  <c r="X384" i="2"/>
  <c r="Y384" i="2" s="1"/>
  <c r="X185" i="2"/>
  <c r="Y185" i="2" s="1"/>
  <c r="X283" i="2"/>
  <c r="Y283" i="2" s="1"/>
  <c r="X259" i="2"/>
  <c r="Y259" i="2" s="1"/>
  <c r="X85" i="2"/>
  <c r="Y85" i="2" s="1"/>
  <c r="X23" i="2"/>
  <c r="Y23" i="2" s="1"/>
  <c r="X444" i="2"/>
  <c r="Y444" i="2" s="1"/>
  <c r="X430" i="2"/>
  <c r="Y430" i="2" s="1"/>
  <c r="X405" i="2"/>
  <c r="Y405" i="2" s="1"/>
  <c r="X381" i="2"/>
  <c r="Y381" i="2" s="1"/>
  <c r="X8" i="2"/>
  <c r="Y8" i="2" s="1"/>
  <c r="X192" i="2"/>
  <c r="Y192" i="2" s="1"/>
  <c r="X117" i="2"/>
  <c r="Y117" i="2" s="1"/>
  <c r="X336" i="2"/>
  <c r="Y336" i="2" s="1"/>
  <c r="X42" i="2"/>
  <c r="Y42" i="2" s="1"/>
  <c r="X302" i="2"/>
  <c r="Y302" i="2" s="1"/>
  <c r="X127" i="2"/>
  <c r="Y127" i="2" s="1"/>
  <c r="X495" i="2"/>
  <c r="Y495" i="2" s="1"/>
  <c r="X251" i="2"/>
  <c r="Y251" i="2" s="1"/>
  <c r="X187" i="2"/>
  <c r="Y187" i="2" s="1"/>
  <c r="X584" i="2"/>
  <c r="Y584" i="2" s="1"/>
  <c r="X14" i="2"/>
  <c r="Y14" i="2" s="1"/>
  <c r="X470" i="2"/>
  <c r="Y470" i="2" s="1"/>
  <c r="X447" i="2"/>
  <c r="Y447" i="2" s="1"/>
  <c r="X137" i="2"/>
  <c r="Y137" i="2" s="1"/>
  <c r="X635" i="2"/>
  <c r="Y635" i="2" s="1"/>
  <c r="X160" i="2"/>
  <c r="Y160" i="2" s="1"/>
  <c r="X62" i="2"/>
  <c r="Y62" i="2" s="1"/>
  <c r="X553" i="2"/>
  <c r="Y553" i="2" s="1"/>
  <c r="X541" i="2"/>
  <c r="Y541" i="2" s="1"/>
  <c r="X122" i="2"/>
  <c r="Y122" i="2" s="1"/>
  <c r="X538" i="2"/>
  <c r="Y538" i="2" s="1"/>
  <c r="X359" i="2"/>
  <c r="Y359" i="2" s="1"/>
  <c r="X167" i="2"/>
  <c r="Y167" i="2" s="1"/>
  <c r="X191" i="2"/>
  <c r="Y191" i="2" s="1"/>
  <c r="X602" i="2"/>
  <c r="Y602" i="2" s="1"/>
  <c r="X164" i="2"/>
  <c r="Y164" i="2" s="1"/>
  <c r="X104" i="2"/>
  <c r="Y104" i="2" s="1"/>
  <c r="X39" i="2"/>
  <c r="Y39" i="2" s="1"/>
  <c r="X149" i="2"/>
  <c r="Y149" i="2" s="1"/>
  <c r="X101" i="2"/>
  <c r="Y101" i="2" s="1"/>
  <c r="X595" i="2"/>
  <c r="Y595" i="2" s="1"/>
  <c r="X505" i="2"/>
  <c r="Y505" i="2" s="1"/>
  <c r="X340" i="2"/>
  <c r="Y340" i="2" s="1"/>
  <c r="X285" i="2"/>
  <c r="Y285" i="2" s="1"/>
  <c r="X47" i="2"/>
  <c r="Y47" i="2" s="1"/>
  <c r="X347" i="2"/>
  <c r="Y347" i="2" s="1"/>
  <c r="X270" i="2"/>
  <c r="Y270" i="2" s="1"/>
  <c r="X244" i="2"/>
  <c r="Y244" i="2" s="1"/>
  <c r="X107" i="2"/>
  <c r="Y107" i="2" s="1"/>
  <c r="X548" i="2"/>
  <c r="Y548" i="2" s="1"/>
  <c r="X315" i="2"/>
  <c r="Y315" i="2" s="1"/>
  <c r="X486" i="2"/>
  <c r="Y486" i="2" s="1"/>
  <c r="X440" i="2"/>
  <c r="Y440" i="2" s="1"/>
  <c r="X177" i="2"/>
  <c r="Y177" i="2" s="1"/>
  <c r="X53" i="2"/>
  <c r="Y53" i="2" s="1"/>
  <c r="X544" i="2"/>
  <c r="Y544" i="2" s="1"/>
  <c r="X597" i="2"/>
  <c r="Y597" i="2" s="1"/>
  <c r="X148" i="2"/>
  <c r="Y148" i="2" s="1"/>
  <c r="X554" i="2"/>
  <c r="Y554" i="2" s="1"/>
  <c r="X421" i="2"/>
  <c r="Y421" i="2" s="1"/>
  <c r="X247" i="2"/>
  <c r="Y247" i="2" s="1"/>
  <c r="X159" i="2"/>
  <c r="Y159" i="2" s="1"/>
  <c r="X2" i="2"/>
  <c r="Y2" i="2" s="1"/>
  <c r="AO16" i="31"/>
  <c r="X193" i="2" s="1"/>
  <c r="Y193" i="2" s="1"/>
  <c r="AP10" i="31"/>
  <c r="AT8" i="31"/>
  <c r="AR25" i="31"/>
  <c r="AP11" i="31"/>
  <c r="AQ3" i="31"/>
  <c r="AT15" i="31"/>
  <c r="AT13" i="31"/>
  <c r="AT21" i="31"/>
  <c r="AP27" i="31"/>
  <c r="AP7" i="31"/>
  <c r="AQ33" i="31"/>
  <c r="AT29" i="31"/>
  <c r="AP19" i="31"/>
  <c r="K113" i="8" s="1"/>
  <c r="AR3" i="31"/>
  <c r="N444" i="11" s="1"/>
  <c r="O444" i="11" s="1"/>
  <c r="AT26" i="31"/>
  <c r="AS26" i="31"/>
  <c r="AR26" i="31"/>
  <c r="AQ26" i="31"/>
  <c r="AP26" i="31"/>
  <c r="AP12" i="31"/>
  <c r="K16" i="8" s="1"/>
  <c r="AR11" i="31"/>
  <c r="N578" i="11" s="1"/>
  <c r="O578" i="11" s="1"/>
  <c r="AT7" i="31"/>
  <c r="AS7" i="31"/>
  <c r="AQ11" i="31"/>
  <c r="AS11" i="31"/>
  <c r="AQ7" i="31"/>
  <c r="AT11" i="31"/>
  <c r="AS21" i="31"/>
  <c r="AR7" i="31"/>
  <c r="AQ21" i="31"/>
  <c r="AR21" i="31"/>
  <c r="AS33" i="31"/>
  <c r="AP33" i="31"/>
  <c r="AT12" i="31"/>
  <c r="AS12" i="31"/>
  <c r="AT25" i="31"/>
  <c r="AQ25" i="31"/>
  <c r="AP3" i="31"/>
  <c r="AP21" i="31"/>
  <c r="AT27" i="31"/>
  <c r="AQ22" i="31"/>
  <c r="AR9" i="31"/>
  <c r="N4" i="11" s="1"/>
  <c r="AT22" i="31"/>
  <c r="AT10" i="31"/>
  <c r="AS8" i="31"/>
  <c r="AT9" i="31"/>
  <c r="AP22" i="31"/>
  <c r="K22" i="8" s="1"/>
  <c r="AQ15" i="31"/>
  <c r="AS9" i="31"/>
  <c r="AR22" i="31"/>
  <c r="AR12" i="31"/>
  <c r="AR10" i="31"/>
  <c r="N584" i="11" s="1"/>
  <c r="O584" i="11" s="1"/>
  <c r="AT3" i="31"/>
  <c r="AP9" i="31"/>
  <c r="K105" i="8" s="1"/>
  <c r="AS22" i="31"/>
  <c r="AS10" i="31"/>
  <c r="AR8" i="31"/>
  <c r="N309" i="11" s="1"/>
  <c r="O309" i="11" s="1"/>
  <c r="AQ12" i="31"/>
  <c r="AQ10" i="31"/>
  <c r="AS3" i="31"/>
  <c r="AQ8" i="31"/>
  <c r="AR15" i="31"/>
  <c r="N582" i="11" s="1"/>
  <c r="O582" i="11" s="1"/>
  <c r="AP8" i="31"/>
  <c r="AP15" i="31"/>
  <c r="K108" i="8" s="1"/>
  <c r="AR27" i="31"/>
  <c r="AS15" i="31"/>
  <c r="AT33" i="31"/>
  <c r="AT19" i="31"/>
  <c r="AS25" i="31"/>
  <c r="L24" i="20" s="1"/>
  <c r="AS18" i="31"/>
  <c r="AR19" i="31"/>
  <c r="AT18" i="31"/>
  <c r="AS19" i="31"/>
  <c r="AR33" i="31"/>
  <c r="AQ9" i="31"/>
  <c r="AR18" i="31"/>
  <c r="AQ19" i="31"/>
  <c r="AP25" i="31"/>
  <c r="K109" i="8" s="1"/>
  <c r="AQ18" i="31"/>
  <c r="AP18" i="31"/>
  <c r="K8" i="8" s="1"/>
  <c r="AS27" i="31"/>
  <c r="AQ27" i="31"/>
  <c r="AS13" i="31"/>
  <c r="AS29" i="31"/>
  <c r="AR13" i="31"/>
  <c r="AQ29" i="31"/>
  <c r="AQ13" i="31"/>
  <c r="AP29" i="31"/>
  <c r="K4" i="8" s="1"/>
  <c r="AP13" i="31"/>
  <c r="K79" i="8" s="1"/>
  <c r="AR29" i="31"/>
  <c r="AT20" i="31"/>
  <c r="AP20" i="31"/>
  <c r="AQ20" i="31"/>
  <c r="AR20" i="31"/>
  <c r="N549" i="11" s="1"/>
  <c r="O549" i="11" s="1"/>
  <c r="AS20" i="31"/>
  <c r="AP32" i="31"/>
  <c r="AQ32" i="31"/>
  <c r="AR32" i="31"/>
  <c r="AS32" i="31"/>
  <c r="AT32" i="31"/>
  <c r="AT28" i="31"/>
  <c r="AP28" i="31"/>
  <c r="AQ28" i="31"/>
  <c r="AR28" i="31"/>
  <c r="AS28" i="31"/>
  <c r="AP24" i="31"/>
  <c r="AQ24" i="31"/>
  <c r="AR24" i="31"/>
  <c r="AS24" i="31"/>
  <c r="AT24" i="31"/>
  <c r="AR16" i="31"/>
  <c r="AS16" i="31"/>
  <c r="AT16" i="31"/>
  <c r="AQ16" i="31"/>
  <c r="AP16" i="31"/>
  <c r="AP17" i="31"/>
  <c r="AQ17" i="31"/>
  <c r="AR17" i="31"/>
  <c r="AS17" i="31"/>
  <c r="AT17" i="31"/>
  <c r="N587" i="11" l="1"/>
  <c r="O587" i="11" s="1"/>
  <c r="N577" i="11"/>
  <c r="O577" i="11" s="1"/>
  <c r="N480" i="11"/>
  <c r="O480" i="11" s="1"/>
  <c r="N580" i="11"/>
  <c r="O580" i="11" s="1"/>
  <c r="N586" i="11"/>
  <c r="O586" i="11" s="1"/>
  <c r="N579" i="11"/>
  <c r="O579" i="11" s="1"/>
  <c r="N583" i="11"/>
  <c r="O583" i="11" s="1"/>
  <c r="N576" i="11"/>
  <c r="O576" i="11" s="1"/>
  <c r="N585" i="11"/>
  <c r="O585" i="11" s="1"/>
  <c r="N39" i="11"/>
  <c r="O39" i="11" s="1"/>
  <c r="N528" i="11"/>
  <c r="O528" i="11" s="1"/>
  <c r="N411" i="11"/>
  <c r="O411" i="11" s="1"/>
  <c r="N383" i="11"/>
  <c r="O383" i="11" s="1"/>
  <c r="N35" i="11"/>
  <c r="O35" i="11" s="1"/>
  <c r="N387" i="11"/>
  <c r="O387" i="11" s="1"/>
  <c r="N349" i="11"/>
  <c r="O349" i="11" s="1"/>
  <c r="N293" i="11"/>
  <c r="O293" i="11" s="1"/>
  <c r="N525" i="11"/>
  <c r="O525" i="11" s="1"/>
  <c r="N545" i="11"/>
  <c r="O545" i="11" s="1"/>
  <c r="N523" i="11"/>
  <c r="O523" i="11" s="1"/>
  <c r="O4" i="11"/>
  <c r="N462" i="11"/>
  <c r="O462" i="11" s="1"/>
  <c r="N367" i="11"/>
  <c r="O367" i="11" s="1"/>
  <c r="N341" i="11"/>
  <c r="O341" i="11" s="1"/>
  <c r="N470" i="11"/>
  <c r="O470" i="11" s="1"/>
  <c r="N531" i="11"/>
  <c r="O531" i="11" s="1"/>
  <c r="N486" i="11"/>
  <c r="O486" i="11" s="1"/>
  <c r="N522" i="11"/>
  <c r="O522" i="11" s="1"/>
  <c r="N397" i="11"/>
  <c r="O397" i="11" s="1"/>
  <c r="N441" i="11"/>
  <c r="O441" i="11" s="1"/>
  <c r="N12" i="11"/>
  <c r="O12" i="11" s="1"/>
  <c r="N446" i="11"/>
  <c r="O446" i="11" s="1"/>
  <c r="N389" i="11"/>
  <c r="O389" i="11" s="1"/>
  <c r="N399" i="11"/>
  <c r="O399" i="11" s="1"/>
  <c r="N570" i="11"/>
  <c r="O570" i="11" s="1"/>
  <c r="N33" i="11"/>
  <c r="O33" i="11" s="1"/>
  <c r="N439" i="11"/>
  <c r="O439" i="11" s="1"/>
  <c r="N495" i="11"/>
  <c r="O495" i="11" s="1"/>
  <c r="N434" i="11"/>
  <c r="O434" i="11" s="1"/>
  <c r="N475" i="11"/>
  <c r="O475" i="11" s="1"/>
  <c r="N347" i="11"/>
  <c r="O347" i="11" s="1"/>
  <c r="N506" i="11"/>
  <c r="O506" i="11" s="1"/>
  <c r="N571" i="11"/>
  <c r="O571" i="11" s="1"/>
  <c r="N344" i="11"/>
  <c r="O344" i="11" s="1"/>
  <c r="N384" i="11"/>
  <c r="O384" i="11" s="1"/>
  <c r="N537" i="11"/>
  <c r="O537" i="11" s="1"/>
  <c r="N332" i="11"/>
  <c r="O332" i="11" s="1"/>
  <c r="N569" i="11"/>
  <c r="O569" i="11" s="1"/>
  <c r="N289" i="11"/>
  <c r="O289" i="11" s="1"/>
  <c r="N276" i="11"/>
  <c r="O276" i="11" s="1"/>
  <c r="N7" i="11"/>
  <c r="O7" i="11" s="1"/>
  <c r="N269" i="11"/>
  <c r="O269" i="11" s="1"/>
  <c r="N312" i="11"/>
  <c r="O312" i="11" s="1"/>
  <c r="N2" i="11"/>
  <c r="O2" i="11" s="1"/>
  <c r="N207" i="11"/>
  <c r="O207" i="11" s="1"/>
  <c r="N176" i="11"/>
  <c r="O176" i="11" s="1"/>
  <c r="N8" i="11"/>
  <c r="O8" i="11" s="1"/>
  <c r="N86" i="11"/>
  <c r="O86" i="11" s="1"/>
  <c r="N145" i="11"/>
  <c r="O145" i="11" s="1"/>
  <c r="N77" i="11"/>
  <c r="O77" i="11" s="1"/>
  <c r="N147" i="11"/>
  <c r="O147" i="11" s="1"/>
  <c r="N316" i="11"/>
  <c r="O316" i="11" s="1"/>
  <c r="N20" i="11"/>
  <c r="O20" i="11" s="1"/>
  <c r="N11" i="11"/>
  <c r="O11" i="11" s="1"/>
  <c r="N239" i="11"/>
  <c r="O239" i="11" s="1"/>
  <c r="N40" i="11"/>
  <c r="O40" i="11" s="1"/>
  <c r="N327" i="11"/>
  <c r="O327" i="11" s="1"/>
  <c r="N221" i="11"/>
  <c r="O221" i="11" s="1"/>
  <c r="N109" i="11"/>
  <c r="O109" i="11" s="1"/>
  <c r="N377" i="11"/>
  <c r="O377" i="11" s="1"/>
  <c r="N266" i="11"/>
  <c r="O266" i="11" s="1"/>
  <c r="N226" i="11"/>
  <c r="O226" i="11" s="1"/>
  <c r="N186" i="11"/>
  <c r="O186" i="11" s="1"/>
  <c r="N170" i="11"/>
  <c r="O170" i="11" s="1"/>
  <c r="N219" i="11"/>
  <c r="O219" i="11" s="1"/>
  <c r="N129" i="11"/>
  <c r="O129" i="11" s="1"/>
  <c r="N3" i="11"/>
  <c r="O3" i="11" s="1"/>
  <c r="N19" i="11"/>
  <c r="O19" i="11" s="1"/>
  <c r="N102" i="11"/>
  <c r="O102" i="11" s="1"/>
  <c r="L19" i="20"/>
  <c r="L17" i="20"/>
  <c r="L23" i="20"/>
  <c r="L22" i="20"/>
  <c r="N51" i="11"/>
  <c r="O51" i="11" s="1"/>
  <c r="N9" i="11"/>
  <c r="O9" i="11" s="1"/>
  <c r="N210" i="11"/>
  <c r="O210" i="11" s="1"/>
  <c r="N243" i="11"/>
  <c r="O243" i="11" s="1"/>
  <c r="K91" i="8"/>
  <c r="N354" i="11"/>
  <c r="O354" i="11" s="1"/>
  <c r="N554" i="11"/>
  <c r="O554" i="11" s="1"/>
  <c r="N202" i="11"/>
  <c r="O202" i="11" s="1"/>
  <c r="N390" i="11"/>
  <c r="O390" i="11" s="1"/>
  <c r="N273" i="11"/>
  <c r="O273" i="11" s="1"/>
  <c r="N256" i="11"/>
  <c r="O256" i="11" s="1"/>
  <c r="N413" i="11"/>
  <c r="O413" i="11" s="1"/>
  <c r="N392" i="11"/>
  <c r="O392" i="11" s="1"/>
  <c r="N236" i="11"/>
  <c r="O236" i="11" s="1"/>
  <c r="N55" i="11"/>
  <c r="O55" i="11" s="1"/>
  <c r="N254" i="11"/>
  <c r="O254" i="11" s="1"/>
  <c r="N31" i="11"/>
  <c r="O31" i="11" s="1"/>
  <c r="N313" i="11"/>
  <c r="O313" i="11" s="1"/>
  <c r="N358" i="11"/>
  <c r="O358" i="11" s="1"/>
  <c r="N246" i="11"/>
  <c r="O246" i="11" s="1"/>
  <c r="N564" i="11"/>
  <c r="O564" i="11" s="1"/>
  <c r="N359" i="11"/>
  <c r="O359" i="11" s="1"/>
  <c r="N400" i="11"/>
  <c r="O400" i="11" s="1"/>
  <c r="N130" i="11"/>
  <c r="O130" i="11" s="1"/>
  <c r="N300" i="11"/>
  <c r="O300" i="11" s="1"/>
  <c r="N391" i="11"/>
  <c r="O391" i="11" s="1"/>
  <c r="N297" i="11"/>
  <c r="O297" i="11" s="1"/>
  <c r="N303" i="11"/>
  <c r="O303" i="11" s="1"/>
  <c r="N195" i="11"/>
  <c r="O195" i="11" s="1"/>
  <c r="N375" i="11"/>
  <c r="O375" i="11" s="1"/>
  <c r="O402" i="11"/>
  <c r="N393" i="11"/>
  <c r="O393" i="11" s="1"/>
  <c r="N114" i="11"/>
  <c r="O114" i="11" s="1"/>
  <c r="N56" i="11"/>
  <c r="O56" i="11" s="1"/>
  <c r="N113" i="11"/>
  <c r="O113" i="11" s="1"/>
  <c r="N388" i="11"/>
  <c r="O388" i="11" s="1"/>
  <c r="N93" i="11"/>
  <c r="O93" i="11" s="1"/>
  <c r="N144" i="11"/>
  <c r="O144" i="11" s="1"/>
  <c r="N26" i="11"/>
  <c r="O26" i="11" s="1"/>
  <c r="N339" i="11"/>
  <c r="O339" i="11" s="1"/>
  <c r="N80" i="11"/>
  <c r="O80" i="11" s="1"/>
  <c r="N116" i="11"/>
  <c r="O116" i="11" s="1"/>
  <c r="N403" i="11"/>
  <c r="O403" i="11" s="1"/>
  <c r="N200" i="11"/>
  <c r="O200" i="11" s="1"/>
  <c r="N264" i="11"/>
  <c r="O264" i="11" s="1"/>
  <c r="N120" i="11"/>
  <c r="O120" i="11" s="1"/>
  <c r="N82" i="11"/>
  <c r="O82" i="11" s="1"/>
  <c r="N345" i="11"/>
  <c r="O345" i="11" s="1"/>
  <c r="N111" i="11"/>
  <c r="O111" i="11" s="1"/>
  <c r="N79" i="11"/>
  <c r="O79" i="11" s="1"/>
  <c r="N552" i="11"/>
  <c r="O552" i="11" s="1"/>
  <c r="N158" i="11"/>
  <c r="O158" i="11" s="1"/>
  <c r="N352" i="11"/>
  <c r="O352" i="11" s="1"/>
  <c r="N232" i="11"/>
  <c r="O232" i="11" s="1"/>
  <c r="N567" i="11"/>
  <c r="O567" i="11" s="1"/>
  <c r="N196" i="11"/>
  <c r="O196" i="11" s="1"/>
  <c r="N322" i="11"/>
  <c r="O322" i="11" s="1"/>
  <c r="N376" i="11"/>
  <c r="O376" i="11" s="1"/>
  <c r="N160" i="11"/>
  <c r="O160" i="11" s="1"/>
  <c r="N52" i="11"/>
  <c r="O52" i="11" s="1"/>
  <c r="N227" i="11"/>
  <c r="O227" i="11" s="1"/>
  <c r="N46" i="11"/>
  <c r="O46" i="11" s="1"/>
  <c r="N251" i="11"/>
  <c r="O251" i="11" s="1"/>
  <c r="N378" i="11"/>
  <c r="O378" i="11" s="1"/>
  <c r="N241" i="11"/>
  <c r="O241" i="11" s="1"/>
  <c r="N230" i="11"/>
  <c r="O230" i="11" s="1"/>
  <c r="N559" i="11"/>
  <c r="O559" i="11" s="1"/>
  <c r="N237" i="11"/>
  <c r="O237" i="11" s="1"/>
  <c r="N244" i="11"/>
  <c r="O244" i="11" s="1"/>
  <c r="N267" i="11"/>
  <c r="O267" i="11" s="1"/>
  <c r="N104" i="11"/>
  <c r="O104" i="11" s="1"/>
  <c r="N212" i="11"/>
  <c r="O212" i="11" s="1"/>
  <c r="N198" i="11"/>
  <c r="O198" i="11" s="1"/>
  <c r="N274" i="11"/>
  <c r="O274" i="11" s="1"/>
  <c r="N317" i="11"/>
  <c r="O317" i="11" s="1"/>
  <c r="N43" i="11"/>
  <c r="O43" i="11" s="1"/>
  <c r="N115" i="11"/>
  <c r="O115" i="11" s="1"/>
  <c r="N398" i="11"/>
  <c r="O398" i="11" s="1"/>
  <c r="N379" i="11"/>
  <c r="O379" i="11" s="1"/>
  <c r="N110" i="11"/>
  <c r="O110" i="11" s="1"/>
  <c r="N280" i="11"/>
  <c r="O280" i="11" s="1"/>
  <c r="N284" i="11"/>
  <c r="O284" i="11" s="1"/>
  <c r="N353" i="11"/>
  <c r="O353" i="11" s="1"/>
  <c r="N162" i="11"/>
  <c r="O162" i="11" s="1"/>
  <c r="N137" i="11"/>
  <c r="O137" i="11" s="1"/>
  <c r="N380" i="11"/>
  <c r="O380" i="11" s="1"/>
  <c r="N421" i="11"/>
  <c r="O421" i="11" s="1"/>
  <c r="N240" i="11"/>
  <c r="O240" i="11" s="1"/>
  <c r="N32" i="11"/>
  <c r="O32" i="11" s="1"/>
  <c r="N253" i="11"/>
  <c r="O253" i="11" s="1"/>
  <c r="N565" i="11"/>
  <c r="O565" i="11" s="1"/>
  <c r="N67" i="11"/>
  <c r="O67" i="11" s="1"/>
  <c r="N185" i="11"/>
  <c r="O185" i="11" s="1"/>
  <c r="N299" i="11"/>
  <c r="O299" i="11" s="1"/>
  <c r="N57" i="11"/>
  <c r="O57" i="11" s="1"/>
  <c r="N189" i="11"/>
  <c r="O189" i="11" s="1"/>
  <c r="N183" i="11"/>
  <c r="O183" i="11" s="1"/>
  <c r="N294" i="11"/>
  <c r="O294" i="11" s="1"/>
  <c r="N191" i="11"/>
  <c r="O191" i="11" s="1"/>
  <c r="N81" i="11"/>
  <c r="O81" i="11" s="1"/>
  <c r="N330" i="11"/>
  <c r="O330" i="11" s="1"/>
  <c r="N153" i="11"/>
  <c r="O153" i="11" s="1"/>
  <c r="N41" i="11"/>
  <c r="O41" i="11" s="1"/>
  <c r="N24" i="11"/>
  <c r="O24" i="11" s="1"/>
  <c r="N150" i="11"/>
  <c r="O150" i="11" s="1"/>
  <c r="N172" i="11"/>
  <c r="O172" i="11" s="1"/>
  <c r="N194" i="11"/>
  <c r="O194" i="11" s="1"/>
  <c r="N417" i="11"/>
  <c r="O417" i="11" s="1"/>
  <c r="N182" i="11"/>
  <c r="O182" i="11" s="1"/>
  <c r="N126" i="11"/>
  <c r="O126" i="11" s="1"/>
  <c r="N206" i="11"/>
  <c r="O206" i="11" s="1"/>
  <c r="N37" i="11"/>
  <c r="O37" i="11" s="1"/>
  <c r="N318" i="11"/>
  <c r="O318" i="11" s="1"/>
  <c r="N262" i="11"/>
  <c r="O262" i="11" s="1"/>
  <c r="N199" i="11"/>
  <c r="O199" i="11" s="1"/>
  <c r="N25" i="11"/>
  <c r="O25" i="11" s="1"/>
  <c r="N165" i="11"/>
  <c r="O165" i="11" s="1"/>
  <c r="N263" i="11"/>
  <c r="O263" i="11" s="1"/>
  <c r="N70" i="11"/>
  <c r="O70" i="11" s="1"/>
  <c r="N556" i="11"/>
  <c r="O556" i="11" s="1"/>
  <c r="N197" i="11"/>
  <c r="O197" i="11" s="1"/>
  <c r="N356" i="11"/>
  <c r="O356" i="11" s="1"/>
  <c r="N286" i="11"/>
  <c r="O286" i="11" s="1"/>
  <c r="N188" i="11"/>
  <c r="O188" i="11" s="1"/>
  <c r="N333" i="11"/>
  <c r="O333" i="11" s="1"/>
  <c r="N249" i="11"/>
  <c r="O249" i="11" s="1"/>
  <c r="N216" i="11"/>
  <c r="O216" i="11" s="1"/>
  <c r="N49" i="11"/>
  <c r="O49" i="11" s="1"/>
  <c r="N97" i="11"/>
  <c r="O97" i="11" s="1"/>
  <c r="N223" i="11"/>
  <c r="O223" i="11" s="1"/>
  <c r="N148" i="11"/>
  <c r="O148" i="11" s="1"/>
  <c r="N385" i="11"/>
  <c r="O385" i="11" s="1"/>
  <c r="N157" i="11"/>
  <c r="O157" i="11" s="1"/>
  <c r="N405" i="11"/>
  <c r="O405" i="11" s="1"/>
  <c r="N173" i="11"/>
  <c r="O173" i="11" s="1"/>
  <c r="N287" i="11"/>
  <c r="O287" i="11" s="1"/>
  <c r="N36" i="11"/>
  <c r="O36" i="11" s="1"/>
  <c r="N410" i="11"/>
  <c r="O410" i="11" s="1"/>
  <c r="N208" i="11"/>
  <c r="O208" i="11" s="1"/>
  <c r="N319" i="11"/>
  <c r="O319" i="11" s="1"/>
  <c r="N155" i="11"/>
  <c r="O155" i="11" s="1"/>
  <c r="N260" i="11"/>
  <c r="O260" i="11" s="1"/>
  <c r="N34" i="11"/>
  <c r="O34" i="11" s="1"/>
  <c r="N419" i="11"/>
  <c r="O419" i="11" s="1"/>
  <c r="N257" i="11"/>
  <c r="O257" i="11" s="1"/>
  <c r="N123" i="11"/>
  <c r="O123" i="11" s="1"/>
  <c r="N63" i="11"/>
  <c r="O63" i="11" s="1"/>
  <c r="N234" i="11"/>
  <c r="O234" i="11" s="1"/>
  <c r="N138" i="11"/>
  <c r="O138" i="11" s="1"/>
  <c r="N78" i="11"/>
  <c r="O78" i="11" s="1"/>
  <c r="N360" i="11"/>
  <c r="O360" i="11" s="1"/>
  <c r="N59" i="11"/>
  <c r="O59" i="11" s="1"/>
  <c r="N6" i="11"/>
  <c r="O6" i="11" s="1"/>
  <c r="N338" i="11"/>
  <c r="O338" i="11" s="1"/>
  <c r="N125" i="11"/>
  <c r="O125" i="11" s="1"/>
  <c r="O414" i="11"/>
  <c r="N572" i="11"/>
  <c r="O572" i="11" s="1"/>
  <c r="N140" i="11"/>
  <c r="O140" i="11" s="1"/>
  <c r="N242" i="11"/>
  <c r="O242" i="11" s="1"/>
  <c r="N96" i="11"/>
  <c r="O96" i="11" s="1"/>
  <c r="N225" i="11"/>
  <c r="O225" i="11" s="1"/>
  <c r="N298" i="11"/>
  <c r="O298" i="11" s="1"/>
  <c r="N409" i="11"/>
  <c r="O409" i="11" s="1"/>
  <c r="N211" i="11"/>
  <c r="O211" i="11" s="1"/>
  <c r="N351" i="11"/>
  <c r="O351" i="11" s="1"/>
  <c r="N169" i="11"/>
  <c r="O169" i="11" s="1"/>
  <c r="N553" i="11"/>
  <c r="O553" i="11" s="1"/>
  <c r="N13" i="11"/>
  <c r="O13" i="11" s="1"/>
  <c r="N100" i="11"/>
  <c r="O100" i="11" s="1"/>
  <c r="N151" i="11"/>
  <c r="O151" i="11" s="1"/>
  <c r="N321" i="11"/>
  <c r="O321" i="11" s="1"/>
  <c r="N42" i="11"/>
  <c r="O42" i="11" s="1"/>
  <c r="N252" i="11"/>
  <c r="O252" i="11" s="1"/>
  <c r="N58" i="11"/>
  <c r="O58" i="11" s="1"/>
  <c r="N133" i="11"/>
  <c r="O133" i="11" s="1"/>
  <c r="N128" i="11"/>
  <c r="O128" i="11" s="1"/>
  <c r="N84" i="11"/>
  <c r="O84" i="11" s="1"/>
  <c r="N292" i="11"/>
  <c r="O292" i="11" s="1"/>
  <c r="N259" i="11"/>
  <c r="O259" i="11" s="1"/>
  <c r="N283" i="11"/>
  <c r="O283" i="11" s="1"/>
  <c r="N45" i="11"/>
  <c r="O45" i="11" s="1"/>
  <c r="N118" i="11"/>
  <c r="O118" i="11" s="1"/>
  <c r="O304" i="11"/>
  <c r="N94" i="11"/>
  <c r="O94" i="11" s="1"/>
  <c r="O331" i="11"/>
  <c r="N346" i="11"/>
  <c r="O346" i="11" s="1"/>
  <c r="N214" i="11"/>
  <c r="O214" i="11" s="1"/>
  <c r="N68" i="11"/>
  <c r="O68" i="11" s="1"/>
  <c r="N90" i="11"/>
  <c r="O90" i="11" s="1"/>
  <c r="N14" i="11"/>
  <c r="O14" i="11" s="1"/>
  <c r="N342" i="11"/>
  <c r="O342" i="11" s="1"/>
  <c r="N295" i="11"/>
  <c r="O295" i="11" s="1"/>
  <c r="N235" i="11"/>
  <c r="O235" i="11" s="1"/>
  <c r="N187" i="11"/>
  <c r="O187" i="11" s="1"/>
  <c r="N329" i="11"/>
  <c r="O329" i="11" s="1"/>
  <c r="N134" i="11"/>
  <c r="O134" i="11" s="1"/>
  <c r="N215" i="11"/>
  <c r="O215" i="11" s="1"/>
  <c r="N334" i="11"/>
  <c r="O334" i="11" s="1"/>
  <c r="N22" i="11"/>
  <c r="O22" i="11" s="1"/>
  <c r="N231" i="11"/>
  <c r="O231" i="11" s="1"/>
  <c r="N568" i="11"/>
  <c r="O568" i="11" s="1"/>
  <c r="N279" i="11"/>
  <c r="O279" i="11" s="1"/>
  <c r="N368" i="11"/>
  <c r="O368" i="11" s="1"/>
  <c r="N101" i="11"/>
  <c r="O101" i="11" s="1"/>
  <c r="N181" i="11"/>
  <c r="O181" i="11" s="1"/>
  <c r="N192" i="11"/>
  <c r="O192" i="11" s="1"/>
  <c r="N381" i="11"/>
  <c r="O381" i="11" s="1"/>
  <c r="N164" i="11"/>
  <c r="O164" i="11" s="1"/>
  <c r="N193" i="11"/>
  <c r="O193" i="11" s="1"/>
  <c r="N371" i="11"/>
  <c r="O371" i="11" s="1"/>
  <c r="N361" i="11"/>
  <c r="O361" i="11" s="1"/>
  <c r="N575" i="11"/>
  <c r="O575" i="11" s="1"/>
  <c r="N121" i="11"/>
  <c r="O121" i="11" s="1"/>
  <c r="N53" i="11"/>
  <c r="O53" i="11" s="1"/>
  <c r="N190" i="11"/>
  <c r="O190" i="11" s="1"/>
  <c r="N412" i="11"/>
  <c r="O412" i="11" s="1"/>
  <c r="N228" i="11"/>
  <c r="O228" i="11" s="1"/>
  <c r="N566" i="11"/>
  <c r="O566" i="11" s="1"/>
  <c r="N107" i="11"/>
  <c r="O107" i="11" s="1"/>
  <c r="N112" i="11"/>
  <c r="O112" i="11" s="1"/>
  <c r="N519" i="11"/>
  <c r="O519" i="11" s="1"/>
  <c r="N472" i="11"/>
  <c r="O472" i="11" s="1"/>
  <c r="N28" i="11"/>
  <c r="O28" i="11" s="1"/>
  <c r="N447" i="11"/>
  <c r="O447" i="11" s="1"/>
  <c r="N530" i="11"/>
  <c r="O530" i="11" s="1"/>
  <c r="N396" i="11"/>
  <c r="O396" i="11" s="1"/>
  <c r="N548" i="11"/>
  <c r="O548" i="11" s="1"/>
  <c r="N541" i="11"/>
  <c r="O541" i="11" s="1"/>
  <c r="N290" i="11"/>
  <c r="O290" i="11" s="1"/>
  <c r="N73" i="11"/>
  <c r="O73" i="11" s="1"/>
  <c r="N428" i="11"/>
  <c r="O428" i="11" s="1"/>
  <c r="N261" i="11"/>
  <c r="O261" i="11" s="1"/>
  <c r="N204" i="11"/>
  <c r="O204" i="11" s="1"/>
  <c r="N574" i="11"/>
  <c r="O574" i="11" s="1"/>
  <c r="N498" i="11"/>
  <c r="O498" i="11" s="1"/>
  <c r="N456" i="11"/>
  <c r="O456" i="11" s="1"/>
  <c r="N468" i="11"/>
  <c r="O468" i="11" s="1"/>
  <c r="N122" i="11"/>
  <c r="O122" i="11" s="1"/>
  <c r="N296" i="11"/>
  <c r="O296" i="11" s="1"/>
  <c r="N177" i="11"/>
  <c r="O177" i="11" s="1"/>
  <c r="N461" i="11"/>
  <c r="O461" i="11" s="1"/>
  <c r="N423" i="11"/>
  <c r="O423" i="11" s="1"/>
  <c r="N282" i="11"/>
  <c r="O282" i="11" s="1"/>
  <c r="N23" i="11"/>
  <c r="O23" i="11" s="1"/>
  <c r="N502" i="11"/>
  <c r="O502" i="11" s="1"/>
  <c r="N222" i="11"/>
  <c r="O222" i="11" s="1"/>
  <c r="N105" i="11"/>
  <c r="O105" i="11" s="1"/>
  <c r="N103" i="11"/>
  <c r="O103" i="11" s="1"/>
  <c r="N324" i="11"/>
  <c r="O324" i="11" s="1"/>
  <c r="N117" i="11"/>
  <c r="O117" i="11" s="1"/>
  <c r="N416" i="11"/>
  <c r="O416" i="11" s="1"/>
  <c r="O458" i="11"/>
  <c r="N499" i="11"/>
  <c r="O499" i="11" s="1"/>
  <c r="N325" i="11"/>
  <c r="O325" i="11" s="1"/>
  <c r="N218" i="11"/>
  <c r="O218" i="11" s="1"/>
  <c r="N516" i="11"/>
  <c r="O516" i="11" s="1"/>
  <c r="N445" i="11"/>
  <c r="O445" i="11" s="1"/>
  <c r="N535" i="11"/>
  <c r="O535" i="11" s="1"/>
  <c r="N171" i="11"/>
  <c r="O171" i="11" s="1"/>
  <c r="N515" i="11"/>
  <c r="O515" i="11" s="1"/>
  <c r="N453" i="11"/>
  <c r="O453" i="11" s="1"/>
  <c r="N247" i="11"/>
  <c r="O247" i="11" s="1"/>
  <c r="N124" i="11"/>
  <c r="O124" i="11" s="1"/>
  <c r="N21" i="11"/>
  <c r="O21" i="11" s="1"/>
  <c r="N146" i="11"/>
  <c r="O146" i="11" s="1"/>
  <c r="N229" i="11"/>
  <c r="O229" i="11" s="1"/>
  <c r="N485" i="11"/>
  <c r="O485" i="11" s="1"/>
  <c r="N436" i="11"/>
  <c r="O436" i="11" s="1"/>
  <c r="N490" i="11"/>
  <c r="O490" i="11" s="1"/>
  <c r="N83" i="11"/>
  <c r="O83" i="11" s="1"/>
  <c r="N479" i="11"/>
  <c r="O479" i="11" s="1"/>
  <c r="N364" i="11"/>
  <c r="O364" i="11" s="1"/>
  <c r="N268" i="11"/>
  <c r="O268" i="11" s="1"/>
  <c r="N524" i="11"/>
  <c r="O524" i="11" s="1"/>
  <c r="N355" i="11"/>
  <c r="O355" i="11" s="1"/>
  <c r="N484" i="11"/>
  <c r="O484" i="11" s="1"/>
  <c r="N143" i="11"/>
  <c r="O143" i="11" s="1"/>
  <c r="N424" i="11"/>
  <c r="O424" i="11" s="1"/>
  <c r="N142" i="11"/>
  <c r="O142" i="11" s="1"/>
  <c r="N460" i="11"/>
  <c r="O460" i="11" s="1"/>
  <c r="N408" i="11"/>
  <c r="O408" i="11" s="1"/>
  <c r="N443" i="11"/>
  <c r="O443" i="11" s="1"/>
  <c r="N61" i="11"/>
  <c r="O61" i="11" s="1"/>
  <c r="N500" i="11"/>
  <c r="O500" i="11" s="1"/>
  <c r="N149" i="11"/>
  <c r="O149" i="11" s="1"/>
  <c r="N373" i="11"/>
  <c r="O373" i="11" s="1"/>
  <c r="N285" i="11"/>
  <c r="O285" i="11" s="1"/>
  <c r="N357" i="11"/>
  <c r="O357" i="11" s="1"/>
  <c r="N336" i="11"/>
  <c r="O336" i="11" s="1"/>
  <c r="N326" i="11"/>
  <c r="O326" i="11" s="1"/>
  <c r="N89" i="11"/>
  <c r="O89" i="11" s="1"/>
  <c r="N492" i="11"/>
  <c r="O492" i="11" s="1"/>
  <c r="N432" i="11"/>
  <c r="O432" i="11" s="1"/>
  <c r="N65" i="11"/>
  <c r="O65" i="11" s="1"/>
  <c r="N395" i="11"/>
  <c r="O395" i="11" s="1"/>
  <c r="N406" i="11"/>
  <c r="O406" i="11" s="1"/>
  <c r="N491" i="11"/>
  <c r="O491" i="11" s="1"/>
  <c r="N365" i="11"/>
  <c r="O365" i="11" s="1"/>
  <c r="N510" i="11"/>
  <c r="O510" i="11" s="1"/>
  <c r="N302" i="11"/>
  <c r="O302" i="11" s="1"/>
  <c r="N270" i="11"/>
  <c r="O270" i="11" s="1"/>
  <c r="N547" i="11"/>
  <c r="O547" i="11" s="1"/>
  <c r="N168" i="11"/>
  <c r="O168" i="11" s="1"/>
  <c r="N546" i="11"/>
  <c r="O546" i="11" s="1"/>
  <c r="N272" i="11"/>
  <c r="O272" i="11" s="1"/>
  <c r="N220" i="11"/>
  <c r="O220" i="11" s="1"/>
  <c r="N473" i="11"/>
  <c r="O473" i="11" s="1"/>
  <c r="N369" i="11"/>
  <c r="O369" i="11" s="1"/>
  <c r="N372" i="11"/>
  <c r="O372" i="11" s="1"/>
  <c r="N467" i="11"/>
  <c r="O467" i="11" s="1"/>
  <c r="N50" i="11"/>
  <c r="O50" i="11" s="1"/>
  <c r="N536" i="11"/>
  <c r="O536" i="11" s="1"/>
  <c r="N163" i="11"/>
  <c r="O163" i="11" s="1"/>
  <c r="N466" i="11"/>
  <c r="O466" i="11" s="1"/>
  <c r="N534" i="11"/>
  <c r="O534" i="11" s="1"/>
  <c r="N533" i="11"/>
  <c r="O533" i="11" s="1"/>
  <c r="N557" i="11"/>
  <c r="O557" i="11" s="1"/>
  <c r="N442" i="11"/>
  <c r="O442" i="11" s="1"/>
  <c r="N562" i="11"/>
  <c r="O562" i="11" s="1"/>
  <c r="N255" i="11"/>
  <c r="O255" i="11" s="1"/>
  <c r="N335" i="11"/>
  <c r="O335" i="11" s="1"/>
  <c r="N469" i="11"/>
  <c r="O469" i="11" s="1"/>
  <c r="N459" i="11"/>
  <c r="O459" i="11" s="1"/>
  <c r="N27" i="11"/>
  <c r="O27" i="11" s="1"/>
  <c r="N505" i="11"/>
  <c r="O505" i="11" s="1"/>
  <c r="N463" i="11"/>
  <c r="O463" i="11" s="1"/>
  <c r="N497" i="11"/>
  <c r="O497" i="11" s="1"/>
  <c r="N136" i="11"/>
  <c r="O136" i="11" s="1"/>
  <c r="N551" i="11"/>
  <c r="O551" i="11" s="1"/>
  <c r="O401" i="11"/>
  <c r="N16" i="11"/>
  <c r="O16" i="11" s="1"/>
  <c r="N305" i="11"/>
  <c r="O305" i="11" s="1"/>
  <c r="N550" i="11"/>
  <c r="O550" i="11" s="1"/>
  <c r="N503" i="11"/>
  <c r="O503" i="11" s="1"/>
  <c r="N435" i="11"/>
  <c r="O435" i="11" s="1"/>
  <c r="N513" i="11"/>
  <c r="O513" i="11" s="1"/>
  <c r="N481" i="11"/>
  <c r="O481" i="11" s="1"/>
  <c r="N504" i="11"/>
  <c r="O504" i="11" s="1"/>
  <c r="N132" i="11"/>
  <c r="O132" i="11" s="1"/>
  <c r="N382" i="11"/>
  <c r="O382" i="11" s="1"/>
  <c r="N527" i="11"/>
  <c r="O527" i="11" s="1"/>
  <c r="N494" i="11"/>
  <c r="O494" i="11" s="1"/>
  <c r="N141" i="11"/>
  <c r="O141" i="11" s="1"/>
  <c r="N493" i="11"/>
  <c r="O493" i="11" s="1"/>
  <c r="N166" i="11"/>
  <c r="O166" i="11" s="1"/>
  <c r="N224" i="11"/>
  <c r="O224" i="11" s="1"/>
  <c r="N538" i="11"/>
  <c r="O538" i="11" s="1"/>
  <c r="N509" i="11"/>
  <c r="O509" i="11" s="1"/>
  <c r="N167" i="11"/>
  <c r="O167" i="11" s="1"/>
  <c r="N174" i="11"/>
  <c r="O174" i="11" s="1"/>
  <c r="N48" i="11"/>
  <c r="O48" i="11" s="1"/>
  <c r="N482" i="11"/>
  <c r="O482" i="11" s="1"/>
  <c r="N451" i="11"/>
  <c r="O451" i="11" s="1"/>
  <c r="N343" i="11"/>
  <c r="O343" i="11" s="1"/>
  <c r="N180" i="11"/>
  <c r="O180" i="11" s="1"/>
  <c r="N366" i="11"/>
  <c r="O366" i="11" s="1"/>
  <c r="N60" i="11"/>
  <c r="O60" i="11" s="1"/>
  <c r="N92" i="11"/>
  <c r="O92" i="11" s="1"/>
  <c r="N175" i="11"/>
  <c r="O175" i="11" s="1"/>
  <c r="N540" i="11"/>
  <c r="O540" i="11" s="1"/>
  <c r="N288" i="11"/>
  <c r="O288" i="11" s="1"/>
  <c r="N311" i="11"/>
  <c r="O311" i="11" s="1"/>
  <c r="N404" i="11"/>
  <c r="O404" i="11" s="1"/>
  <c r="N135" i="11"/>
  <c r="O135" i="11" s="1"/>
  <c r="N483" i="11"/>
  <c r="O483" i="11" s="1"/>
  <c r="N310" i="11"/>
  <c r="O310" i="11" s="1"/>
  <c r="N427" i="11"/>
  <c r="O427" i="11" s="1"/>
  <c r="N542" i="11"/>
  <c r="O542" i="11" s="1"/>
  <c r="N455" i="11"/>
  <c r="O455" i="11" s="1"/>
  <c r="N271" i="11"/>
  <c r="O271" i="11" s="1"/>
  <c r="N131" i="11"/>
  <c r="O131" i="11" s="1"/>
  <c r="N526" i="11"/>
  <c r="O526" i="11" s="1"/>
  <c r="N433" i="11"/>
  <c r="O433" i="11" s="1"/>
  <c r="N520" i="11"/>
  <c r="O520" i="11" s="1"/>
  <c r="N152" i="11"/>
  <c r="O152" i="11" s="1"/>
  <c r="N407" i="11"/>
  <c r="O407" i="11" s="1"/>
  <c r="N563" i="11"/>
  <c r="O563" i="11" s="1"/>
  <c r="N362" i="11"/>
  <c r="O362" i="11" s="1"/>
  <c r="N511" i="11"/>
  <c r="O511" i="11" s="1"/>
  <c r="N471" i="11"/>
  <c r="O471" i="11" s="1"/>
  <c r="N450" i="11"/>
  <c r="O450" i="11" s="1"/>
  <c r="N370" i="11"/>
  <c r="O370" i="11" s="1"/>
  <c r="N440" i="11"/>
  <c r="O440" i="11" s="1"/>
  <c r="N281" i="11"/>
  <c r="O281" i="11" s="1"/>
  <c r="N95" i="11"/>
  <c r="O95" i="11" s="1"/>
  <c r="N328" i="11"/>
  <c r="O328" i="11" s="1"/>
  <c r="N457" i="11"/>
  <c r="O457" i="11" s="1"/>
  <c r="N426" i="11"/>
  <c r="O426" i="11" s="1"/>
  <c r="N201" i="11"/>
  <c r="O201" i="11" s="1"/>
  <c r="N437" i="11"/>
  <c r="O437" i="11" s="1"/>
  <c r="N496" i="11"/>
  <c r="O496" i="11" s="1"/>
  <c r="N454" i="11"/>
  <c r="O454" i="11" s="1"/>
  <c r="N478" i="11"/>
  <c r="O478" i="11" s="1"/>
  <c r="N429" i="11"/>
  <c r="O429" i="11" s="1"/>
  <c r="N521" i="11"/>
  <c r="O521" i="11" s="1"/>
  <c r="N501" i="11"/>
  <c r="O501" i="11" s="1"/>
  <c r="N477" i="11"/>
  <c r="O477" i="11" s="1"/>
  <c r="N438" i="11"/>
  <c r="O438" i="11" s="1"/>
  <c r="N476" i="11"/>
  <c r="O476" i="11" s="1"/>
  <c r="N277" i="11"/>
  <c r="O277" i="11" s="1"/>
  <c r="N62" i="11"/>
  <c r="O62" i="11" s="1"/>
  <c r="N430" i="11"/>
  <c r="O430" i="11" s="1"/>
  <c r="N69" i="11"/>
  <c r="O69" i="11" s="1"/>
  <c r="N248" i="11"/>
  <c r="O248" i="11" s="1"/>
  <c r="N184" i="11"/>
  <c r="O184" i="11" s="1"/>
  <c r="N245" i="11"/>
  <c r="O245" i="11" s="1"/>
  <c r="N544" i="11"/>
  <c r="O544" i="11" s="1"/>
  <c r="N464" i="11"/>
  <c r="O464" i="11" s="1"/>
  <c r="N449" i="11"/>
  <c r="O449" i="11" s="1"/>
  <c r="N489" i="11"/>
  <c r="O489" i="11" s="1"/>
  <c r="N323" i="11"/>
  <c r="O323" i="11" s="1"/>
  <c r="N420" i="11"/>
  <c r="O420" i="11" s="1"/>
  <c r="N306" i="11"/>
  <c r="O306" i="11" s="1"/>
  <c r="N555" i="11"/>
  <c r="O555" i="11" s="1"/>
  <c r="N54" i="11"/>
  <c r="O54" i="11" s="1"/>
  <c r="N320" i="11"/>
  <c r="O320" i="11" s="1"/>
  <c r="N425" i="11"/>
  <c r="O425" i="11" s="1"/>
  <c r="N275" i="11"/>
  <c r="O275" i="11" s="1"/>
  <c r="N127" i="11"/>
  <c r="O127" i="11" s="1"/>
  <c r="N38" i="11"/>
  <c r="O38" i="11" s="1"/>
  <c r="N238" i="11"/>
  <c r="O238" i="11" s="1"/>
  <c r="N539" i="11"/>
  <c r="O539" i="11" s="1"/>
  <c r="N29" i="11"/>
  <c r="O29" i="11" s="1"/>
  <c r="N265" i="11"/>
  <c r="O265" i="11" s="1"/>
  <c r="N560" i="11"/>
  <c r="O560" i="11" s="1"/>
  <c r="N394" i="11"/>
  <c r="O394" i="11" s="1"/>
  <c r="N74" i="11"/>
  <c r="O74" i="11" s="1"/>
  <c r="N422" i="11"/>
  <c r="O422" i="11" s="1"/>
  <c r="N178" i="11"/>
  <c r="O178" i="11" s="1"/>
  <c r="N99" i="11"/>
  <c r="O99" i="11" s="1"/>
  <c r="N452" i="11"/>
  <c r="O452" i="11" s="1"/>
  <c r="N291" i="11"/>
  <c r="O291" i="11" s="1"/>
  <c r="N340" i="11"/>
  <c r="O340" i="11" s="1"/>
  <c r="N108" i="11"/>
  <c r="O108" i="11" s="1"/>
  <c r="N119" i="11"/>
  <c r="O119" i="11" s="1"/>
  <c r="N87" i="11"/>
  <c r="O87" i="11" s="1"/>
  <c r="N512" i="11"/>
  <c r="O512" i="11" s="1"/>
  <c r="N258" i="11"/>
  <c r="O258" i="11" s="1"/>
  <c r="N15" i="11"/>
  <c r="O15" i="11" s="1"/>
  <c r="N154" i="11"/>
  <c r="O154" i="11" s="1"/>
  <c r="N30" i="11"/>
  <c r="O30" i="11" s="1"/>
  <c r="N314" i="11"/>
  <c r="O314" i="11" s="1"/>
  <c r="N250" i="11"/>
  <c r="O250" i="11" s="1"/>
  <c r="N573" i="11"/>
  <c r="O573" i="11" s="1"/>
  <c r="N10" i="11"/>
  <c r="O10" i="11" s="1"/>
  <c r="N205" i="11"/>
  <c r="O205" i="11" s="1"/>
  <c r="N348" i="11"/>
  <c r="O348" i="11" s="1"/>
  <c r="N64" i="11"/>
  <c r="O64" i="11" s="1"/>
  <c r="N159" i="11"/>
  <c r="O159" i="11" s="1"/>
  <c r="L186" i="9"/>
  <c r="L66" i="9"/>
  <c r="L200" i="9"/>
  <c r="L65" i="9"/>
  <c r="L231" i="9"/>
  <c r="L79" i="9"/>
  <c r="L165" i="9"/>
  <c r="L78" i="9"/>
  <c r="L203" i="9"/>
  <c r="L242" i="9"/>
  <c r="L210" i="9"/>
  <c r="L162" i="9"/>
  <c r="L58" i="9"/>
  <c r="L96" i="9"/>
  <c r="L73" i="9"/>
  <c r="L33" i="9"/>
  <c r="L135" i="9"/>
  <c r="L159" i="9"/>
  <c r="L30" i="9"/>
  <c r="L44" i="9"/>
  <c r="L13" i="9"/>
  <c r="L234" i="9"/>
  <c r="L154" i="9"/>
  <c r="L137" i="9"/>
  <c r="L168" i="9"/>
  <c r="L23" i="9"/>
  <c r="L243" i="9"/>
  <c r="L180" i="9"/>
  <c r="L138" i="9"/>
  <c r="L59" i="9"/>
  <c r="L17" i="9"/>
  <c r="L128" i="9"/>
  <c r="L174" i="9"/>
  <c r="L110" i="9"/>
  <c r="L157" i="9"/>
  <c r="L141" i="9"/>
  <c r="L70" i="9"/>
  <c r="L147" i="9"/>
  <c r="L123" i="9"/>
  <c r="L177" i="9"/>
  <c r="L105" i="9"/>
  <c r="L152" i="9"/>
  <c r="L80" i="9"/>
  <c r="L199" i="9"/>
  <c r="L207" i="9"/>
  <c r="L16" i="9"/>
  <c r="L214" i="9"/>
  <c r="L190" i="9"/>
  <c r="L181" i="9"/>
  <c r="L21" i="9"/>
  <c r="L219" i="9"/>
  <c r="L131" i="9"/>
  <c r="L20" i="9"/>
  <c r="L3" i="9"/>
  <c r="L139" i="9"/>
  <c r="L108" i="9"/>
  <c r="L37" i="9"/>
  <c r="L52" i="9"/>
  <c r="L36" i="9"/>
  <c r="L170" i="9"/>
  <c r="L233" i="9"/>
  <c r="L153" i="9"/>
  <c r="L74" i="9"/>
  <c r="L232" i="9"/>
  <c r="L216" i="9"/>
  <c r="L254" i="9"/>
  <c r="L166" i="9"/>
  <c r="L197" i="9"/>
  <c r="L173" i="9"/>
  <c r="L133" i="9"/>
  <c r="L155" i="9"/>
  <c r="L172" i="9"/>
  <c r="L251" i="9"/>
  <c r="L171" i="9"/>
  <c r="K62" i="8"/>
  <c r="L146" i="9"/>
  <c r="L114" i="9"/>
  <c r="L90" i="9"/>
  <c r="L51" i="9"/>
  <c r="L161" i="9"/>
  <c r="L112" i="9"/>
  <c r="L93" i="9"/>
  <c r="L252" i="9"/>
  <c r="L45" i="9"/>
  <c r="L29" i="9"/>
  <c r="L193" i="9"/>
  <c r="L57" i="9"/>
  <c r="L49" i="9"/>
  <c r="L56" i="9"/>
  <c r="L191" i="9"/>
  <c r="L55" i="9"/>
  <c r="L229" i="9"/>
  <c r="L85" i="9"/>
  <c r="L244" i="9"/>
  <c r="L164" i="9"/>
  <c r="L84" i="9"/>
  <c r="L53" i="9"/>
  <c r="L98" i="9"/>
  <c r="L119" i="9"/>
  <c r="L14" i="9"/>
  <c r="L19" i="9"/>
  <c r="L75" i="9"/>
  <c r="L185" i="9"/>
  <c r="L198" i="9"/>
  <c r="L31" i="9"/>
  <c r="L225" i="9"/>
  <c r="L169" i="9"/>
  <c r="L48" i="9"/>
  <c r="L101" i="9"/>
  <c r="L54" i="9"/>
  <c r="L22" i="9"/>
  <c r="L217" i="9"/>
  <c r="L42" i="9"/>
  <c r="L184" i="9"/>
  <c r="L64" i="9"/>
  <c r="L238" i="9"/>
  <c r="L63" i="9"/>
  <c r="L117" i="9"/>
  <c r="L62" i="9"/>
  <c r="L212" i="9"/>
  <c r="L187" i="9"/>
  <c r="L129" i="9"/>
  <c r="L121" i="9"/>
  <c r="L88" i="9"/>
  <c r="L8" i="9"/>
  <c r="L222" i="9"/>
  <c r="L7" i="9"/>
  <c r="L148" i="9"/>
  <c r="L28" i="9"/>
  <c r="L201" i="9"/>
  <c r="L104" i="9"/>
  <c r="L208" i="9"/>
  <c r="L175" i="9"/>
  <c r="L142" i="9"/>
  <c r="L227" i="9"/>
  <c r="L26" i="9"/>
  <c r="L176" i="9"/>
  <c r="L91" i="9"/>
  <c r="L220" i="9"/>
  <c r="L226" i="9"/>
  <c r="L136" i="9"/>
  <c r="L47" i="9"/>
  <c r="L46" i="9"/>
  <c r="L6" i="9"/>
  <c r="L228" i="9"/>
  <c r="L97" i="9"/>
  <c r="L81" i="9"/>
  <c r="L224" i="9"/>
  <c r="L144" i="9"/>
  <c r="L87" i="9"/>
  <c r="L215" i="9"/>
  <c r="L246" i="9"/>
  <c r="L86" i="9"/>
  <c r="L99" i="9"/>
  <c r="L196" i="9"/>
  <c r="L92" i="9"/>
  <c r="L69" i="9"/>
  <c r="L83" i="9"/>
  <c r="L4" i="9"/>
  <c r="L209" i="9"/>
  <c r="L24" i="9"/>
  <c r="L9" i="9"/>
  <c r="L239" i="9"/>
  <c r="L126" i="9"/>
  <c r="L71" i="9"/>
  <c r="L195" i="9"/>
  <c r="L236" i="9"/>
  <c r="L204" i="9"/>
  <c r="L106" i="9"/>
  <c r="L67" i="9"/>
  <c r="L249" i="9"/>
  <c r="L145" i="9"/>
  <c r="L41" i="9"/>
  <c r="L248" i="9"/>
  <c r="L240" i="9"/>
  <c r="L127" i="9"/>
  <c r="L111" i="9"/>
  <c r="L118" i="9"/>
  <c r="L189" i="9"/>
  <c r="L68" i="9"/>
  <c r="L124" i="9"/>
  <c r="L178" i="9"/>
  <c r="L43" i="9"/>
  <c r="L230" i="9"/>
  <c r="L206" i="9"/>
  <c r="L205" i="9"/>
  <c r="L109" i="9"/>
  <c r="L38" i="9"/>
  <c r="L156" i="9"/>
  <c r="L61" i="9"/>
  <c r="L60" i="9"/>
  <c r="L82" i="9"/>
  <c r="L40" i="9"/>
  <c r="L150" i="9"/>
  <c r="L125" i="9"/>
  <c r="L132" i="9"/>
  <c r="L15" i="9"/>
  <c r="L253" i="9"/>
  <c r="L194" i="9"/>
  <c r="L122" i="9"/>
  <c r="L35" i="9"/>
  <c r="L113" i="9"/>
  <c r="L18" i="9"/>
  <c r="L183" i="9"/>
  <c r="L167" i="9"/>
  <c r="L72" i="9"/>
  <c r="L223" i="9"/>
  <c r="L94" i="9"/>
  <c r="L237" i="9"/>
  <c r="L149" i="9"/>
  <c r="L76" i="9"/>
  <c r="L163" i="9"/>
  <c r="L188" i="9"/>
  <c r="K115" i="8"/>
  <c r="K102" i="8"/>
  <c r="K93" i="8"/>
  <c r="K92" i="8"/>
  <c r="K120" i="8"/>
  <c r="K117" i="8"/>
  <c r="K106" i="8"/>
  <c r="K118" i="8"/>
  <c r="K110" i="8"/>
  <c r="K83" i="8"/>
  <c r="K114" i="8"/>
  <c r="K107" i="8"/>
  <c r="K57" i="8"/>
  <c r="K112" i="8"/>
  <c r="K103" i="8"/>
  <c r="K94" i="8"/>
  <c r="K10" i="8"/>
  <c r="K111" i="8"/>
  <c r="K90" i="8"/>
  <c r="K100" i="8"/>
  <c r="X258" i="2"/>
  <c r="Y258" i="2" s="1"/>
  <c r="X487" i="2"/>
  <c r="Y487" i="2" s="1"/>
  <c r="X438" i="2"/>
  <c r="Y438" i="2" s="1"/>
  <c r="X84" i="2"/>
  <c r="Y84" i="2" s="1"/>
  <c r="X308" i="2"/>
  <c r="Y308" i="2" s="1"/>
  <c r="X273" i="2"/>
  <c r="Y273" i="2" s="1"/>
  <c r="X398" i="2"/>
  <c r="Y398" i="2" s="1"/>
  <c r="X288" i="2"/>
  <c r="Y288" i="2" s="1"/>
  <c r="X344" i="2"/>
  <c r="Y344" i="2" s="1"/>
  <c r="X31" i="2"/>
  <c r="Y31" i="2" s="1"/>
  <c r="X133" i="2"/>
  <c r="Y133" i="2" s="1"/>
  <c r="X489" i="2"/>
  <c r="Y489" i="2" s="1"/>
  <c r="X599" i="2"/>
  <c r="Y599" i="2" s="1"/>
  <c r="X408" i="2"/>
  <c r="Y408" i="2" s="1"/>
  <c r="X454" i="2"/>
  <c r="Y454" i="2" s="1"/>
  <c r="X657" i="2"/>
  <c r="Y657" i="2" s="1"/>
  <c r="X650" i="2"/>
  <c r="Y650" i="2" s="1"/>
  <c r="X482" i="2"/>
  <c r="Y482" i="2" s="1"/>
  <c r="X80" i="2"/>
  <c r="Y80" i="2" s="1"/>
  <c r="X476" i="2"/>
  <c r="Y476" i="2" s="1"/>
  <c r="X561" i="2"/>
  <c r="Y561" i="2" s="1"/>
  <c r="X169" i="2"/>
  <c r="Y169" i="2" s="1"/>
  <c r="K2" i="8"/>
  <c r="X220" i="2"/>
  <c r="Y220" i="2" s="1"/>
  <c r="X158" i="2"/>
  <c r="Y158" i="2" s="1"/>
  <c r="X490" i="2"/>
  <c r="Y490" i="2" s="1"/>
  <c r="X271" i="2"/>
  <c r="Y271" i="2" s="1"/>
  <c r="X515" i="2"/>
  <c r="Y515" i="2" s="1"/>
  <c r="X96" i="2"/>
  <c r="Y96" i="2" s="1"/>
  <c r="X58" i="2"/>
  <c r="Y58" i="2" s="1"/>
  <c r="X576" i="2"/>
  <c r="Y576" i="2" s="1"/>
  <c r="X514" i="2"/>
  <c r="Y514" i="2" s="1"/>
  <c r="X642" i="2"/>
  <c r="Y642" i="2" s="1"/>
  <c r="X19" i="2"/>
  <c r="Y19" i="2" s="1"/>
  <c r="X626" i="2"/>
  <c r="Y626" i="2" s="1"/>
  <c r="X474" i="2"/>
  <c r="Y474" i="2" s="1"/>
  <c r="X226" i="2"/>
  <c r="Y226" i="2" s="1"/>
  <c r="X40" i="2"/>
  <c r="Y40" i="2" s="1"/>
  <c r="X508" i="2"/>
  <c r="Y508" i="2" s="1"/>
  <c r="X353" i="2"/>
  <c r="Y353" i="2" s="1"/>
  <c r="X312" i="2"/>
  <c r="Y312" i="2" s="1"/>
  <c r="X623" i="2"/>
  <c r="Y623" i="2" s="1"/>
  <c r="X519" i="2"/>
  <c r="Y519" i="2" s="1"/>
  <c r="X210" i="2"/>
  <c r="Y210" i="2" s="1"/>
  <c r="X607" i="2"/>
  <c r="Y607" i="2" s="1"/>
  <c r="X581" i="2"/>
  <c r="Y581" i="2" s="1"/>
  <c r="X468" i="2"/>
  <c r="Y468" i="2" s="1"/>
  <c r="X297" i="2"/>
  <c r="Y297" i="2" s="1"/>
  <c r="N139" i="11"/>
  <c r="L2" i="20"/>
  <c r="L11" i="20"/>
  <c r="L15" i="20"/>
  <c r="L6" i="20"/>
  <c r="L9" i="20"/>
  <c r="L16" i="20"/>
  <c r="L7" i="20"/>
  <c r="K64" i="8"/>
  <c r="K66" i="8"/>
  <c r="K5" i="8"/>
  <c r="K31" i="8"/>
  <c r="K18" i="8"/>
  <c r="K34" i="8"/>
  <c r="K11" i="8"/>
  <c r="K13" i="8"/>
  <c r="K80" i="8"/>
  <c r="K35" i="8"/>
  <c r="K17" i="8"/>
  <c r="K71" i="8"/>
  <c r="K75" i="8"/>
  <c r="K25" i="8"/>
  <c r="K48" i="8"/>
  <c r="K3" i="8"/>
  <c r="K32" i="8"/>
  <c r="K47" i="8"/>
  <c r="K49" i="8"/>
  <c r="K76" i="8"/>
  <c r="K77" i="8"/>
  <c r="K46" i="8"/>
  <c r="K72" i="8"/>
  <c r="K73" i="8"/>
  <c r="K37" i="8"/>
  <c r="K70" i="8"/>
  <c r="K78" i="8"/>
  <c r="K81" i="8"/>
  <c r="K29" i="8"/>
  <c r="K53" i="8"/>
  <c r="K54" i="8"/>
  <c r="K19" i="8"/>
  <c r="K21" i="8"/>
  <c r="K39" i="8"/>
  <c r="K42" i="8"/>
  <c r="K44" i="8"/>
  <c r="K69" i="8"/>
  <c r="K55" i="8"/>
  <c r="K59" i="8"/>
  <c r="K24" i="8"/>
  <c r="K56" i="8"/>
  <c r="K58" i="8"/>
  <c r="K14" i="8"/>
  <c r="K45" i="8"/>
  <c r="K87" i="8"/>
  <c r="K6" i="8"/>
  <c r="K61" i="8"/>
  <c r="K41" i="8"/>
  <c r="K7" i="8"/>
  <c r="K23" i="8"/>
  <c r="K51" i="8"/>
  <c r="K67" i="8"/>
  <c r="K82" i="8"/>
  <c r="K60" i="8"/>
  <c r="K27" i="8"/>
  <c r="K36" i="8"/>
  <c r="K43" i="8"/>
  <c r="K12" i="8"/>
  <c r="K74" i="8"/>
  <c r="K30" i="8"/>
  <c r="K40" i="8"/>
  <c r="K9" i="8"/>
  <c r="K26" i="8"/>
  <c r="K65" i="8"/>
  <c r="K50" i="8"/>
  <c r="K15" i="8"/>
  <c r="K88" i="8"/>
  <c r="L2" i="9"/>
  <c r="K89" i="8"/>
  <c r="K101" i="8"/>
  <c r="K98" i="8"/>
  <c r="L13" i="20"/>
  <c r="L8" i="20"/>
  <c r="L5" i="20"/>
  <c r="L3" i="20"/>
  <c r="K97" i="8"/>
  <c r="L14" i="20"/>
  <c r="L18" i="20"/>
  <c r="L10" i="20"/>
  <c r="L20" i="20"/>
  <c r="L4" i="20"/>
  <c r="K86" i="8"/>
  <c r="K99" i="8"/>
  <c r="AU24" i="31"/>
  <c r="AU19" i="31"/>
  <c r="AU21" i="31"/>
  <c r="AU20" i="31"/>
  <c r="AU22" i="31"/>
  <c r="AU16" i="31"/>
  <c r="AU32" i="31"/>
  <c r="AU13" i="31"/>
  <c r="AU25" i="31"/>
  <c r="AU29" i="31"/>
  <c r="AU28" i="31"/>
  <c r="AU8" i="31"/>
  <c r="AU7" i="31"/>
  <c r="AU9" i="31"/>
  <c r="AU15" i="31"/>
  <c r="AU18" i="31"/>
  <c r="AU27" i="31"/>
  <c r="AU12" i="31"/>
  <c r="AU10" i="31"/>
  <c r="AU33" i="31"/>
  <c r="AU3" i="31"/>
  <c r="AU17" i="31"/>
  <c r="AU11" i="31"/>
  <c r="AU26" i="31"/>
  <c r="C84" i="48" l="1"/>
  <c r="C79" i="48"/>
  <c r="G79" i="48" s="1"/>
  <c r="D90" i="48"/>
  <c r="D89" i="48"/>
  <c r="D88" i="48"/>
  <c r="F87" i="48"/>
  <c r="E87" i="48"/>
  <c r="F75" i="48"/>
  <c r="C63" i="48"/>
  <c r="C58" i="48"/>
  <c r="G58" i="48" s="1"/>
  <c r="D69" i="48"/>
  <c r="D68" i="48"/>
  <c r="D67" i="48"/>
  <c r="F66" i="48"/>
  <c r="E66" i="48"/>
  <c r="F54" i="48"/>
  <c r="C42" i="48"/>
  <c r="R7" i="48"/>
  <c r="R6" i="48"/>
  <c r="R5" i="48"/>
  <c r="R4" i="48"/>
  <c r="D48" i="48" l="1"/>
  <c r="D47" i="48"/>
  <c r="D46" i="48"/>
  <c r="F45" i="48"/>
  <c r="E45" i="48"/>
  <c r="G37" i="48"/>
  <c r="F33" i="48"/>
  <c r="Q7" i="48"/>
  <c r="D81" i="48" s="1"/>
  <c r="Q6" i="48"/>
  <c r="D59" i="48" s="1"/>
  <c r="Q5" i="48"/>
  <c r="D38" i="48" s="1"/>
  <c r="Q4" i="48"/>
  <c r="D20" i="48" s="1"/>
  <c r="D62" i="48" l="1"/>
  <c r="D60" i="48"/>
  <c r="D64" i="48"/>
  <c r="D57" i="48"/>
  <c r="D63" i="48"/>
  <c r="D17" i="48"/>
  <c r="D40" i="48"/>
  <c r="D41" i="48"/>
  <c r="D18" i="48"/>
  <c r="D80" i="48"/>
  <c r="D61" i="48"/>
  <c r="D39" i="48"/>
  <c r="D83" i="48"/>
  <c r="D22" i="48"/>
  <c r="D21" i="48"/>
  <c r="D15" i="48"/>
  <c r="D82" i="48"/>
  <c r="D43" i="48"/>
  <c r="D42" i="48"/>
  <c r="D36" i="48"/>
  <c r="D85" i="48"/>
  <c r="C85" i="48" s="1"/>
  <c r="D78" i="48"/>
  <c r="D84" i="48"/>
  <c r="D19" i="48"/>
  <c r="L7" i="48"/>
  <c r="C83" i="48" s="1"/>
  <c r="L6" i="48"/>
  <c r="C62" i="48" s="1"/>
  <c r="L5" i="48"/>
  <c r="C41" i="48" s="1"/>
  <c r="L4" i="48"/>
  <c r="K7" i="48"/>
  <c r="C82" i="48" s="1"/>
  <c r="K6" i="48"/>
  <c r="C61" i="48" s="1"/>
  <c r="K5" i="48"/>
  <c r="C40" i="48" s="1"/>
  <c r="K4" i="48"/>
  <c r="J7" i="48"/>
  <c r="V7" i="48" s="1"/>
  <c r="C81" i="48" s="1"/>
  <c r="J6" i="48"/>
  <c r="V6" i="48" s="1"/>
  <c r="C60" i="48" s="1"/>
  <c r="J5" i="48"/>
  <c r="V5" i="48" s="1"/>
  <c r="C39" i="48" s="1"/>
  <c r="J4" i="48"/>
  <c r="V4" i="48" s="1"/>
  <c r="C18" i="48" s="1"/>
  <c r="I7" i="48"/>
  <c r="U7" i="48" s="1"/>
  <c r="C80" i="48" s="1"/>
  <c r="I6" i="48"/>
  <c r="U6" i="48" s="1"/>
  <c r="C59" i="48" s="1"/>
  <c r="I5" i="48"/>
  <c r="U5" i="48" s="1"/>
  <c r="C38" i="48" s="1"/>
  <c r="I4" i="48"/>
  <c r="U4" i="48" s="1"/>
  <c r="C17" i="48" s="1"/>
  <c r="D27" i="48" l="1"/>
  <c r="D26" i="48"/>
  <c r="D25" i="48"/>
  <c r="F24" i="48"/>
  <c r="E24" i="48"/>
  <c r="C21" i="48"/>
  <c r="F12" i="48"/>
  <c r="C20" i="48"/>
  <c r="C19" i="48"/>
  <c r="S51" i="42"/>
  <c r="S50" i="42"/>
  <c r="S49" i="42"/>
  <c r="S48" i="42"/>
  <c r="S47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L122" i="42"/>
  <c r="L121" i="42"/>
  <c r="L120" i="42"/>
  <c r="L119" i="42"/>
  <c r="L118" i="42"/>
  <c r="L117" i="42"/>
  <c r="L116" i="42"/>
  <c r="L115" i="42"/>
  <c r="L114" i="42"/>
  <c r="L113" i="42"/>
  <c r="L112" i="42"/>
  <c r="L111" i="42"/>
  <c r="L110" i="42"/>
  <c r="L109" i="42"/>
  <c r="L108" i="42"/>
  <c r="L107" i="42"/>
  <c r="L106" i="42"/>
  <c r="L105" i="42"/>
  <c r="L104" i="42"/>
  <c r="L103" i="42"/>
  <c r="L102" i="42"/>
  <c r="L101" i="42"/>
  <c r="L100" i="42"/>
  <c r="L99" i="42"/>
  <c r="L98" i="42"/>
  <c r="L97" i="42"/>
  <c r="L96" i="42"/>
  <c r="L95" i="42"/>
  <c r="L94" i="42"/>
  <c r="L93" i="42"/>
  <c r="L92" i="42"/>
  <c r="L91" i="42"/>
  <c r="L90" i="42"/>
  <c r="L89" i="42"/>
  <c r="L88" i="42"/>
  <c r="L87" i="42"/>
  <c r="L86" i="42"/>
  <c r="L85" i="42"/>
  <c r="L84" i="42"/>
  <c r="L83" i="42"/>
  <c r="L82" i="42"/>
  <c r="L81" i="42"/>
  <c r="L80" i="42"/>
  <c r="L79" i="42"/>
  <c r="L78" i="42"/>
  <c r="L77" i="42"/>
  <c r="L76" i="42"/>
  <c r="L75" i="42"/>
  <c r="L74" i="42"/>
  <c r="L73" i="42"/>
  <c r="L72" i="42"/>
  <c r="L71" i="42"/>
  <c r="L70" i="42"/>
  <c r="L69" i="42"/>
  <c r="L68" i="42"/>
  <c r="L67" i="42"/>
  <c r="L66" i="42"/>
  <c r="L65" i="42"/>
  <c r="L64" i="42"/>
  <c r="L63" i="42"/>
  <c r="L62" i="42"/>
  <c r="L61" i="42"/>
  <c r="L60" i="42"/>
  <c r="L59" i="42"/>
  <c r="L58" i="42"/>
  <c r="L57" i="42"/>
  <c r="L56" i="42"/>
  <c r="L55" i="42"/>
  <c r="L54" i="42"/>
  <c r="L53" i="42"/>
  <c r="L52" i="42"/>
  <c r="L51" i="42"/>
  <c r="L50" i="42"/>
  <c r="L49" i="42"/>
  <c r="L48" i="42"/>
  <c r="L47" i="42"/>
  <c r="L46" i="42"/>
  <c r="L45" i="42"/>
  <c r="L44" i="42"/>
  <c r="L43" i="42"/>
  <c r="L42" i="42"/>
  <c r="L41" i="42"/>
  <c r="L40" i="42"/>
  <c r="L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5" i="42"/>
  <c r="L4" i="42"/>
  <c r="L3" i="42"/>
  <c r="R51" i="42"/>
  <c r="R50" i="42"/>
  <c r="R49" i="42"/>
  <c r="R48" i="42"/>
  <c r="R47" i="42"/>
  <c r="R46" i="42"/>
  <c r="R45" i="42"/>
  <c r="R44" i="42"/>
  <c r="R43" i="42"/>
  <c r="R42" i="42"/>
  <c r="R41" i="42"/>
  <c r="R40" i="42"/>
  <c r="R39" i="42"/>
  <c r="R38" i="42"/>
  <c r="R37" i="42"/>
  <c r="R36" i="42"/>
  <c r="R35" i="42"/>
  <c r="R34" i="42"/>
  <c r="R33" i="42"/>
  <c r="R32" i="42"/>
  <c r="R31" i="42"/>
  <c r="R30" i="42"/>
  <c r="R29" i="42"/>
  <c r="R28" i="42"/>
  <c r="R27" i="42"/>
  <c r="R26" i="42"/>
  <c r="R25" i="42"/>
  <c r="R24" i="42"/>
  <c r="R23" i="42"/>
  <c r="R22" i="42"/>
  <c r="B7" i="50" l="1"/>
  <c r="G7" i="50" l="1"/>
  <c r="H7" i="50" s="1"/>
  <c r="T6" i="48"/>
  <c r="C55" i="48" s="1"/>
  <c r="T4" i="48"/>
  <c r="C13" i="48" s="1"/>
  <c r="T7" i="48"/>
  <c r="C76" i="48" s="1"/>
  <c r="T5" i="48"/>
  <c r="C34" i="48" s="1"/>
  <c r="AM2" i="31"/>
  <c r="AN2" i="31" s="1"/>
  <c r="E11" i="50" l="1"/>
  <c r="G11" i="50"/>
  <c r="H11" i="50" s="1"/>
  <c r="B8" i="50"/>
  <c r="G8" i="50" s="1"/>
  <c r="H8" i="50" s="1"/>
  <c r="G12" i="50"/>
  <c r="H12" i="50" s="1"/>
  <c r="E12" i="50"/>
  <c r="E9" i="50"/>
  <c r="E13" i="50"/>
  <c r="G13" i="50"/>
  <c r="G42" i="48"/>
  <c r="B31" i="48"/>
  <c r="G83" i="48"/>
  <c r="B73" i="48"/>
  <c r="B10" i="48"/>
  <c r="C64" i="48"/>
  <c r="G64" i="48" s="1"/>
  <c r="B52" i="48"/>
  <c r="AR2" i="31"/>
  <c r="AQ2" i="31"/>
  <c r="AP2" i="31"/>
  <c r="AS2" i="31"/>
  <c r="AT2" i="31"/>
  <c r="T2" i="31"/>
  <c r="M2" i="31"/>
  <c r="N386" i="11" l="1"/>
  <c r="O386" i="11" s="1"/>
  <c r="N415" i="11"/>
  <c r="O415" i="11" s="1"/>
  <c r="N350" i="11"/>
  <c r="O350" i="11" s="1"/>
  <c r="N363" i="11"/>
  <c r="O363" i="11" s="1"/>
  <c r="N85" i="11"/>
  <c r="O85" i="11" s="1"/>
  <c r="N17" i="11"/>
  <c r="O17" i="11" s="1"/>
  <c r="N233" i="11"/>
  <c r="O233" i="11" s="1"/>
  <c r="N76" i="11"/>
  <c r="O76" i="11" s="1"/>
  <c r="N156" i="11"/>
  <c r="O156" i="11" s="1"/>
  <c r="N301" i="11"/>
  <c r="O301" i="11" s="1"/>
  <c r="N209" i="11"/>
  <c r="O209" i="11" s="1"/>
  <c r="N91" i="11"/>
  <c r="O91" i="11" s="1"/>
  <c r="N307" i="11"/>
  <c r="O307" i="11" s="1"/>
  <c r="L12" i="20"/>
  <c r="L21" i="20"/>
  <c r="N98" i="11"/>
  <c r="O98" i="11" s="1"/>
  <c r="N106" i="11"/>
  <c r="O106" i="11" s="1"/>
  <c r="N213" i="11"/>
  <c r="O213" i="11" s="1"/>
  <c r="N374" i="11"/>
  <c r="O374" i="11" s="1"/>
  <c r="N278" i="11"/>
  <c r="O278" i="11" s="1"/>
  <c r="N337" i="11"/>
  <c r="O337" i="11" s="1"/>
  <c r="N508" i="11"/>
  <c r="O508" i="11" s="1"/>
  <c r="N558" i="11"/>
  <c r="O558" i="11" s="1"/>
  <c r="N161" i="11"/>
  <c r="O161" i="11" s="1"/>
  <c r="N532" i="11"/>
  <c r="O532" i="11" s="1"/>
  <c r="N543" i="11"/>
  <c r="O543" i="11" s="1"/>
  <c r="N88" i="11"/>
  <c r="O88" i="11" s="1"/>
  <c r="N66" i="11"/>
  <c r="O66" i="11" s="1"/>
  <c r="L221" i="9"/>
  <c r="L12" i="9"/>
  <c r="L140" i="9"/>
  <c r="L100" i="9"/>
  <c r="K95" i="8"/>
  <c r="K63" i="8"/>
  <c r="K52" i="8"/>
  <c r="K20" i="8"/>
  <c r="K38" i="8"/>
  <c r="K28" i="8"/>
  <c r="K33" i="8"/>
  <c r="K68" i="8"/>
  <c r="K84" i="8"/>
  <c r="K85" i="8"/>
  <c r="H13" i="50"/>
  <c r="G2" i="50"/>
  <c r="B9" i="50" s="1"/>
  <c r="G9" i="50" s="1"/>
  <c r="H9" i="50" s="1"/>
  <c r="G82" i="48"/>
  <c r="G20" i="48"/>
  <c r="G13" i="48"/>
  <c r="B11" i="48" s="1"/>
  <c r="H25" i="48" s="1"/>
  <c r="G40" i="48"/>
  <c r="G85" i="48"/>
  <c r="G34" i="48"/>
  <c r="B32" i="48" s="1"/>
  <c r="H48" i="48" s="1"/>
  <c r="G41" i="48"/>
  <c r="C43" i="48"/>
  <c r="G43" i="48" s="1"/>
  <c r="G55" i="48"/>
  <c r="B53" i="48" s="1"/>
  <c r="G84" i="48"/>
  <c r="G19" i="48"/>
  <c r="G21" i="48"/>
  <c r="C22" i="48"/>
  <c r="G22" i="48" s="1"/>
  <c r="G76" i="48"/>
  <c r="B74" i="48" s="1"/>
  <c r="H88" i="48" s="1"/>
  <c r="G61" i="48"/>
  <c r="G62" i="48"/>
  <c r="G63" i="48"/>
  <c r="AD30" i="31"/>
  <c r="AV30" i="31" s="1"/>
  <c r="AW30" i="31" s="1"/>
  <c r="BC30" i="31" s="1"/>
  <c r="O139" i="11"/>
  <c r="U2" i="31"/>
  <c r="AO2" i="31" s="1"/>
  <c r="AD14" i="31"/>
  <c r="AV14" i="31" s="1"/>
  <c r="AW14" i="31" s="1"/>
  <c r="BC14" i="31" s="1"/>
  <c r="BD14" i="31" s="1"/>
  <c r="X658" i="2" l="1"/>
  <c r="Y658" i="2" s="1"/>
  <c r="X651" i="2"/>
  <c r="Y651" i="2" s="1"/>
  <c r="X366" i="2"/>
  <c r="Y366" i="2" s="1"/>
  <c r="X140" i="2"/>
  <c r="Y140" i="2" s="1"/>
  <c r="X74" i="2"/>
  <c r="Y74" i="2" s="1"/>
  <c r="X99" i="2"/>
  <c r="Y99" i="2" s="1"/>
  <c r="X575" i="2"/>
  <c r="Y575" i="2" s="1"/>
  <c r="X266" i="2"/>
  <c r="Y266" i="2" s="1"/>
  <c r="X239" i="2"/>
  <c r="Y239" i="2" s="1"/>
  <c r="X580" i="2"/>
  <c r="Y580" i="2" s="1"/>
  <c r="X411" i="2"/>
  <c r="Y411" i="2" s="1"/>
  <c r="X181" i="2"/>
  <c r="Y181" i="2" s="1"/>
  <c r="X582" i="2"/>
  <c r="Y582" i="2" s="1"/>
  <c r="X435" i="2"/>
  <c r="Y435" i="2" s="1"/>
  <c r="X420" i="2"/>
  <c r="Y420" i="2" s="1"/>
  <c r="X445" i="2"/>
  <c r="Y445" i="2" s="1"/>
  <c r="X555" i="2"/>
  <c r="Y555" i="2" s="1"/>
  <c r="X618" i="2"/>
  <c r="Y618" i="2" s="1"/>
  <c r="X188" i="2"/>
  <c r="Y188" i="2" s="1"/>
  <c r="AD23" i="31"/>
  <c r="AV23" i="31" s="1"/>
  <c r="AW23" i="31" s="1"/>
  <c r="BC23" i="31" s="1"/>
  <c r="X516" i="2"/>
  <c r="Y516" i="2" s="1"/>
  <c r="X208" i="2"/>
  <c r="Y208" i="2" s="1"/>
  <c r="X97" i="2"/>
  <c r="Y97" i="2" s="1"/>
  <c r="X71" i="2"/>
  <c r="Y71" i="2" s="1"/>
  <c r="X83" i="2"/>
  <c r="Y83" i="2" s="1"/>
  <c r="X443" i="2"/>
  <c r="Y443" i="2" s="1"/>
  <c r="X257" i="2"/>
  <c r="Y257" i="2" s="1"/>
  <c r="X305" i="2"/>
  <c r="Y305" i="2" s="1"/>
  <c r="X416" i="2"/>
  <c r="Y416" i="2" s="1"/>
  <c r="X154" i="2"/>
  <c r="Y154" i="2" s="1"/>
  <c r="X202" i="2"/>
  <c r="Y202" i="2" s="1"/>
  <c r="X128" i="2"/>
  <c r="Y128" i="2" s="1"/>
  <c r="X66" i="2"/>
  <c r="Y66" i="2" s="1"/>
  <c r="X413" i="2"/>
  <c r="Y413" i="2" s="1"/>
  <c r="X424" i="2"/>
  <c r="Y424" i="2" s="1"/>
  <c r="X250" i="2"/>
  <c r="Y250" i="2" s="1"/>
  <c r="X362" i="2"/>
  <c r="Y362" i="2" s="1"/>
  <c r="X331" i="2"/>
  <c r="Y331" i="2" s="1"/>
  <c r="X469" i="2"/>
  <c r="Y469" i="2" s="1"/>
  <c r="X171" i="2"/>
  <c r="Y171" i="2" s="1"/>
  <c r="X504" i="2"/>
  <c r="Y504" i="2" s="1"/>
  <c r="X221" i="2"/>
  <c r="Y221" i="2" s="1"/>
  <c r="AD6" i="31"/>
  <c r="AV6" i="31" s="1"/>
  <c r="AW6" i="31" s="1"/>
  <c r="BC6" i="31" s="1"/>
  <c r="AD31" i="31"/>
  <c r="AV31" i="31" s="1"/>
  <c r="AW31" i="31" s="1"/>
  <c r="BC31" i="31" s="1"/>
  <c r="AD5" i="31"/>
  <c r="AV5" i="31" s="1"/>
  <c r="AW5" i="31" s="1"/>
  <c r="BC5" i="31" s="1"/>
  <c r="AD18" i="31"/>
  <c r="AV18" i="31" s="1"/>
  <c r="AW18" i="31" s="1"/>
  <c r="BC18" i="31" s="1"/>
  <c r="AD33" i="31"/>
  <c r="AV33" i="31" s="1"/>
  <c r="AW33" i="31" s="1"/>
  <c r="BC33" i="31" s="1"/>
  <c r="AD26" i="31"/>
  <c r="AV26" i="31" s="1"/>
  <c r="AW26" i="31" s="1"/>
  <c r="BC26" i="31" s="1"/>
  <c r="AD27" i="31"/>
  <c r="AV27" i="31" s="1"/>
  <c r="AW27" i="31" s="1"/>
  <c r="BC27" i="31" s="1"/>
  <c r="AD12" i="31"/>
  <c r="AV12" i="31" s="1"/>
  <c r="AW12" i="31" s="1"/>
  <c r="BC12" i="31" s="1"/>
  <c r="AD24" i="31"/>
  <c r="AV24" i="31" s="1"/>
  <c r="AW24" i="31" s="1"/>
  <c r="BC24" i="31" s="1"/>
  <c r="AD21" i="31"/>
  <c r="AV21" i="31" s="1"/>
  <c r="AW21" i="31" s="1"/>
  <c r="BC21" i="31" s="1"/>
  <c r="AD15" i="31"/>
  <c r="AV15" i="31" s="1"/>
  <c r="AW15" i="31" s="1"/>
  <c r="BC15" i="31" s="1"/>
  <c r="AD16" i="31"/>
  <c r="AV16" i="31" s="1"/>
  <c r="AW16" i="31" s="1"/>
  <c r="BC16" i="31" s="1"/>
  <c r="AD22" i="31"/>
  <c r="AV22" i="31" s="1"/>
  <c r="AW22" i="31" s="1"/>
  <c r="BC22" i="31" s="1"/>
  <c r="AD25" i="31"/>
  <c r="AV25" i="31" s="1"/>
  <c r="AW25" i="31" s="1"/>
  <c r="BC25" i="31" s="1"/>
  <c r="AD20" i="31"/>
  <c r="AV20" i="31" s="1"/>
  <c r="AW20" i="31" s="1"/>
  <c r="BC20" i="31" s="1"/>
  <c r="AD13" i="31"/>
  <c r="AV13" i="31" s="1"/>
  <c r="AW13" i="31" s="1"/>
  <c r="BC13" i="31" s="1"/>
  <c r="AD19" i="31"/>
  <c r="AV19" i="31" s="1"/>
  <c r="AW19" i="31" s="1"/>
  <c r="BC19" i="31" s="1"/>
  <c r="AD28" i="31"/>
  <c r="AV28" i="31" s="1"/>
  <c r="AW28" i="31" s="1"/>
  <c r="BC28" i="31" s="1"/>
  <c r="AD11" i="31"/>
  <c r="AV11" i="31" s="1"/>
  <c r="AW11" i="31" s="1"/>
  <c r="BC11" i="31" s="1"/>
  <c r="AD3" i="31"/>
  <c r="AV3" i="31" s="1"/>
  <c r="AW3" i="31" s="1"/>
  <c r="BC3" i="31" s="1"/>
  <c r="AD4" i="31"/>
  <c r="AV4" i="31" s="1"/>
  <c r="AW4" i="31" s="1"/>
  <c r="BC4" i="31" s="1"/>
  <c r="AD9" i="31"/>
  <c r="AV9" i="31" s="1"/>
  <c r="AW9" i="31" s="1"/>
  <c r="BC9" i="31" s="1"/>
  <c r="AD29" i="31"/>
  <c r="AV29" i="31" s="1"/>
  <c r="AW29" i="31" s="1"/>
  <c r="BC29" i="31" s="1"/>
  <c r="AD32" i="31"/>
  <c r="AV32" i="31" s="1"/>
  <c r="AW32" i="31" s="1"/>
  <c r="BC32" i="31" s="1"/>
  <c r="AD7" i="31"/>
  <c r="AV7" i="31" s="1"/>
  <c r="AW7" i="31" s="1"/>
  <c r="BC7" i="31" s="1"/>
  <c r="AD8" i="31"/>
  <c r="AV8" i="31" s="1"/>
  <c r="AW8" i="31" s="1"/>
  <c r="BC8" i="31" s="1"/>
  <c r="AD10" i="31"/>
  <c r="AV10" i="31" s="1"/>
  <c r="AW10" i="31" s="1"/>
  <c r="BC10" i="31" s="1"/>
  <c r="AD17" i="31"/>
  <c r="AV17" i="31" s="1"/>
  <c r="AW17" i="31" s="1"/>
  <c r="BC17" i="31" s="1"/>
  <c r="AD2" i="31"/>
  <c r="H18" i="50"/>
  <c r="B54" i="48"/>
  <c r="B66" i="48" s="1"/>
  <c r="B12" i="48"/>
  <c r="B24" i="48" s="1"/>
  <c r="H26" i="48"/>
  <c r="H27" i="48"/>
  <c r="H13" i="48"/>
  <c r="H20" i="48"/>
  <c r="H63" i="48"/>
  <c r="H61" i="48"/>
  <c r="H22" i="48"/>
  <c r="H21" i="48"/>
  <c r="H19" i="48"/>
  <c r="B33" i="48"/>
  <c r="B45" i="48" s="1"/>
  <c r="H42" i="48"/>
  <c r="H40" i="48"/>
  <c r="H41" i="48"/>
  <c r="H69" i="48"/>
  <c r="H58" i="48"/>
  <c r="H68" i="48"/>
  <c r="H64" i="48"/>
  <c r="H67" i="48"/>
  <c r="H46" i="48"/>
  <c r="H47" i="48"/>
  <c r="H34" i="48"/>
  <c r="H37" i="48"/>
  <c r="H43" i="48"/>
  <c r="H55" i="48"/>
  <c r="H90" i="48"/>
  <c r="H89" i="48"/>
  <c r="H79" i="48"/>
  <c r="H83" i="48"/>
  <c r="H84" i="48"/>
  <c r="H82" i="48"/>
  <c r="H76" i="48"/>
  <c r="H62" i="48"/>
  <c r="B75" i="48"/>
  <c r="B87" i="48" s="1"/>
  <c r="H85" i="48"/>
  <c r="AV2" i="31" l="1"/>
  <c r="H28" i="48"/>
  <c r="H49" i="48"/>
  <c r="H70" i="48"/>
  <c r="H91" i="48"/>
  <c r="AY2" i="31" l="1"/>
  <c r="AZ2" i="31"/>
  <c r="BA2" i="31"/>
  <c r="G56" i="48" l="1"/>
  <c r="H56" i="48" s="1"/>
  <c r="G4" i="48" l="1"/>
  <c r="G5" i="48"/>
  <c r="C36" i="48" s="1"/>
  <c r="C16" i="48"/>
  <c r="G16" i="48" s="1"/>
  <c r="H16" i="48" s="1"/>
  <c r="G35" i="48"/>
  <c r="H35" i="48" s="1"/>
  <c r="G77" i="48"/>
  <c r="H77" i="48" s="1"/>
  <c r="C14" i="48"/>
  <c r="G14" i="48" s="1"/>
  <c r="H14" i="48" s="1"/>
  <c r="G6" i="48"/>
  <c r="G7" i="48"/>
  <c r="C57" i="48" l="1"/>
  <c r="G57" i="48" s="1"/>
  <c r="H57" i="48" s="1"/>
  <c r="G36" i="48"/>
  <c r="C78" i="48"/>
  <c r="G78" i="48" s="1"/>
  <c r="H78" i="48" s="1"/>
  <c r="C15" i="48"/>
  <c r="G15" i="48" s="1"/>
  <c r="H15" i="48" l="1"/>
  <c r="H36" i="48"/>
  <c r="AU2" i="31"/>
  <c r="AW2" i="31" l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BC2" i="31" l="1"/>
  <c r="M3" i="29"/>
  <c r="N3" i="29" s="1"/>
  <c r="M4" i="29"/>
  <c r="N4" i="29" s="1"/>
  <c r="M5" i="29"/>
  <c r="N5" i="29" s="1"/>
  <c r="M6" i="29"/>
  <c r="N6" i="29" s="1"/>
  <c r="M7" i="29"/>
  <c r="N7" i="29" s="1"/>
  <c r="M8" i="29"/>
  <c r="N8" i="29" s="1"/>
  <c r="M9" i="29"/>
  <c r="N9" i="29" s="1"/>
  <c r="M10" i="29"/>
  <c r="N10" i="29" s="1"/>
  <c r="M11" i="29"/>
  <c r="N11" i="29" s="1"/>
  <c r="M12" i="29"/>
  <c r="N12" i="29" s="1"/>
  <c r="M13" i="29"/>
  <c r="N13" i="29" s="1"/>
  <c r="M14" i="29"/>
  <c r="N14" i="29" s="1"/>
  <c r="M15" i="29"/>
  <c r="N15" i="29" s="1"/>
  <c r="M16" i="29"/>
  <c r="N16" i="29" s="1"/>
  <c r="M17" i="29"/>
  <c r="N17" i="29" s="1"/>
  <c r="M18" i="29"/>
  <c r="N18" i="29" s="1"/>
  <c r="M19" i="29"/>
  <c r="N19" i="29" s="1"/>
  <c r="M20" i="29"/>
  <c r="N20" i="29" s="1"/>
  <c r="M21" i="29"/>
  <c r="N21" i="29" s="1"/>
  <c r="M2" i="29"/>
  <c r="N2" i="29" s="1"/>
  <c r="M2" i="16"/>
  <c r="N2" i="16" s="1"/>
  <c r="N15" i="10" l="1"/>
  <c r="O15" i="10" s="1"/>
  <c r="N19" i="10"/>
  <c r="O19" i="10" s="1"/>
  <c r="N17" i="10"/>
  <c r="O17" i="10" s="1"/>
  <c r="N18" i="10"/>
  <c r="O18" i="10" s="1"/>
  <c r="N11" i="10"/>
  <c r="O11" i="10" s="1"/>
  <c r="N13" i="10"/>
  <c r="O13" i="10" s="1"/>
  <c r="N20" i="10"/>
  <c r="O20" i="10" s="1"/>
  <c r="N14" i="10"/>
  <c r="O14" i="10" s="1"/>
  <c r="N12" i="10"/>
  <c r="O12" i="10" s="1"/>
  <c r="N21" i="10"/>
  <c r="O21" i="10" s="1"/>
  <c r="N7" i="10"/>
  <c r="O7" i="10" s="1"/>
  <c r="N3" i="10"/>
  <c r="O3" i="10" s="1"/>
  <c r="N8" i="10"/>
  <c r="O8" i="10" s="1"/>
  <c r="N6" i="10" l="1"/>
  <c r="O6" i="10" s="1"/>
  <c r="N22" i="10"/>
  <c r="O22" i="10" s="1"/>
  <c r="N9" i="10"/>
  <c r="O9" i="10" s="1"/>
  <c r="N16" i="10"/>
  <c r="O16" i="10" s="1"/>
  <c r="N2" i="10"/>
  <c r="O2" i="10" s="1"/>
  <c r="N23" i="10"/>
  <c r="O23" i="10" s="1"/>
  <c r="N10" i="10"/>
  <c r="O10" i="10" s="1"/>
  <c r="N4" i="10"/>
  <c r="O4" i="10" s="1"/>
  <c r="N5" i="10"/>
  <c r="O5" i="10" s="1"/>
  <c r="G17" i="48" l="1"/>
  <c r="H17" i="48" s="1"/>
  <c r="G38" i="48"/>
  <c r="H38" i="48" s="1"/>
  <c r="G59" i="48"/>
  <c r="H59" i="48" s="1"/>
  <c r="G80" i="48"/>
  <c r="H80" i="48" s="1"/>
  <c r="G60" i="48" l="1"/>
  <c r="H60" i="48" s="1"/>
  <c r="H65" i="48" s="1"/>
  <c r="H71" i="48" s="1"/>
  <c r="W6" i="48" s="1"/>
  <c r="G81" i="48"/>
  <c r="H81" i="48" s="1"/>
  <c r="H86" i="48" s="1"/>
  <c r="H92" i="48" s="1"/>
  <c r="W7" i="48" s="1"/>
  <c r="G18" i="48"/>
  <c r="H18" i="48" s="1"/>
  <c r="H23" i="48" s="1"/>
  <c r="H29" i="48" s="1"/>
  <c r="W4" i="48" s="1"/>
  <c r="G39" i="48"/>
  <c r="H39" i="48" s="1"/>
  <c r="H44" i="48" s="1"/>
  <c r="H50" i="48" s="1"/>
  <c r="W5" i="48" s="1"/>
  <c r="W8" i="48" l="1"/>
</calcChain>
</file>

<file path=xl/sharedStrings.xml><?xml version="1.0" encoding="utf-8"?>
<sst xmlns="http://schemas.openxmlformats.org/spreadsheetml/2006/main" count="20093" uniqueCount="3964">
  <si>
    <t>Nombre Asesor</t>
  </si>
  <si>
    <t>Primera</t>
  </si>
  <si>
    <t>Segunda</t>
  </si>
  <si>
    <t>HEYDI ISABEL CUYUCH SIGUANTAY</t>
  </si>
  <si>
    <t>AROLDO ALEJANDRO AVILA GIRON</t>
  </si>
  <si>
    <t>NESTOR ABRAHAN ECHEVERRIA GUTIERREZ</t>
  </si>
  <si>
    <t>JUAN CARLOS PEREZ DEL CID</t>
  </si>
  <si>
    <t>RUDY ENRIQUE HERNANDEZ PEREZ</t>
  </si>
  <si>
    <t>MARIA FRANCISCA DOMINGUEZ</t>
  </si>
  <si>
    <t>RICHAR ARNOLD FLORES BARILLAS</t>
  </si>
  <si>
    <t>TANYA ESMERALDA AGUSTIN</t>
  </si>
  <si>
    <t>KEVIN OSVALDO REYES VASQUEZ</t>
  </si>
  <si>
    <t>GLENDA SULEYMA RAMIREZ PEREZ</t>
  </si>
  <si>
    <t>KARLA MISCHELL VASQUEZ GALEANO</t>
  </si>
  <si>
    <t>ANDREA GUADALUPE AREVALO RAMIREZ</t>
  </si>
  <si>
    <t>MARIO ROBERTO RIVERA CUSCUL</t>
  </si>
  <si>
    <t>BLANCA AZUCENA SANTOS CORDOVA</t>
  </si>
  <si>
    <t>LISSBETH PAOLA YANTUCHE GARAY</t>
  </si>
  <si>
    <t>ROBIN ESLEYDER PAREDES OXLAJ</t>
  </si>
  <si>
    <t>MOISES HERNAN MEJIA LOPEZ</t>
  </si>
  <si>
    <t>DARWIN OVIDIO LUX CHAVEZ</t>
  </si>
  <si>
    <t>DEBORA ELISABETH DE LA CRUZ PADILLA</t>
  </si>
  <si>
    <t>YOVANI FERNANDO GARCIA VALLE</t>
  </si>
  <si>
    <t>ALEXSANDRO AVILIO RAMOS LOPEZ</t>
  </si>
  <si>
    <t xml:space="preserve">WALMART/PRICESMART/AGENCIAS </t>
  </si>
  <si>
    <t xml:space="preserve">VENTA DIRECTA/VENTA OFICINA </t>
  </si>
  <si>
    <t xml:space="preserve">CANAL </t>
  </si>
  <si>
    <t>CAT. TC</t>
  </si>
  <si>
    <t xml:space="preserve">CAT. SUB </t>
  </si>
  <si>
    <t xml:space="preserve">COMBINACIÓN </t>
  </si>
  <si>
    <t xml:space="preserve">VALOR PUNTO </t>
  </si>
  <si>
    <t>tarjetas</t>
  </si>
  <si>
    <t>Walmart</t>
  </si>
  <si>
    <t>SIN CATEGORIA</t>
  </si>
  <si>
    <t>NOVATO</t>
  </si>
  <si>
    <t>SEMI SENIOR</t>
  </si>
  <si>
    <t>SENIOR</t>
  </si>
  <si>
    <t>PREMIUM</t>
  </si>
  <si>
    <t>subproductos</t>
  </si>
  <si>
    <t>Q</t>
  </si>
  <si>
    <t>Pricesmart</t>
  </si>
  <si>
    <t>Agencias</t>
  </si>
  <si>
    <t>Ventas Oficina</t>
  </si>
  <si>
    <t>CLS</t>
  </si>
  <si>
    <t>GLD</t>
  </si>
  <si>
    <t>PLT</t>
  </si>
  <si>
    <t>BCK</t>
  </si>
  <si>
    <t>PUNTOS</t>
  </si>
  <si>
    <t>Multicuenta</t>
  </si>
  <si>
    <t>BENEDICTO OLIVA RIVAS</t>
  </si>
  <si>
    <t>EDDY HAROLDO PEREZ GIRON</t>
  </si>
  <si>
    <t>SERGIO ARNOLDO VELASQUEZ GONZALEZ</t>
  </si>
  <si>
    <t>AMANDA IRENE BAUTISTA GONZALEZ</t>
  </si>
  <si>
    <t>PRF</t>
  </si>
  <si>
    <t>ADICIONALES</t>
  </si>
  <si>
    <t>COMPASS</t>
  </si>
  <si>
    <t>Compass</t>
  </si>
  <si>
    <t>Estatus</t>
  </si>
  <si>
    <t>Codigo SAP</t>
  </si>
  <si>
    <t>Nombre</t>
  </si>
  <si>
    <t>Canal</t>
  </si>
  <si>
    <t>Supervisor</t>
  </si>
  <si>
    <t>Cantidad TC</t>
  </si>
  <si>
    <t>% Primeras</t>
  </si>
  <si>
    <t>Pts. 1ras Cuentas</t>
  </si>
  <si>
    <t>Pts. Omas</t>
  </si>
  <si>
    <t>Puntos TC</t>
  </si>
  <si>
    <t>Categoria TC</t>
  </si>
  <si>
    <t>Pts. Cargos Auto</t>
  </si>
  <si>
    <t>Categoria Sub</t>
  </si>
  <si>
    <t>Valor Punto TC</t>
  </si>
  <si>
    <t>Subtotal TC</t>
  </si>
  <si>
    <t>Subtotal Sub</t>
  </si>
  <si>
    <t>Subtotal</t>
  </si>
  <si>
    <t>Ajuste+</t>
  </si>
  <si>
    <t>Descuento TC Primera Q</t>
  </si>
  <si>
    <t>Descuento TC Segunda Q</t>
  </si>
  <si>
    <t>Descuento Adicionales Q</t>
  </si>
  <si>
    <t>ACTIVO</t>
  </si>
  <si>
    <t>Adicionales</t>
  </si>
  <si>
    <t>NITZA LEONOR JARQUIN MATUS</t>
  </si>
  <si>
    <t>Grupo</t>
  </si>
  <si>
    <t>Mes</t>
  </si>
  <si>
    <t>Resolución</t>
  </si>
  <si>
    <t>Número solicitud</t>
  </si>
  <si>
    <t>Nombre Cliente</t>
  </si>
  <si>
    <t>Cuenta</t>
  </si>
  <si>
    <t>Migrada</t>
  </si>
  <si>
    <t>Color</t>
  </si>
  <si>
    <t>Primera/Segunda/Multicuenta</t>
  </si>
  <si>
    <t xml:space="preserve">Status </t>
  </si>
  <si>
    <t>Status_Mig</t>
  </si>
  <si>
    <t>Programa Lealtad</t>
  </si>
  <si>
    <t>Puntos</t>
  </si>
  <si>
    <t>Código Asesor</t>
  </si>
  <si>
    <t>Canal Especifico</t>
  </si>
  <si>
    <t>Número de Colaborador</t>
  </si>
  <si>
    <t>Codigo Estatus</t>
  </si>
  <si>
    <t>Pagada/No Pagada</t>
  </si>
  <si>
    <t>Motivo</t>
  </si>
  <si>
    <t>Método ingreso</t>
  </si>
  <si>
    <t>Valor Punto</t>
  </si>
  <si>
    <t>Costo TC</t>
  </si>
  <si>
    <t>Jefe</t>
  </si>
  <si>
    <t>Adicional</t>
  </si>
  <si>
    <t>PRICECASH</t>
  </si>
  <si>
    <t>98007</t>
  </si>
  <si>
    <t>No Pagada</t>
  </si>
  <si>
    <t>1. SEV</t>
  </si>
  <si>
    <t>Pagada</t>
  </si>
  <si>
    <t>98013</t>
  </si>
  <si>
    <t>98012</t>
  </si>
  <si>
    <t>98009</t>
  </si>
  <si>
    <t>98051</t>
  </si>
  <si>
    <t>98053</t>
  </si>
  <si>
    <t>98003</t>
  </si>
  <si>
    <t>98047</t>
  </si>
  <si>
    <t>MILLAS PLUS</t>
  </si>
  <si>
    <t>744</t>
  </si>
  <si>
    <t>98064</t>
  </si>
  <si>
    <t>98055</t>
  </si>
  <si>
    <t>98019</t>
  </si>
  <si>
    <t>98023</t>
  </si>
  <si>
    <t>98065</t>
  </si>
  <si>
    <t>98008</t>
  </si>
  <si>
    <t>98049</t>
  </si>
  <si>
    <t>98002</t>
  </si>
  <si>
    <t>98021</t>
  </si>
  <si>
    <t>OTC</t>
  </si>
  <si>
    <t>PUNTOS BAC CREDOMATIC</t>
  </si>
  <si>
    <t>CASHBACK GASOLINA</t>
  </si>
  <si>
    <t>Colaborador</t>
  </si>
  <si>
    <t>Nitza Leonor Jarquin Matus</t>
  </si>
  <si>
    <t>SAP</t>
  </si>
  <si>
    <t>SUPRODUCTO</t>
  </si>
  <si>
    <t>OPORTUNIDAD/GESTIÓN</t>
  </si>
  <si>
    <t>FECHA DE RESOLUCIÓN O APERTURA</t>
  </si>
  <si>
    <t>CIF</t>
  </si>
  <si>
    <t>CUENTA</t>
  </si>
  <si>
    <t>COLOR</t>
  </si>
  <si>
    <t>Cod Vendedor</t>
  </si>
  <si>
    <t>GRUPO</t>
  </si>
  <si>
    <t>Costo Sub</t>
  </si>
  <si>
    <t>TJ ADICIONAL/No.COMPASS</t>
  </si>
  <si>
    <t>Pólizas</t>
  </si>
  <si>
    <t>CODIGO</t>
  </si>
  <si>
    <t>JEFE</t>
  </si>
  <si>
    <t>CANAL</t>
  </si>
  <si>
    <t>PBM</t>
  </si>
  <si>
    <t>Cancelada</t>
  </si>
  <si>
    <t>Costo Adicional</t>
  </si>
  <si>
    <t>Valor del Punto</t>
  </si>
  <si>
    <t>Gestion</t>
  </si>
  <si>
    <t>Fecha_Resolucion</t>
  </si>
  <si>
    <t>Tarjeta adicional</t>
  </si>
  <si>
    <t>Código</t>
  </si>
  <si>
    <t>Cif Portador</t>
  </si>
  <si>
    <t>JOSUE SANCHEZ ROBLEDO</t>
  </si>
  <si>
    <t>EDGAR DANIEL MARROQUIN VICENTE</t>
  </si>
  <si>
    <t>98068</t>
  </si>
  <si>
    <t>070-Impresión de Expediente</t>
  </si>
  <si>
    <t>98069</t>
  </si>
  <si>
    <t>Cant. Adicionales</t>
  </si>
  <si>
    <t>% Alcance de Meta Adicionales</t>
  </si>
  <si>
    <t>Cumplimiento de Meta Adicionales</t>
  </si>
  <si>
    <t>Cant. PRF</t>
  </si>
  <si>
    <t>% Alcance de Meta PRF</t>
  </si>
  <si>
    <t>Cumplimiento de Meta PRF</t>
  </si>
  <si>
    <t>Cant. Compass</t>
  </si>
  <si>
    <t>% Alcance de Meta Compass</t>
  </si>
  <si>
    <t>Cumplimiento de Meta Compass</t>
  </si>
  <si>
    <t>Cant. CB</t>
  </si>
  <si>
    <t>% Alcance de Meta CB</t>
  </si>
  <si>
    <t>Cumplimiento de Meta CB</t>
  </si>
  <si>
    <t>Cant. Kash</t>
  </si>
  <si>
    <t>% Alcance de Meta Kash</t>
  </si>
  <si>
    <t>Cumplimiento de Meta Kash</t>
  </si>
  <si>
    <t>TC</t>
  </si>
  <si>
    <t>0 DE 4</t>
  </si>
  <si>
    <t>1 DE 4</t>
  </si>
  <si>
    <t>2 DE 4</t>
  </si>
  <si>
    <t>3 DE 4</t>
  </si>
  <si>
    <t>4 DE 4</t>
  </si>
  <si>
    <t>5 DE 5</t>
  </si>
  <si>
    <t>Meta Penetración</t>
  </si>
  <si>
    <t>SIN CATEGORÍA</t>
  </si>
  <si>
    <t>PREMIUM+</t>
  </si>
  <si>
    <t>CB</t>
  </si>
  <si>
    <t>Prográmalo</t>
  </si>
  <si>
    <t>Prendario</t>
  </si>
  <si>
    <t>Hipotecario</t>
  </si>
  <si>
    <t>Kash</t>
  </si>
  <si>
    <t>COMPARAR</t>
  </si>
  <si>
    <t>Cumplimiento de Metas</t>
  </si>
  <si>
    <t>Supervisores</t>
  </si>
  <si>
    <t>Coloción TC</t>
  </si>
  <si>
    <t>Clientes Nuevos</t>
  </si>
  <si>
    <t>Oro+</t>
  </si>
  <si>
    <t>Activación %</t>
  </si>
  <si>
    <t>Cuentas B.</t>
  </si>
  <si>
    <t>Otros</t>
  </si>
  <si>
    <t>Promedio de Alcance</t>
  </si>
  <si>
    <t>CONCEPTOS</t>
  </si>
  <si>
    <t>Real</t>
  </si>
  <si>
    <t>META</t>
  </si>
  <si>
    <t>Meta %</t>
  </si>
  <si>
    <t>Peso</t>
  </si>
  <si>
    <t>Alcance de Meta</t>
  </si>
  <si>
    <t>Valor</t>
  </si>
  <si>
    <t>CRECIMIENTO CON INNOVACION</t>
  </si>
  <si>
    <t>Colocación</t>
  </si>
  <si>
    <t>Clientes Nuevos - Primeras cuentas</t>
  </si>
  <si>
    <t xml:space="preserve">Oro+ </t>
  </si>
  <si>
    <t>Penetración Adicionales</t>
  </si>
  <si>
    <t>Penetración Seguros</t>
  </si>
  <si>
    <t>Penetración CB Fondeada</t>
  </si>
  <si>
    <t>Penetración Compass</t>
  </si>
  <si>
    <t>Penetración KASH</t>
  </si>
  <si>
    <t>Otros (Producto de temporada)</t>
  </si>
  <si>
    <t>Total</t>
  </si>
  <si>
    <t>ADMINISTRATIVOS</t>
  </si>
  <si>
    <t>Cursos de Docebo, transacción de Equipo Completo</t>
  </si>
  <si>
    <t>Resolución de PNC y quejas en tiempo</t>
  </si>
  <si>
    <t>Extra Administrativo (tiempo de liquidación)</t>
  </si>
  <si>
    <t>Total General</t>
  </si>
  <si>
    <t>Rangos Propuestos</t>
  </si>
  <si>
    <t>Pago</t>
  </si>
  <si>
    <t>JOSUE REMIGIO SANCHEZ ROBLEDO</t>
  </si>
  <si>
    <t>CUENTA BANCARIA</t>
  </si>
  <si>
    <t>Meta Colocación</t>
  </si>
  <si>
    <t>TC Desc.</t>
  </si>
  <si>
    <t>ADI Desc.</t>
  </si>
  <si>
    <t>Monto Compass</t>
  </si>
  <si>
    <t>Col. Real TC</t>
  </si>
  <si>
    <t>Col. Real ADI</t>
  </si>
  <si>
    <t>Total a Pagar</t>
  </si>
  <si>
    <t>ANDREA ALEJANDRA ZETINO CAMEY</t>
  </si>
  <si>
    <t>JORGE LEONARDO GOMEZ CABRERA</t>
  </si>
  <si>
    <t>Codigo de Colaborador</t>
  </si>
  <si>
    <t>Kashtag</t>
  </si>
  <si>
    <t>Fecha de registro</t>
  </si>
  <si>
    <t>Nitza Leonor Jarquin</t>
  </si>
  <si>
    <t>MEMBERSHIP REWARDS</t>
  </si>
  <si>
    <t>comparar</t>
  </si>
  <si>
    <t>Comparar</t>
  </si>
  <si>
    <t>Meta CN</t>
  </si>
  <si>
    <t>Meta Oro+</t>
  </si>
  <si>
    <t>Meta % Activación</t>
  </si>
  <si>
    <t>Actual</t>
  </si>
  <si>
    <t>Cumple el minimo 70</t>
  </si>
  <si>
    <t>% alcance</t>
  </si>
  <si>
    <t xml:space="preserve">Tarjetas originadas con Adicionales </t>
  </si>
  <si>
    <t>Tarjetas originadas con seguros</t>
  </si>
  <si>
    <t>Cuentas Bancarias</t>
  </si>
  <si>
    <t>Bono</t>
  </si>
  <si>
    <t>98000</t>
  </si>
  <si>
    <t>98072</t>
  </si>
  <si>
    <t>98041</t>
  </si>
  <si>
    <t>98071</t>
  </si>
  <si>
    <t>98056</t>
  </si>
  <si>
    <t>98073</t>
  </si>
  <si>
    <t>CHRISTIAN CECILIO GIL GOMEZ</t>
  </si>
  <si>
    <t>98034</t>
  </si>
  <si>
    <t>Diferencia</t>
  </si>
  <si>
    <t>Total Pago</t>
  </si>
  <si>
    <t>Gestión de Vacaciones</t>
  </si>
  <si>
    <t>Activación 1 MOB/entregadas</t>
  </si>
  <si>
    <t>Meta TC</t>
  </si>
  <si>
    <t>Aplica</t>
  </si>
  <si>
    <t>SI</t>
  </si>
  <si>
    <t>98076</t>
  </si>
  <si>
    <t>MARVIN DANIEL DE LEON VELASQUEZ</t>
  </si>
  <si>
    <t>98075</t>
  </si>
  <si>
    <t>98077</t>
  </si>
  <si>
    <t>BARBARA JOBITA MARTIN FE</t>
  </si>
  <si>
    <t>GABRIEL ENRIQUE PANIAGUA GARCIA</t>
  </si>
  <si>
    <t>Activación 1 MOB/colocación</t>
  </si>
  <si>
    <t>No Entregada</t>
  </si>
  <si>
    <t>Meta 1eras.</t>
  </si>
  <si>
    <t>Descuento PRF</t>
  </si>
  <si>
    <t>OPORTUNIDAD</t>
  </si>
  <si>
    <t>FECHA DE RESOLUCIÓN</t>
  </si>
  <si>
    <t>Monto</t>
  </si>
  <si>
    <t>Cumplimiento 1eras.</t>
  </si>
  <si>
    <t>PUNTOS NUEVOS</t>
  </si>
  <si>
    <t>TIPO</t>
  </si>
  <si>
    <t>Cumplimiento 1eras</t>
  </si>
  <si>
    <t>Concat</t>
  </si>
  <si>
    <t>LAU0HECTA002</t>
  </si>
  <si>
    <t>4966646531075236</t>
  </si>
  <si>
    <t>NAVABYROR001</t>
  </si>
  <si>
    <t>4566211300525400</t>
  </si>
  <si>
    <t>BARBARA JOBITA MARTIN FELIPE</t>
  </si>
  <si>
    <t>SOL RAQUG000</t>
  </si>
  <si>
    <t>4966646530035652</t>
  </si>
  <si>
    <t>AVILHUGOJ001</t>
  </si>
  <si>
    <t>4966646531077844</t>
  </si>
  <si>
    <t>MORABYROG008</t>
  </si>
  <si>
    <t>4966646528048261</t>
  </si>
  <si>
    <t>PEREPABLR012</t>
  </si>
  <si>
    <t>4966646530035744</t>
  </si>
  <si>
    <t>SANCALLAX000</t>
  </si>
  <si>
    <t>4966646526053446</t>
  </si>
  <si>
    <t>BRANJENNV000</t>
  </si>
  <si>
    <t>4966646531077554</t>
  </si>
  <si>
    <t>PINEMARIO014</t>
  </si>
  <si>
    <t>4966646531077539</t>
  </si>
  <si>
    <t>MARTJUANR030</t>
  </si>
  <si>
    <t>4966646531077521</t>
  </si>
  <si>
    <t>BARICLAUG008</t>
  </si>
  <si>
    <t>4966646531077430</t>
  </si>
  <si>
    <t>HERNOLGAG017</t>
  </si>
  <si>
    <t>4966646531077448</t>
  </si>
  <si>
    <t>NORIANA A001</t>
  </si>
  <si>
    <t>4966646530036858</t>
  </si>
  <si>
    <t>ESTRLAURF000</t>
  </si>
  <si>
    <t>PEREJULIC021</t>
  </si>
  <si>
    <t>4966646530035058</t>
  </si>
  <si>
    <t>ORTILAURH001</t>
  </si>
  <si>
    <t>4966646529032397</t>
  </si>
  <si>
    <t>MARTSONIG007</t>
  </si>
  <si>
    <t>4966646531077497</t>
  </si>
  <si>
    <t>ROLDESMEP001</t>
  </si>
  <si>
    <t>4966646531077505</t>
  </si>
  <si>
    <t>RODRWENDR007</t>
  </si>
  <si>
    <t>4966646530037930</t>
  </si>
  <si>
    <t>PEREJORGE008</t>
  </si>
  <si>
    <t>4966646531079410</t>
  </si>
  <si>
    <t>VELEDAISU001</t>
  </si>
  <si>
    <t>4966646531078370</t>
  </si>
  <si>
    <t>ABALMILDM000</t>
  </si>
  <si>
    <t>4966646530037906</t>
  </si>
  <si>
    <t>MENDFABID000</t>
  </si>
  <si>
    <t>4966646527036465</t>
  </si>
  <si>
    <t>4966646523081416</t>
  </si>
  <si>
    <t>5303301300175176</t>
  </si>
  <si>
    <t>5303301300037913</t>
  </si>
  <si>
    <t>4566211300477412</t>
  </si>
  <si>
    <t>4566211125631367</t>
  </si>
  <si>
    <t>4966646531004004</t>
  </si>
  <si>
    <t>4966646530018708</t>
  </si>
  <si>
    <t>4966646525082800</t>
  </si>
  <si>
    <t>4966646526039718</t>
  </si>
  <si>
    <t>4966646528050069</t>
  </si>
  <si>
    <t>4966646526001171</t>
  </si>
  <si>
    <t>LOPEJORGZ003</t>
  </si>
  <si>
    <t>COY0JOSUA000</t>
  </si>
  <si>
    <t>LOPEEBBEX000</t>
  </si>
  <si>
    <t>PU  FRANG000</t>
  </si>
  <si>
    <t>CHUGMILDT000</t>
  </si>
  <si>
    <t>CABALUISR000</t>
  </si>
  <si>
    <t>VERAFERNC001</t>
  </si>
  <si>
    <t>RECIJOSEI001</t>
  </si>
  <si>
    <t>DE PDANIG000</t>
  </si>
  <si>
    <t>BONAITALB001</t>
  </si>
  <si>
    <t>VICEOMARM000</t>
  </si>
  <si>
    <t>6087400100828107</t>
  </si>
  <si>
    <t>6087400100828073</t>
  </si>
  <si>
    <t>6087400100828040</t>
  </si>
  <si>
    <t>6087400100768790</t>
  </si>
  <si>
    <t>6087400100828289</t>
  </si>
  <si>
    <t>6087400100719991</t>
  </si>
  <si>
    <t>6087400100724868</t>
  </si>
  <si>
    <t>6087400100785497</t>
  </si>
  <si>
    <t>6087400100724405</t>
  </si>
  <si>
    <t>6087400100843627</t>
  </si>
  <si>
    <t>6087400100830988</t>
  </si>
  <si>
    <t>6087400100848006</t>
  </si>
  <si>
    <t>6087400100768287</t>
  </si>
  <si>
    <t>6087400100768220</t>
  </si>
  <si>
    <t>6087400100768147</t>
  </si>
  <si>
    <t>6087400100768113</t>
  </si>
  <si>
    <t>6087400100768980</t>
  </si>
  <si>
    <t>6087400100724819</t>
  </si>
  <si>
    <t>6087400100687990</t>
  </si>
  <si>
    <t>6087400100768378</t>
  </si>
  <si>
    <t>6087400100828297</t>
  </si>
  <si>
    <t>6087400100843593</t>
  </si>
  <si>
    <t>6087400100843536</t>
  </si>
  <si>
    <t>6087400100830970</t>
  </si>
  <si>
    <t>6087400100830962</t>
  </si>
  <si>
    <t>6087400100768253</t>
  </si>
  <si>
    <t>6087400100830822</t>
  </si>
  <si>
    <t>6087400100830749</t>
  </si>
  <si>
    <t>6087400100815393</t>
  </si>
  <si>
    <t>6087400100815369</t>
  </si>
  <si>
    <t>6087400100815302</t>
  </si>
  <si>
    <t>6087400100815153</t>
  </si>
  <si>
    <t>6087400100768063</t>
  </si>
  <si>
    <t>LUIS FERNANDO SANTIZO PANIAGUA</t>
  </si>
  <si>
    <t>HUGO DAVID MORALES CIFUENTES</t>
  </si>
  <si>
    <t>Puesto</t>
  </si>
  <si>
    <t>Asesor</t>
  </si>
  <si>
    <t>Pasantes</t>
  </si>
  <si>
    <t>PRF Desc.</t>
  </si>
  <si>
    <t>Col. Real PRF</t>
  </si>
  <si>
    <t>CN</t>
  </si>
  <si>
    <t>Oro +</t>
  </si>
  <si>
    <t>Activación</t>
  </si>
  <si>
    <t>Seguros</t>
  </si>
  <si>
    <t>MANSMELVB000</t>
  </si>
  <si>
    <t>4966646531080376</t>
  </si>
  <si>
    <t>98078</t>
  </si>
  <si>
    <t>RAMINORAM009</t>
  </si>
  <si>
    <t>4966646528049566</t>
  </si>
  <si>
    <t>PEDRERNEC000</t>
  </si>
  <si>
    <t>4966646530038060</t>
  </si>
  <si>
    <t>JUARESTUB000</t>
  </si>
  <si>
    <t>4966646526057843</t>
  </si>
  <si>
    <t>CASHBACK TIENDAS</t>
  </si>
  <si>
    <t>CASHBACK RESTAURANTES</t>
  </si>
  <si>
    <t>PEREMARIS092</t>
  </si>
  <si>
    <t>4966646526058098</t>
  </si>
  <si>
    <t>98079</t>
  </si>
  <si>
    <t>HERNLUISC137</t>
  </si>
  <si>
    <t>4966646528049020</t>
  </si>
  <si>
    <t>QUIRJOSEL003</t>
  </si>
  <si>
    <t>4966646531080301</t>
  </si>
  <si>
    <t>RAMOLUISH010</t>
  </si>
  <si>
    <t>4966646527037935</t>
  </si>
  <si>
    <t>RUIZDANIB001</t>
  </si>
  <si>
    <t>4966646530038805</t>
  </si>
  <si>
    <t>SALAJOSEM036</t>
  </si>
  <si>
    <t>4966646529034344</t>
  </si>
  <si>
    <t>RODRMARIA066</t>
  </si>
  <si>
    <t>4966646529032009</t>
  </si>
  <si>
    <t>MORAJOSEP114</t>
  </si>
  <si>
    <t>NG01253244</t>
  </si>
  <si>
    <t>SANDDORIC002</t>
  </si>
  <si>
    <t>4966646531082554</t>
  </si>
  <si>
    <t>TREJPAMEV000</t>
  </si>
  <si>
    <t>4966646531082539</t>
  </si>
  <si>
    <t>LEONLIGIT000</t>
  </si>
  <si>
    <t>4966646529032496</t>
  </si>
  <si>
    <t>AREVGUILA000</t>
  </si>
  <si>
    <t>4966646530037286</t>
  </si>
  <si>
    <t>OVANHECTV000</t>
  </si>
  <si>
    <t>4966646531082489</t>
  </si>
  <si>
    <t>SAMAMAICG000</t>
  </si>
  <si>
    <t>ORELLUISV005</t>
  </si>
  <si>
    <t>4966646527035640</t>
  </si>
  <si>
    <t>MARTCHRIM005</t>
  </si>
  <si>
    <t>4966646531080251</t>
  </si>
  <si>
    <t>SANDEDWIP000</t>
  </si>
  <si>
    <t>4966646531082885</t>
  </si>
  <si>
    <t>CASTJOSEG039</t>
  </si>
  <si>
    <t>4966646531082893</t>
  </si>
  <si>
    <t>SOLIIRMAE000</t>
  </si>
  <si>
    <t>4966646531082067</t>
  </si>
  <si>
    <t>SUARMIRIR001</t>
  </si>
  <si>
    <t>4966646530040363</t>
  </si>
  <si>
    <t>PORTBETZP000</t>
  </si>
  <si>
    <t>4966646531079816</t>
  </si>
  <si>
    <t>Pasantes 65%</t>
  </si>
  <si>
    <t>HEYLMARIW000</t>
  </si>
  <si>
    <t>4966646531061277</t>
  </si>
  <si>
    <t>4966646528040854</t>
  </si>
  <si>
    <t>4966646525063347</t>
  </si>
  <si>
    <t>3777218801028831</t>
  </si>
  <si>
    <t>SANTJONNM000</t>
  </si>
  <si>
    <t>RAMIHILDB004</t>
  </si>
  <si>
    <t>6087400100788517</t>
  </si>
  <si>
    <t>6087400100843981</t>
  </si>
  <si>
    <t>6087400100835045</t>
  </si>
  <si>
    <t>6087400100844724</t>
  </si>
  <si>
    <t>6087400100997811</t>
  </si>
  <si>
    <t>6087400100997878</t>
  </si>
  <si>
    <t>6087400100788707</t>
  </si>
  <si>
    <t>6087400100788723</t>
  </si>
  <si>
    <t>6087400100844831</t>
  </si>
  <si>
    <t>6087400100835250</t>
  </si>
  <si>
    <t>6087400100844864</t>
  </si>
  <si>
    <t>6087400101018591</t>
  </si>
  <si>
    <t>6087400101018708</t>
  </si>
  <si>
    <t>6087400101018674</t>
  </si>
  <si>
    <t>6087400100788822</t>
  </si>
  <si>
    <t>6087400100788830</t>
  </si>
  <si>
    <t>6087400100844989</t>
  </si>
  <si>
    <t>6087400101018799</t>
  </si>
  <si>
    <t>6087400100788863</t>
  </si>
  <si>
    <t>6087400101018815</t>
  </si>
  <si>
    <t>6087400100835417</t>
  </si>
  <si>
    <t>6087400100835425</t>
  </si>
  <si>
    <t>6087400101018864</t>
  </si>
  <si>
    <t>6087400100828792</t>
  </si>
  <si>
    <t>4966646531064248</t>
  </si>
  <si>
    <t>4966646528043569</t>
  </si>
  <si>
    <t>4966646523006439</t>
  </si>
  <si>
    <t>4966646529026191</t>
  </si>
  <si>
    <t>4966646531064297</t>
  </si>
  <si>
    <t>4966646528042710</t>
  </si>
  <si>
    <t>4966646529025599</t>
  </si>
  <si>
    <t>4966646530026719</t>
  </si>
  <si>
    <t>5197191103029038</t>
  </si>
  <si>
    <t>4966646529026142</t>
  </si>
  <si>
    <t>4966646531061541</t>
  </si>
  <si>
    <t>4966646530031552</t>
  </si>
  <si>
    <t>4966646526046457</t>
  </si>
  <si>
    <t>4966646530031560</t>
  </si>
  <si>
    <t>4966646525140814</t>
  </si>
  <si>
    <t>4966646531061616</t>
  </si>
  <si>
    <t>4966646529023990</t>
  </si>
  <si>
    <t>4966646531066318</t>
  </si>
  <si>
    <t>4966646531066300</t>
  </si>
  <si>
    <t>4966646531065997</t>
  </si>
  <si>
    <t>4966646527032423</t>
  </si>
  <si>
    <t>4966646531065443</t>
  </si>
  <si>
    <t>4566212600002330</t>
  </si>
  <si>
    <t>4966646531065534</t>
  </si>
  <si>
    <t>4966646531065344</t>
  </si>
  <si>
    <t>4966646527030302</t>
  </si>
  <si>
    <t>4966646531065575</t>
  </si>
  <si>
    <t>4966646531067415</t>
  </si>
  <si>
    <t>4966646531065617</t>
  </si>
  <si>
    <t>4966646529030136</t>
  </si>
  <si>
    <t>4966646531067365</t>
  </si>
  <si>
    <t>4966646531065369</t>
  </si>
  <si>
    <t>4966646529029930</t>
  </si>
  <si>
    <t>4966646531065773</t>
  </si>
  <si>
    <t>3777218368074814</t>
  </si>
  <si>
    <t>4966646531068645</t>
  </si>
  <si>
    <t>4966646530032451</t>
  </si>
  <si>
    <t>3777218602029681</t>
  </si>
  <si>
    <t>4966646531020273</t>
  </si>
  <si>
    <t>4966646526049980</t>
  </si>
  <si>
    <t>4966646528042306</t>
  </si>
  <si>
    <t>5491953402037910</t>
  </si>
  <si>
    <t>4966646531068678</t>
  </si>
  <si>
    <t>4966646531065740</t>
  </si>
  <si>
    <t>4966646531065757</t>
  </si>
  <si>
    <t>4966646527032100</t>
  </si>
  <si>
    <t>4966646529030102</t>
  </si>
  <si>
    <t>4966646529025706</t>
  </si>
  <si>
    <t xml:space="preserve">4966646527030617  </t>
  </si>
  <si>
    <t>4966646530032378</t>
  </si>
  <si>
    <t>4966646531068934</t>
  </si>
  <si>
    <t>4966646528043320</t>
  </si>
  <si>
    <t>4966646531070112</t>
  </si>
  <si>
    <t>4966646531070526</t>
  </si>
  <si>
    <t>4966646530033855</t>
  </si>
  <si>
    <t>4966646529029096</t>
  </si>
  <si>
    <t>4966646531070641</t>
  </si>
  <si>
    <t>4966646530028905</t>
  </si>
  <si>
    <t>4966646526053842</t>
  </si>
  <si>
    <t>4966646528045507</t>
  </si>
  <si>
    <t>4966646531070229</t>
  </si>
  <si>
    <t>4966646531070021</t>
  </si>
  <si>
    <t>4966646531071250</t>
  </si>
  <si>
    <t>4966646531071490</t>
  </si>
  <si>
    <t>5491958402031532</t>
  </si>
  <si>
    <t>4966646531071904</t>
  </si>
  <si>
    <t>4966646531072779</t>
  </si>
  <si>
    <t>5491958368006593</t>
  </si>
  <si>
    <t>4966646531071193</t>
  </si>
  <si>
    <t>4966646526006014</t>
  </si>
  <si>
    <t>4966646529029252</t>
  </si>
  <si>
    <t>4966646524070046</t>
  </si>
  <si>
    <t>4966646524098583</t>
  </si>
  <si>
    <t>4966646531071185</t>
  </si>
  <si>
    <t>4966646525217018</t>
  </si>
  <si>
    <t>4966646530033533</t>
  </si>
  <si>
    <t>4966646531072753</t>
  </si>
  <si>
    <t>4966646531071664</t>
  </si>
  <si>
    <t>4966646530034374</t>
  </si>
  <si>
    <t>4966646528046927</t>
  </si>
  <si>
    <t>4966646525194688</t>
  </si>
  <si>
    <t>4966646531071367</t>
  </si>
  <si>
    <t>4966646531072423</t>
  </si>
  <si>
    <t>5303301300369381</t>
  </si>
  <si>
    <t>4966646531071375</t>
  </si>
  <si>
    <t>4966646530031974</t>
  </si>
  <si>
    <t>4966646529029070</t>
  </si>
  <si>
    <t>4966646525031583</t>
  </si>
  <si>
    <t>4966646530034291</t>
  </si>
  <si>
    <t>3777218602132337</t>
  </si>
  <si>
    <t>4966646531071409</t>
  </si>
  <si>
    <t>4966646531072605</t>
  </si>
  <si>
    <t>4966646531072324</t>
  </si>
  <si>
    <t>4966646528047891</t>
  </si>
  <si>
    <t>4966646527033785</t>
  </si>
  <si>
    <t>4966646530032279</t>
  </si>
  <si>
    <t>DE LFRANL006</t>
  </si>
  <si>
    <t>ALVACARLC131</t>
  </si>
  <si>
    <t>AZMIJORGB002</t>
  </si>
  <si>
    <t>AGUIJOSEN003</t>
  </si>
  <si>
    <t>ALEMSHEYD000</t>
  </si>
  <si>
    <t>CASTSILVM006</t>
  </si>
  <si>
    <t>DIEGEDINM000</t>
  </si>
  <si>
    <t>SANTELSSY000</t>
  </si>
  <si>
    <t>ALVAHUGOE005</t>
  </si>
  <si>
    <t>SOSADEREA000</t>
  </si>
  <si>
    <t>LOREROSMM000</t>
  </si>
  <si>
    <t>FERNHORAF000</t>
  </si>
  <si>
    <t>MANCOLIVL000</t>
  </si>
  <si>
    <t>QUINALEJM002</t>
  </si>
  <si>
    <t>LOPEMARVR032</t>
  </si>
  <si>
    <t>MACHJORGV000</t>
  </si>
  <si>
    <t>GUERJAIRG002</t>
  </si>
  <si>
    <t>CHAMLUISA000</t>
  </si>
  <si>
    <t>DUARJORGA003</t>
  </si>
  <si>
    <t>MORAERICS017</t>
  </si>
  <si>
    <t>QUINANA0Q001</t>
  </si>
  <si>
    <t>MONZALEXO000</t>
  </si>
  <si>
    <t>REYEPERCD000</t>
  </si>
  <si>
    <t>RAYMJORGA000</t>
  </si>
  <si>
    <t>AJZIMIGUA000</t>
  </si>
  <si>
    <t>CASTREING002</t>
  </si>
  <si>
    <t>CABRERVIC000</t>
  </si>
  <si>
    <t>PERESANDO009</t>
  </si>
  <si>
    <t>MALDOLGAR004</t>
  </si>
  <si>
    <t>MUÑOREGIP000</t>
  </si>
  <si>
    <t>AVILROSSL000</t>
  </si>
  <si>
    <t>GARCMARIG316</t>
  </si>
  <si>
    <t>PINEMIRIS001</t>
  </si>
  <si>
    <t>RODRLUISS009</t>
  </si>
  <si>
    <t>JACIEDGAM002</t>
  </si>
  <si>
    <t>ORDOCARLD005</t>
  </si>
  <si>
    <t>GOBEKARLG000</t>
  </si>
  <si>
    <t>GARCKARLG007</t>
  </si>
  <si>
    <t>PEREGUISG003</t>
  </si>
  <si>
    <t>HERNLUISL074</t>
  </si>
  <si>
    <t>HERNELIOL004</t>
  </si>
  <si>
    <t>TAJTJOHAV000</t>
  </si>
  <si>
    <t>MARRERIC 004</t>
  </si>
  <si>
    <t>BARRMAYRT002</t>
  </si>
  <si>
    <t>LOCOJOSUG000</t>
  </si>
  <si>
    <t>ESCOEVIL0000</t>
  </si>
  <si>
    <t>CANIJAVIA000</t>
  </si>
  <si>
    <t>MAZASASHO000</t>
  </si>
  <si>
    <t>COOSKARIM000</t>
  </si>
  <si>
    <t>MOLIJUANG007</t>
  </si>
  <si>
    <t>CEBAGERAM001</t>
  </si>
  <si>
    <t>ASENLUISR002</t>
  </si>
  <si>
    <t>CARRPEDRL000</t>
  </si>
  <si>
    <t>PONTMARIF002</t>
  </si>
  <si>
    <t>IXMAPEDRM001</t>
  </si>
  <si>
    <t>MARRELVIA002</t>
  </si>
  <si>
    <t>FERNJAIMC000</t>
  </si>
  <si>
    <t>SOSABYROC000</t>
  </si>
  <si>
    <t>LARALUISG008</t>
  </si>
  <si>
    <t>SOTOROBEA003</t>
  </si>
  <si>
    <t>CASTMARCB015</t>
  </si>
  <si>
    <t>RABALIDIL000</t>
  </si>
  <si>
    <t>RUIZSUSEL000</t>
  </si>
  <si>
    <t xml:space="preserve"> YELAMARIO004 </t>
  </si>
  <si>
    <t>AGUIJOSEL030</t>
  </si>
  <si>
    <t>CALDMAYLF001</t>
  </si>
  <si>
    <t>GAVIADRIP000</t>
  </si>
  <si>
    <t>GARCADA M007</t>
  </si>
  <si>
    <t>REYEJESSS001</t>
  </si>
  <si>
    <t>ALVAMAYRH004</t>
  </si>
  <si>
    <t>LEMULUISS009</t>
  </si>
  <si>
    <t>RAMICARMG013</t>
  </si>
  <si>
    <t>VELINERYG002</t>
  </si>
  <si>
    <t>GARCERICS012</t>
  </si>
  <si>
    <t>ROMEHUMBM001</t>
  </si>
  <si>
    <t>ACOSJUANG000</t>
  </si>
  <si>
    <t>ESCOCARLM054</t>
  </si>
  <si>
    <t>MORECARMB000</t>
  </si>
  <si>
    <t>ORDOLUZ0M000</t>
  </si>
  <si>
    <t>PORTCARLU000</t>
  </si>
  <si>
    <t>MALDEDGAC000</t>
  </si>
  <si>
    <t>AREVMEDAD000</t>
  </si>
  <si>
    <t>FRANMARCR006</t>
  </si>
  <si>
    <t>MOREBRAYC000</t>
  </si>
  <si>
    <t>ESCOSILVG006</t>
  </si>
  <si>
    <t>GONZMONIC020</t>
  </si>
  <si>
    <t>SAZOBRENF000</t>
  </si>
  <si>
    <t>BARRJORGA017</t>
  </si>
  <si>
    <t>PIMEMARIM007</t>
  </si>
  <si>
    <t>PEREGENRR000</t>
  </si>
  <si>
    <t>ALVAADERM002</t>
  </si>
  <si>
    <t>RAMOANA0C003</t>
  </si>
  <si>
    <t>MARRCESAM017</t>
  </si>
  <si>
    <t>JIMEMIGUH005</t>
  </si>
  <si>
    <t>HERNMARCP018</t>
  </si>
  <si>
    <t>MENEMARIC005</t>
  </si>
  <si>
    <t>POLAJORGT001</t>
  </si>
  <si>
    <t>RAMOJUANM019</t>
  </si>
  <si>
    <t>HERNJOSE 085</t>
  </si>
  <si>
    <t>ROJAFRANT001</t>
  </si>
  <si>
    <t>MURAEDY D000</t>
  </si>
  <si>
    <t>RODANIDIV000</t>
  </si>
  <si>
    <t>OCHOLUISC007</t>
  </si>
  <si>
    <t>CHUQROBEM001</t>
  </si>
  <si>
    <t>SAMAANGEH003</t>
  </si>
  <si>
    <t>ORELWENDS002</t>
  </si>
  <si>
    <t>GARCEDWIP019</t>
  </si>
  <si>
    <t>SANTJORGM103</t>
  </si>
  <si>
    <t>MILIJENNC000</t>
  </si>
  <si>
    <t>RAMOANELR001</t>
  </si>
  <si>
    <t>TORRJOSEV004</t>
  </si>
  <si>
    <t>4966646530006323</t>
  </si>
  <si>
    <t>4966646530033178</t>
  </si>
  <si>
    <t>4566211300345064</t>
  </si>
  <si>
    <t>5111426126692369</t>
  </si>
  <si>
    <t>4966646531075285</t>
  </si>
  <si>
    <t>4966646531072258</t>
  </si>
  <si>
    <t>4966646531071706</t>
  </si>
  <si>
    <t>4966646531003378</t>
  </si>
  <si>
    <t>4966646530036296</t>
  </si>
  <si>
    <t>4966646530035843</t>
  </si>
  <si>
    <t>4966646529030805</t>
  </si>
  <si>
    <t>4966646529030979</t>
  </si>
  <si>
    <t>4966646530033137</t>
  </si>
  <si>
    <t>4966646530035587</t>
  </si>
  <si>
    <t>4966646529033155</t>
  </si>
  <si>
    <t>6087400100523294</t>
  </si>
  <si>
    <t>6087400100474910</t>
  </si>
  <si>
    <t>6087400100577670</t>
  </si>
  <si>
    <t>6087400100523542</t>
  </si>
  <si>
    <t>6087400100523401</t>
  </si>
  <si>
    <t>6087400100523641</t>
  </si>
  <si>
    <t>6087400100523450</t>
  </si>
  <si>
    <t>6087400100523419</t>
  </si>
  <si>
    <t>6087400100523609</t>
  </si>
  <si>
    <t>6087400100577845</t>
  </si>
  <si>
    <t>6087400100475784</t>
  </si>
  <si>
    <t>6087400100475842</t>
  </si>
  <si>
    <t>6087400100475321</t>
  </si>
  <si>
    <t>6087400100475818</t>
  </si>
  <si>
    <t>6087400100577951</t>
  </si>
  <si>
    <t>6087400100475917</t>
  </si>
  <si>
    <t>6087400100475933</t>
  </si>
  <si>
    <t>6087400100562623</t>
  </si>
  <si>
    <t>6087400100562607</t>
  </si>
  <si>
    <t>6087400100475487</t>
  </si>
  <si>
    <t>6087400100597793</t>
  </si>
  <si>
    <t>6087400100597033</t>
  </si>
  <si>
    <t>6087400100566541</t>
  </si>
  <si>
    <t>6087400100597124</t>
  </si>
  <si>
    <t>6087400100523823</t>
  </si>
  <si>
    <t>6087400100566525</t>
  </si>
  <si>
    <t>6087400100597157</t>
  </si>
  <si>
    <t>6087400100562748</t>
  </si>
  <si>
    <t>6087400100597231</t>
  </si>
  <si>
    <t>6087400100597306</t>
  </si>
  <si>
    <t>6087400100562888</t>
  </si>
  <si>
    <t>6087400100523880</t>
  </si>
  <si>
    <t>6087400100566657</t>
  </si>
  <si>
    <t>6087400100546766</t>
  </si>
  <si>
    <t>6087400100562920</t>
  </si>
  <si>
    <t>6087400100597371</t>
  </si>
  <si>
    <t>6087400100546774</t>
  </si>
  <si>
    <t>6087400100562938</t>
  </si>
  <si>
    <t>6087400100599005</t>
  </si>
  <si>
    <t>6087400100597397</t>
  </si>
  <si>
    <t>6087400100546824</t>
  </si>
  <si>
    <t>6087400100523963</t>
  </si>
  <si>
    <t>6087400100597405</t>
  </si>
  <si>
    <t>6087400100546899</t>
  </si>
  <si>
    <t>6087400100546881</t>
  </si>
  <si>
    <t>6087400100523955</t>
  </si>
  <si>
    <t>6087400100597462</t>
  </si>
  <si>
    <t>6087400100599104</t>
  </si>
  <si>
    <t>6087400100566780</t>
  </si>
  <si>
    <t>6087400100598007</t>
  </si>
  <si>
    <t>6087400100599427</t>
  </si>
  <si>
    <t>6087400100599435</t>
  </si>
  <si>
    <t>6087400100598593</t>
  </si>
  <si>
    <t>6087400100688022</t>
  </si>
  <si>
    <t>6087400100688048</t>
  </si>
  <si>
    <t>6087400100688071</t>
  </si>
  <si>
    <t>6087400100688238</t>
  </si>
  <si>
    <t>6087400100570295</t>
  </si>
  <si>
    <t>6087400100598163</t>
  </si>
  <si>
    <t>6087400100598130</t>
  </si>
  <si>
    <t>6087400100673743</t>
  </si>
  <si>
    <t>6087400100598668</t>
  </si>
  <si>
    <t>6087400100598221</t>
  </si>
  <si>
    <t>6087400100688436</t>
  </si>
  <si>
    <t>6087400100673792</t>
  </si>
  <si>
    <t>6087400100718597</t>
  </si>
  <si>
    <t>6087400100673891</t>
  </si>
  <si>
    <t>6087400100570436</t>
  </si>
  <si>
    <t>6087400100598338</t>
  </si>
  <si>
    <t>6087400100570451</t>
  </si>
  <si>
    <t>6087400100718662</t>
  </si>
  <si>
    <t>6087400100718647</t>
  </si>
  <si>
    <t>6087400100570410</t>
  </si>
  <si>
    <t>6087400100598346</t>
  </si>
  <si>
    <t>6087400100718795</t>
  </si>
  <si>
    <t>6087400100673933</t>
  </si>
  <si>
    <t>6087400100673958</t>
  </si>
  <si>
    <t>6087400100718878</t>
  </si>
  <si>
    <t>6087400100718852</t>
  </si>
  <si>
    <t>6087400100598353</t>
  </si>
  <si>
    <t>6087400100713515</t>
  </si>
  <si>
    <t>6087400100670020</t>
  </si>
  <si>
    <t>6087400100598403</t>
  </si>
  <si>
    <t>6087400100719090</t>
  </si>
  <si>
    <t>6087400100670046</t>
  </si>
  <si>
    <t>6087400100670038</t>
  </si>
  <si>
    <t>6087400100598825</t>
  </si>
  <si>
    <t>6087400100718910</t>
  </si>
  <si>
    <t>6087400100719017</t>
  </si>
  <si>
    <t>6087400100718944</t>
  </si>
  <si>
    <t>6087400100670129</t>
  </si>
  <si>
    <t>6087400100719132</t>
  </si>
  <si>
    <t>6087400100598858</t>
  </si>
  <si>
    <t>6087400100719157</t>
  </si>
  <si>
    <t>6087400100670087</t>
  </si>
  <si>
    <t>6087400100598452</t>
  </si>
  <si>
    <t>6087400100719660</t>
  </si>
  <si>
    <t>6087400100713762</t>
  </si>
  <si>
    <t>6087400100761746</t>
  </si>
  <si>
    <t>6087400100670434</t>
  </si>
  <si>
    <t>6087400100687818</t>
  </si>
  <si>
    <t>6087400100691554</t>
  </si>
  <si>
    <t>6087400100687537</t>
  </si>
  <si>
    <t>6087400100719744</t>
  </si>
  <si>
    <t>6087400100785190</t>
  </si>
  <si>
    <t>6087400100785018</t>
  </si>
  <si>
    <t>6087400100767677</t>
  </si>
  <si>
    <t>6087400100761944</t>
  </si>
  <si>
    <t>6087400100713861</t>
  </si>
  <si>
    <t>6087400100785380</t>
  </si>
  <si>
    <t>6087400100785307</t>
  </si>
  <si>
    <t>Mayo</t>
  </si>
  <si>
    <t>Migrada Sin Activar</t>
  </si>
  <si>
    <t>MAYO</t>
  </si>
  <si>
    <t>Agosto</t>
  </si>
  <si>
    <t>NG01234140</t>
  </si>
  <si>
    <t>BUEZJULIV000</t>
  </si>
  <si>
    <t>4966646524118712</t>
  </si>
  <si>
    <t>NG01247368</t>
  </si>
  <si>
    <t>RODAANA A004</t>
  </si>
  <si>
    <t>4966646523147555</t>
  </si>
  <si>
    <t>NG01260476</t>
  </si>
  <si>
    <t>CORDJAIME000</t>
  </si>
  <si>
    <t>4966646531082000</t>
  </si>
  <si>
    <t>NG01261357</t>
  </si>
  <si>
    <t>PAZ OMARM000</t>
  </si>
  <si>
    <t>4966646525256545</t>
  </si>
  <si>
    <t>NG01262539</t>
  </si>
  <si>
    <t>BENIJUVEA000</t>
  </si>
  <si>
    <t>5491952102108260</t>
  </si>
  <si>
    <t>NG01263640</t>
  </si>
  <si>
    <t>PEREMABEO000</t>
  </si>
  <si>
    <t>4966646525256511</t>
  </si>
  <si>
    <t>NG01264352</t>
  </si>
  <si>
    <t>GOMELADYP000</t>
  </si>
  <si>
    <t>4966641101511439</t>
  </si>
  <si>
    <t>NG01264579</t>
  </si>
  <si>
    <t>NUÑEMAYAE001</t>
  </si>
  <si>
    <t>4966646531079634</t>
  </si>
  <si>
    <t>NG01264803</t>
  </si>
  <si>
    <t>MOLIAURAN002</t>
  </si>
  <si>
    <t>4966646531079832</t>
  </si>
  <si>
    <t>NG01264978</t>
  </si>
  <si>
    <t>CON JULIA000</t>
  </si>
  <si>
    <t>4966646531081564</t>
  </si>
  <si>
    <t>NG01265049</t>
  </si>
  <si>
    <t>HERNWILLM021</t>
  </si>
  <si>
    <t>4966646526059385</t>
  </si>
  <si>
    <t>NG01265159</t>
  </si>
  <si>
    <t>GUEREMILD004</t>
  </si>
  <si>
    <t>4966646531082026</t>
  </si>
  <si>
    <t>NG01265200</t>
  </si>
  <si>
    <t>AGUIWALTG011</t>
  </si>
  <si>
    <t>4966646530038748</t>
  </si>
  <si>
    <t>NG01265220</t>
  </si>
  <si>
    <t>VANEERIKP000</t>
  </si>
  <si>
    <t>4966646531082018</t>
  </si>
  <si>
    <t>NG01265524</t>
  </si>
  <si>
    <t>FIGUGLADQ001</t>
  </si>
  <si>
    <t>4966646528049590</t>
  </si>
  <si>
    <t>NG01265667</t>
  </si>
  <si>
    <t>SOTOCARLR010</t>
  </si>
  <si>
    <t>4966646531081382</t>
  </si>
  <si>
    <t>SP-230724GT-6071</t>
  </si>
  <si>
    <t>LOPEGILMS000</t>
  </si>
  <si>
    <t>4966646528052248</t>
  </si>
  <si>
    <t>SP-230728GT-117</t>
  </si>
  <si>
    <t>DE LMAYRL000</t>
  </si>
  <si>
    <t>4966646527038719</t>
  </si>
  <si>
    <t>SP-230729GT-4081</t>
  </si>
  <si>
    <t>RIVAMARLS003</t>
  </si>
  <si>
    <t>4966646528052263</t>
  </si>
  <si>
    <t>SP-230730GT-2015</t>
  </si>
  <si>
    <t>FRANJOSEB005</t>
  </si>
  <si>
    <t>4966646527038727</t>
  </si>
  <si>
    <t>SP-230731GT-231</t>
  </si>
  <si>
    <t>ESPANILDV000</t>
  </si>
  <si>
    <t>4566212300247912</t>
  </si>
  <si>
    <t>wa0t57</t>
  </si>
  <si>
    <t>4966646525256552</t>
  </si>
  <si>
    <t>NG01241176</t>
  </si>
  <si>
    <t>FIGUALEXM001</t>
  </si>
  <si>
    <t>4966641101511629</t>
  </si>
  <si>
    <t>NG01254790</t>
  </si>
  <si>
    <t>CHITOSCAE000</t>
  </si>
  <si>
    <t>4966646531081986</t>
  </si>
  <si>
    <t>NG01260669</t>
  </si>
  <si>
    <t>TORRMATEJ000</t>
  </si>
  <si>
    <t>4966646523147563</t>
  </si>
  <si>
    <t>NG01263737</t>
  </si>
  <si>
    <t>MAZALUISR029</t>
  </si>
  <si>
    <t>4966646524118787</t>
  </si>
  <si>
    <t>NG01264975</t>
  </si>
  <si>
    <t>GONZBETTA000</t>
  </si>
  <si>
    <t>4966646530040355</t>
  </si>
  <si>
    <t>NG01265599</t>
  </si>
  <si>
    <t>LOPEGLADB004</t>
  </si>
  <si>
    <t>4966646524118829</t>
  </si>
  <si>
    <t>NG01266620</t>
  </si>
  <si>
    <t>GALVNELYE000</t>
  </si>
  <si>
    <t>4966646528049509</t>
  </si>
  <si>
    <t>NG01266695</t>
  </si>
  <si>
    <t>NAJEJOSEC007</t>
  </si>
  <si>
    <t>4966646530038730</t>
  </si>
  <si>
    <t>NG01267158</t>
  </si>
  <si>
    <t>MUNOIGNAS000</t>
  </si>
  <si>
    <t>4966646531081390</t>
  </si>
  <si>
    <t>NG01267280</t>
  </si>
  <si>
    <t>GUZMVIVIV002</t>
  </si>
  <si>
    <t>4966646531081994</t>
  </si>
  <si>
    <t>NG01267298</t>
  </si>
  <si>
    <t>ALEJJORGG003</t>
  </si>
  <si>
    <t>4966646531081416</t>
  </si>
  <si>
    <t>NG01267421</t>
  </si>
  <si>
    <t>JIMEMARIB013</t>
  </si>
  <si>
    <t>4966646528049384</t>
  </si>
  <si>
    <t>NG01267957</t>
  </si>
  <si>
    <t>PEREJORGB104</t>
  </si>
  <si>
    <t>4966646530038722</t>
  </si>
  <si>
    <t>NG01258926</t>
  </si>
  <si>
    <t>OVANHUGOP001</t>
  </si>
  <si>
    <t>4518771102589358</t>
  </si>
  <si>
    <t>NG01267564</t>
  </si>
  <si>
    <t>PINEJOSUM005</t>
  </si>
  <si>
    <t>3777216402218298</t>
  </si>
  <si>
    <t>NG01268661</t>
  </si>
  <si>
    <t>CANOJESSA000</t>
  </si>
  <si>
    <t>4966646529035382</t>
  </si>
  <si>
    <t>NG01268753</t>
  </si>
  <si>
    <t>ESCOLAZAC002</t>
  </si>
  <si>
    <t>4966646528049392</t>
  </si>
  <si>
    <t>NG01268754</t>
  </si>
  <si>
    <t>RECIINGRG001</t>
  </si>
  <si>
    <t>4966646528051125</t>
  </si>
  <si>
    <t>NG01268773</t>
  </si>
  <si>
    <t>US  SAMUT001</t>
  </si>
  <si>
    <t>4966646530040348</t>
  </si>
  <si>
    <t>NG01268926</t>
  </si>
  <si>
    <t>PENAMIGUA000</t>
  </si>
  <si>
    <t>4966646531079840</t>
  </si>
  <si>
    <t>NG01269552</t>
  </si>
  <si>
    <t>GARCDIEGC014</t>
  </si>
  <si>
    <t>4966646526057918</t>
  </si>
  <si>
    <t>NG01269656</t>
  </si>
  <si>
    <t>RODRJUANL116</t>
  </si>
  <si>
    <t>4966646530038714</t>
  </si>
  <si>
    <t>NG01270165</t>
  </si>
  <si>
    <t>ALVAMARIA029</t>
  </si>
  <si>
    <t>4966646529035564</t>
  </si>
  <si>
    <t>NG01270167</t>
  </si>
  <si>
    <t>FUENMELIE003</t>
  </si>
  <si>
    <t>4966646526058064</t>
  </si>
  <si>
    <t>NG01270193</t>
  </si>
  <si>
    <t>CERRJOSEP000</t>
  </si>
  <si>
    <t>4966646528047297</t>
  </si>
  <si>
    <t>NG01270264</t>
  </si>
  <si>
    <t>ARCHNESTA002</t>
  </si>
  <si>
    <t>8011086200145935</t>
  </si>
  <si>
    <t>4966646527038867</t>
  </si>
  <si>
    <t>NG01270285</t>
  </si>
  <si>
    <t>DAVIMARV 002</t>
  </si>
  <si>
    <t>4966646526057413</t>
  </si>
  <si>
    <t>NG01231972</t>
  </si>
  <si>
    <t>COROANGEL001</t>
  </si>
  <si>
    <t>4566211300541233</t>
  </si>
  <si>
    <t>NG01265537</t>
  </si>
  <si>
    <t>LOPEHENRM024</t>
  </si>
  <si>
    <t>4966646530040306</t>
  </si>
  <si>
    <t>NG01267906</t>
  </si>
  <si>
    <t>CHICJESSG000</t>
  </si>
  <si>
    <t>4966646528047305</t>
  </si>
  <si>
    <t>NG01269736</t>
  </si>
  <si>
    <t>SANCGLENR003</t>
  </si>
  <si>
    <t>4966646524118910</t>
  </si>
  <si>
    <t>NG01270604</t>
  </si>
  <si>
    <t>RUIZCARLE005</t>
  </si>
  <si>
    <t>4966646530040330</t>
  </si>
  <si>
    <t>NG01270996</t>
  </si>
  <si>
    <t>MAYOKIARM000</t>
  </si>
  <si>
    <t>4966646531082075</t>
  </si>
  <si>
    <t>NG01271048</t>
  </si>
  <si>
    <t>PEREMARI0026</t>
  </si>
  <si>
    <t>4966646530040322</t>
  </si>
  <si>
    <t>NG01271067</t>
  </si>
  <si>
    <t>DIAZLUVIA000</t>
  </si>
  <si>
    <t>4966646529034799</t>
  </si>
  <si>
    <t>NG01271123</t>
  </si>
  <si>
    <t>NORIGUSTA000</t>
  </si>
  <si>
    <t>4966646530038706</t>
  </si>
  <si>
    <t>NG01271321</t>
  </si>
  <si>
    <t>SOC NOLBM000</t>
  </si>
  <si>
    <t>4966646529035408</t>
  </si>
  <si>
    <t>NG01271325</t>
  </si>
  <si>
    <t>TURCVEROD000</t>
  </si>
  <si>
    <t>4966646531081424</t>
  </si>
  <si>
    <t>NG01271480</t>
  </si>
  <si>
    <t>CASTHECTR011</t>
  </si>
  <si>
    <t>4966646531082166</t>
  </si>
  <si>
    <t>NG01271532</t>
  </si>
  <si>
    <t>PENAANA B000</t>
  </si>
  <si>
    <t>4966646528049400</t>
  </si>
  <si>
    <t>NG01271711</t>
  </si>
  <si>
    <t>SANTHENRC003</t>
  </si>
  <si>
    <t>4966646526057702</t>
  </si>
  <si>
    <t>NG01271745</t>
  </si>
  <si>
    <t>PERESARAR015</t>
  </si>
  <si>
    <t>4966646529034302</t>
  </si>
  <si>
    <t>NG01271872</t>
  </si>
  <si>
    <t>CHIGFEBEG002</t>
  </si>
  <si>
    <t>4966646530038698</t>
  </si>
  <si>
    <t>NG01271894</t>
  </si>
  <si>
    <t>CARREMERP000</t>
  </si>
  <si>
    <t>4966646531081978</t>
  </si>
  <si>
    <t>NG01272037</t>
  </si>
  <si>
    <t>VEGAMONIL000</t>
  </si>
  <si>
    <t>4966646531081440</t>
  </si>
  <si>
    <t>NG01272055</t>
  </si>
  <si>
    <t>SANDNOE T000</t>
  </si>
  <si>
    <t>4966646531081960</t>
  </si>
  <si>
    <t>NG01272228</t>
  </si>
  <si>
    <t>BATEPATRS000</t>
  </si>
  <si>
    <t>4966646530040314</t>
  </si>
  <si>
    <t>NG01272428</t>
  </si>
  <si>
    <t>HERRMADEJ000</t>
  </si>
  <si>
    <t>4966646531081952</t>
  </si>
  <si>
    <t>1-FRWG5R3</t>
  </si>
  <si>
    <t>ESCOSILVS005</t>
  </si>
  <si>
    <t>8011086200145927</t>
  </si>
  <si>
    <t>4966646525257170</t>
  </si>
  <si>
    <t>NG01250248</t>
  </si>
  <si>
    <t>LOPEMARIR295</t>
  </si>
  <si>
    <t>4966646530040272</t>
  </si>
  <si>
    <t>NG01252321</t>
  </si>
  <si>
    <t>CASTLESLA005</t>
  </si>
  <si>
    <t>4966646526057694</t>
  </si>
  <si>
    <t>NG01265679</t>
  </si>
  <si>
    <t>FONSPABLZ000</t>
  </si>
  <si>
    <t>4966646529034294</t>
  </si>
  <si>
    <t>NG01272330</t>
  </si>
  <si>
    <t>GONZMELVS005</t>
  </si>
  <si>
    <t>4966646526057520</t>
  </si>
  <si>
    <t>NG01272607</t>
  </si>
  <si>
    <t>MAZABERN 000</t>
  </si>
  <si>
    <t>4966646531081945</t>
  </si>
  <si>
    <t>NG01272613</t>
  </si>
  <si>
    <t>ISMAERIKC000</t>
  </si>
  <si>
    <t>4966646530040298</t>
  </si>
  <si>
    <t>NG01272614</t>
  </si>
  <si>
    <t>OSORANA S000</t>
  </si>
  <si>
    <t>4966646529034773</t>
  </si>
  <si>
    <t>NG01272622</t>
  </si>
  <si>
    <t>TIJEELISG000</t>
  </si>
  <si>
    <t>4966646530038854</t>
  </si>
  <si>
    <t>NG01272686</t>
  </si>
  <si>
    <t>ALVADAVIP007</t>
  </si>
  <si>
    <t>4966646530038680</t>
  </si>
  <si>
    <t>NG01272744</t>
  </si>
  <si>
    <t>BARRBRADM000</t>
  </si>
  <si>
    <t>4966646530039076</t>
  </si>
  <si>
    <t>NG01272747</t>
  </si>
  <si>
    <t>MUÑORUTHB001</t>
  </si>
  <si>
    <t>4966646530038672</t>
  </si>
  <si>
    <t>NG01272758</t>
  </si>
  <si>
    <t>VASQYANIS000</t>
  </si>
  <si>
    <t>4966646531081937</t>
  </si>
  <si>
    <t>NG01272787</t>
  </si>
  <si>
    <t>ANDRMARIA021</t>
  </si>
  <si>
    <t>4966646530040280</t>
  </si>
  <si>
    <t>NG01272800</t>
  </si>
  <si>
    <t>HERNIZABE000</t>
  </si>
  <si>
    <t>4966646529034492</t>
  </si>
  <si>
    <t>NG01273015</t>
  </si>
  <si>
    <t>SUY VILML000</t>
  </si>
  <si>
    <t>4966646529031654</t>
  </si>
  <si>
    <t>NG01273021</t>
  </si>
  <si>
    <t>ACEIJAQUG000</t>
  </si>
  <si>
    <t>4966646529035390</t>
  </si>
  <si>
    <t>NG01273040</t>
  </si>
  <si>
    <t>PERECARM 009</t>
  </si>
  <si>
    <t>4966646531081929</t>
  </si>
  <si>
    <t>NG01273076</t>
  </si>
  <si>
    <t>HERRMARIL017</t>
  </si>
  <si>
    <t>4966646528047313</t>
  </si>
  <si>
    <t>NG01273296</t>
  </si>
  <si>
    <t>GARCCARLH033</t>
  </si>
  <si>
    <t>4966646531081911</t>
  </si>
  <si>
    <t>NG01273302</t>
  </si>
  <si>
    <t>MARRALICY000</t>
  </si>
  <si>
    <t>4966646531081903</t>
  </si>
  <si>
    <t>NG01273303</t>
  </si>
  <si>
    <t>GARCDIANW000</t>
  </si>
  <si>
    <t>4966646529034500</t>
  </si>
  <si>
    <t>NG01273324</t>
  </si>
  <si>
    <t>VILLKARL 001</t>
  </si>
  <si>
    <t>8011086200145901</t>
  </si>
  <si>
    <t>4966646523148074</t>
  </si>
  <si>
    <t>NG01273330</t>
  </si>
  <si>
    <t>MUÑOFREDR000</t>
  </si>
  <si>
    <t>4966646531082174</t>
  </si>
  <si>
    <t>NG01273369</t>
  </si>
  <si>
    <t>GONZLILIB005</t>
  </si>
  <si>
    <t>4966646527035632</t>
  </si>
  <si>
    <t>NG01273372</t>
  </si>
  <si>
    <t>ABAROVIDR002</t>
  </si>
  <si>
    <t>8011086200145893</t>
  </si>
  <si>
    <t>4966646527038933</t>
  </si>
  <si>
    <t>NG01273409</t>
  </si>
  <si>
    <t>RAMIANDRP003</t>
  </si>
  <si>
    <t>4966646528049087</t>
  </si>
  <si>
    <t>NG01273419</t>
  </si>
  <si>
    <t>FRANBYROP001</t>
  </si>
  <si>
    <t>4966646527035624</t>
  </si>
  <si>
    <t>NG01273445</t>
  </si>
  <si>
    <t>RODRHANNC000</t>
  </si>
  <si>
    <t>4966646530039431</t>
  </si>
  <si>
    <t>NG01273489</t>
  </si>
  <si>
    <t>MORAMARLM026</t>
  </si>
  <si>
    <t>4966646531079626</t>
  </si>
  <si>
    <t>NG01273496</t>
  </si>
  <si>
    <t>SANTJULIF004</t>
  </si>
  <si>
    <t>4966646530039423</t>
  </si>
  <si>
    <t>NG01273591</t>
  </si>
  <si>
    <t>TZUQSANDM000</t>
  </si>
  <si>
    <t>4966646531081895</t>
  </si>
  <si>
    <t>NG01273662</t>
  </si>
  <si>
    <t>SANDJAVIA000</t>
  </si>
  <si>
    <t>4966646530039415</t>
  </si>
  <si>
    <t>NG01273669</t>
  </si>
  <si>
    <t>SANTESTER007</t>
  </si>
  <si>
    <t>4966646530039407</t>
  </si>
  <si>
    <t>NG01273694</t>
  </si>
  <si>
    <t>MONTMILDC000</t>
  </si>
  <si>
    <t>8011086200144888</t>
  </si>
  <si>
    <t>NG01273701</t>
  </si>
  <si>
    <t>GARRCLAUB001</t>
  </si>
  <si>
    <t>8011086200144870</t>
  </si>
  <si>
    <t>4966646524119488</t>
  </si>
  <si>
    <t>NG01273702</t>
  </si>
  <si>
    <t>REYENOELD000</t>
  </si>
  <si>
    <t>4966646528049418</t>
  </si>
  <si>
    <t>NG01250312</t>
  </si>
  <si>
    <t>GOMEANDRA002</t>
  </si>
  <si>
    <t>4966646526057538</t>
  </si>
  <si>
    <t>NG01265848</t>
  </si>
  <si>
    <t>ROBACARLA001</t>
  </si>
  <si>
    <t>4966646531079618</t>
  </si>
  <si>
    <t>NG01273756</t>
  </si>
  <si>
    <t>SANTMARCS002</t>
  </si>
  <si>
    <t>4966646528050770</t>
  </si>
  <si>
    <t>NG01273760</t>
  </si>
  <si>
    <t>PARKJOSES000</t>
  </si>
  <si>
    <t>4966646529034229</t>
  </si>
  <si>
    <t>NG01273818</t>
  </si>
  <si>
    <t>CHAVJOSEF001</t>
  </si>
  <si>
    <t>4966646530039399</t>
  </si>
  <si>
    <t>NG01273819</t>
  </si>
  <si>
    <t>ALEMMARIM000</t>
  </si>
  <si>
    <t>4966646530039001</t>
  </si>
  <si>
    <t>NG01273828</t>
  </si>
  <si>
    <t>FAILANDRA001</t>
  </si>
  <si>
    <t>4966646528047321</t>
  </si>
  <si>
    <t>NG01273906</t>
  </si>
  <si>
    <t>SANTRAFAG006</t>
  </si>
  <si>
    <t>4966646530039381</t>
  </si>
  <si>
    <t>NG01273926</t>
  </si>
  <si>
    <t>GONZSILVL021</t>
  </si>
  <si>
    <t>4966646531081887</t>
  </si>
  <si>
    <t>NG01273953</t>
  </si>
  <si>
    <t>ORELBRENJ001</t>
  </si>
  <si>
    <t>8011086200144862</t>
  </si>
  <si>
    <t>4966646524120031</t>
  </si>
  <si>
    <t>NG01274001</t>
  </si>
  <si>
    <t>ROSAAMALR000</t>
  </si>
  <si>
    <t>4966646529034237</t>
  </si>
  <si>
    <t>NG01274051</t>
  </si>
  <si>
    <t>OROZFRANH004</t>
  </si>
  <si>
    <t>4966646528050762</t>
  </si>
  <si>
    <t>NG01274060</t>
  </si>
  <si>
    <t>MARIANA D000</t>
  </si>
  <si>
    <t>4966646531083537</t>
  </si>
  <si>
    <t>NG01274105</t>
  </si>
  <si>
    <t>DE LCARLC000</t>
  </si>
  <si>
    <t>4966646531083545</t>
  </si>
  <si>
    <t>NG01274122</t>
  </si>
  <si>
    <t>PAZ MARYO001</t>
  </si>
  <si>
    <t>4966646531081770</t>
  </si>
  <si>
    <t>NG01274134</t>
  </si>
  <si>
    <t>MORAKATHA013</t>
  </si>
  <si>
    <t>8011086200144854</t>
  </si>
  <si>
    <t>4966646524119611</t>
  </si>
  <si>
    <t>NG01274141</t>
  </si>
  <si>
    <t>MONZDEBBC000</t>
  </si>
  <si>
    <t>4966646531082182</t>
  </si>
  <si>
    <t>NG01274142</t>
  </si>
  <si>
    <t>RODREDILR000</t>
  </si>
  <si>
    <t>4966646531083552</t>
  </si>
  <si>
    <t>NG01274169</t>
  </si>
  <si>
    <t>AVILGUILP001</t>
  </si>
  <si>
    <t>8011086200144847</t>
  </si>
  <si>
    <t>5439558401140477</t>
  </si>
  <si>
    <t>NG01274230</t>
  </si>
  <si>
    <t>REYEKARES006</t>
  </si>
  <si>
    <t>4966646530039373</t>
  </si>
  <si>
    <t>NG01274243</t>
  </si>
  <si>
    <t>GONZMISHS000</t>
  </si>
  <si>
    <t>4966646529034518</t>
  </si>
  <si>
    <t>NG01274256</t>
  </si>
  <si>
    <t>VASQLAURQ001</t>
  </si>
  <si>
    <t>4966646531083560</t>
  </si>
  <si>
    <t>NG01274263</t>
  </si>
  <si>
    <t>DE LLOIDD000</t>
  </si>
  <si>
    <t>4966646528047339</t>
  </si>
  <si>
    <t>NG01274266</t>
  </si>
  <si>
    <t>BARIERICH003</t>
  </si>
  <si>
    <t>8011086200144839</t>
  </si>
  <si>
    <t>4966646528052925</t>
  </si>
  <si>
    <t>NG01274319</t>
  </si>
  <si>
    <t>OSEGHUGOR000</t>
  </si>
  <si>
    <t>8011086200144821</t>
  </si>
  <si>
    <t>4966646524119470</t>
  </si>
  <si>
    <t>NG01274369</t>
  </si>
  <si>
    <t>MARQJENNF000</t>
  </si>
  <si>
    <t>4966646530039761</t>
  </si>
  <si>
    <t>NG01274413</t>
  </si>
  <si>
    <t>CHAJMARIB000</t>
  </si>
  <si>
    <t>4966646528047347</t>
  </si>
  <si>
    <t>NG01274417</t>
  </si>
  <si>
    <t>MENCANA V000</t>
  </si>
  <si>
    <t>4966646530039365</t>
  </si>
  <si>
    <t>NG01274513</t>
  </si>
  <si>
    <t>MARTLUISL031</t>
  </si>
  <si>
    <t>4966646531081788</t>
  </si>
  <si>
    <t>NG01274534</t>
  </si>
  <si>
    <t>AJANJOSEA002</t>
  </si>
  <si>
    <t>4966646530039746</t>
  </si>
  <si>
    <t>NG01274548</t>
  </si>
  <si>
    <t>CHILMARIM004</t>
  </si>
  <si>
    <t>4966646530038177</t>
  </si>
  <si>
    <t>NG01274632</t>
  </si>
  <si>
    <t>ORELCELSG000</t>
  </si>
  <si>
    <t>4966646530039753</t>
  </si>
  <si>
    <t>1-FSJZM67</t>
  </si>
  <si>
    <t>LOPEANA00030</t>
  </si>
  <si>
    <t>8011086202104823</t>
  </si>
  <si>
    <t>035-Devolución/Pendiente</t>
  </si>
  <si>
    <t>NG01263756</t>
  </si>
  <si>
    <t>HERNHEYDG003</t>
  </si>
  <si>
    <t>4966646530039084</t>
  </si>
  <si>
    <t>NG01267047</t>
  </si>
  <si>
    <t>LOPEIDELL000</t>
  </si>
  <si>
    <t>4966646530039738</t>
  </si>
  <si>
    <t>NG01269326</t>
  </si>
  <si>
    <t>REYEYAQUE001</t>
  </si>
  <si>
    <t>4966641101512262</t>
  </si>
  <si>
    <t>NG01269332</t>
  </si>
  <si>
    <t>SARCCYNTC000</t>
  </si>
  <si>
    <t>4566211100624312</t>
  </si>
  <si>
    <t>NG01271612</t>
  </si>
  <si>
    <t>CUCUCRIS 000</t>
  </si>
  <si>
    <t>4566211100624189</t>
  </si>
  <si>
    <t>NG01272541</t>
  </si>
  <si>
    <t>BRACHECTP001</t>
  </si>
  <si>
    <t>4566211100624148</t>
  </si>
  <si>
    <t>NG01273248</t>
  </si>
  <si>
    <t>LOPEGLADA017</t>
  </si>
  <si>
    <t>4566211100624114</t>
  </si>
  <si>
    <t>NG01273691</t>
  </si>
  <si>
    <t>LOPETANIF000</t>
  </si>
  <si>
    <t>4966646523147720</t>
  </si>
  <si>
    <t>NG01273878</t>
  </si>
  <si>
    <t>RAMIOTTOC002</t>
  </si>
  <si>
    <t>4966646525256966</t>
  </si>
  <si>
    <t>NG01273941</t>
  </si>
  <si>
    <t>ESPIANA D002</t>
  </si>
  <si>
    <t>4966646524118993</t>
  </si>
  <si>
    <t>NG01274039</t>
  </si>
  <si>
    <t>CORDCHRIC001</t>
  </si>
  <si>
    <t>5439551821006477</t>
  </si>
  <si>
    <t>NG01274570</t>
  </si>
  <si>
    <t>OSORDIANE075</t>
  </si>
  <si>
    <t>4966646530039720</t>
  </si>
  <si>
    <t>NG01275218</t>
  </si>
  <si>
    <t>RODRJOSEH029</t>
  </si>
  <si>
    <t>4966646531083578</t>
  </si>
  <si>
    <t>NG01275384</t>
  </si>
  <si>
    <t>PACHLESLM000</t>
  </si>
  <si>
    <t>4966646530038847</t>
  </si>
  <si>
    <t>NG01275698</t>
  </si>
  <si>
    <t>DONITOMAA000</t>
  </si>
  <si>
    <t>4966641101512346</t>
  </si>
  <si>
    <t>NG01275837</t>
  </si>
  <si>
    <t>ESPAHECTE000</t>
  </si>
  <si>
    <t>4966646524119025</t>
  </si>
  <si>
    <t>NG01276022</t>
  </si>
  <si>
    <t>GIROMERES000</t>
  </si>
  <si>
    <t>4966646528047354</t>
  </si>
  <si>
    <t>NG01276067</t>
  </si>
  <si>
    <t>MADRMARIB001</t>
  </si>
  <si>
    <t>4966646528047362</t>
  </si>
  <si>
    <t>NG01276821</t>
  </si>
  <si>
    <t>RUIZANA E001</t>
  </si>
  <si>
    <t>4966646531079600</t>
  </si>
  <si>
    <t>NG01276882</t>
  </si>
  <si>
    <t>VALIMARCL001</t>
  </si>
  <si>
    <t>4966646530038839</t>
  </si>
  <si>
    <t>NG01277215</t>
  </si>
  <si>
    <t>ORTEJORGR003</t>
  </si>
  <si>
    <t>4966646526057686</t>
  </si>
  <si>
    <t>NG01277220</t>
  </si>
  <si>
    <t>CIFUDANIF004</t>
  </si>
  <si>
    <t>4966646530040264</t>
  </si>
  <si>
    <t>wa1ah8</t>
  </si>
  <si>
    <t>4966646525256974</t>
  </si>
  <si>
    <t>NG01265834</t>
  </si>
  <si>
    <t>PEREISIDS001</t>
  </si>
  <si>
    <t>4966646531081838</t>
  </si>
  <si>
    <t>NG01272633</t>
  </si>
  <si>
    <t>ROSASARAS002</t>
  </si>
  <si>
    <t>4966646529034526</t>
  </si>
  <si>
    <t>NG01272841</t>
  </si>
  <si>
    <t>PERAEVELM000</t>
  </si>
  <si>
    <t>4966646529031639</t>
  </si>
  <si>
    <t>NG01274650</t>
  </si>
  <si>
    <t>CORDLONDB000</t>
  </si>
  <si>
    <t>4966646524119058</t>
  </si>
  <si>
    <t>NG01276937</t>
  </si>
  <si>
    <t>MURGDAVIS000</t>
  </si>
  <si>
    <t>4966646523147761</t>
  </si>
  <si>
    <t>NG01277076</t>
  </si>
  <si>
    <t>MORAEVERH003</t>
  </si>
  <si>
    <t>4966641101512619</t>
  </si>
  <si>
    <t>NG01277984</t>
  </si>
  <si>
    <t>RAMOJESSG003</t>
  </si>
  <si>
    <t>4966646528050754</t>
  </si>
  <si>
    <t>NG01277999</t>
  </si>
  <si>
    <t>AYALLUZ G000</t>
  </si>
  <si>
    <t>4966646529031621</t>
  </si>
  <si>
    <t>NG01278163</t>
  </si>
  <si>
    <t>SOLAMIGUB000</t>
  </si>
  <si>
    <t>4966646530040256</t>
  </si>
  <si>
    <t>NG01278394</t>
  </si>
  <si>
    <t>ROSABRENM006</t>
  </si>
  <si>
    <t>4966646529031647</t>
  </si>
  <si>
    <t>NG01278837</t>
  </si>
  <si>
    <t>LOPEJORGM150</t>
  </si>
  <si>
    <t>4966646531082190</t>
  </si>
  <si>
    <t>NG01278873</t>
  </si>
  <si>
    <t>RAFALAURM000</t>
  </si>
  <si>
    <t>4966646531081820</t>
  </si>
  <si>
    <t>NG01279223</t>
  </si>
  <si>
    <t>MAZADORAS000</t>
  </si>
  <si>
    <t>4966646526057546</t>
  </si>
  <si>
    <t>NG01279341</t>
  </si>
  <si>
    <t>COLOEUGEL000</t>
  </si>
  <si>
    <t>4966646531083586</t>
  </si>
  <si>
    <t>NG01279398</t>
  </si>
  <si>
    <t>DIGHBENNR000</t>
  </si>
  <si>
    <t>4966646531083594</t>
  </si>
  <si>
    <t>NG01279420</t>
  </si>
  <si>
    <t>GODIGERAA000</t>
  </si>
  <si>
    <t>4966646529034781</t>
  </si>
  <si>
    <t>NG01279497</t>
  </si>
  <si>
    <t>ESTRISELE000</t>
  </si>
  <si>
    <t>4966646530040249</t>
  </si>
  <si>
    <t>NG01261001</t>
  </si>
  <si>
    <t>MALDNIDIM000</t>
  </si>
  <si>
    <t>4966641101512809</t>
  </si>
  <si>
    <t>NG01267299</t>
  </si>
  <si>
    <t>SANTROCAP000</t>
  </si>
  <si>
    <t>4966646529034807</t>
  </si>
  <si>
    <t>NG01274629</t>
  </si>
  <si>
    <t>CANTBRIAS000</t>
  </si>
  <si>
    <t>3777211101171195</t>
  </si>
  <si>
    <t>NG01276136</t>
  </si>
  <si>
    <t>CHUBREGIT000</t>
  </si>
  <si>
    <t>3777219215003147</t>
  </si>
  <si>
    <t>NG01281075</t>
  </si>
  <si>
    <t>DOMIMARCS002</t>
  </si>
  <si>
    <t>4966646527036481</t>
  </si>
  <si>
    <t>NG01281188</t>
  </si>
  <si>
    <t>QUEZNORME002</t>
  </si>
  <si>
    <t>4966646531081358</t>
  </si>
  <si>
    <t>NG01281315</t>
  </si>
  <si>
    <t>AGUIROSSS000</t>
  </si>
  <si>
    <t>4966646531083602</t>
  </si>
  <si>
    <t>NG01281765</t>
  </si>
  <si>
    <t>MENDGABRR006</t>
  </si>
  <si>
    <t>4966646528050747</t>
  </si>
  <si>
    <t>wa1g36</t>
  </si>
  <si>
    <t>4518771102589960</t>
  </si>
  <si>
    <t>NG01263734</t>
  </si>
  <si>
    <t>HERNJOSUO005</t>
  </si>
  <si>
    <t>4966646529034757</t>
  </si>
  <si>
    <t>NG01279461</t>
  </si>
  <si>
    <t>VALDCLAUL002</t>
  </si>
  <si>
    <t>4566211300542785</t>
  </si>
  <si>
    <t>NG01280975</t>
  </si>
  <si>
    <t>PEREMELVG014</t>
  </si>
  <si>
    <t>4566211100625202</t>
  </si>
  <si>
    <t>NG01281799</t>
  </si>
  <si>
    <t>GARCGABRN002</t>
  </si>
  <si>
    <t>4966646530038169</t>
  </si>
  <si>
    <t>NG01282481</t>
  </si>
  <si>
    <t>MACAESTEQ000</t>
  </si>
  <si>
    <t>4966646529034245</t>
  </si>
  <si>
    <t>NG01283144</t>
  </si>
  <si>
    <t>ALONJORG 002</t>
  </si>
  <si>
    <t>4966646531083610</t>
  </si>
  <si>
    <t>NG01283629</t>
  </si>
  <si>
    <t>SANDROBEG005</t>
  </si>
  <si>
    <t>4966646531081473</t>
  </si>
  <si>
    <t>NG01283982</t>
  </si>
  <si>
    <t>ORTIJHERS000</t>
  </si>
  <si>
    <t>4966646529034252</t>
  </si>
  <si>
    <t>NG01284055</t>
  </si>
  <si>
    <t>ANDRJUNIY000</t>
  </si>
  <si>
    <t>4966646531081507</t>
  </si>
  <si>
    <t>NG01284065</t>
  </si>
  <si>
    <t>LOPEESLYP000</t>
  </si>
  <si>
    <t>4966646530040231</t>
  </si>
  <si>
    <t>NG01284324</t>
  </si>
  <si>
    <t>AVALJOSEF000</t>
  </si>
  <si>
    <t>4966646529032835</t>
  </si>
  <si>
    <t>NG01284353</t>
  </si>
  <si>
    <t>VELAJOSET010</t>
  </si>
  <si>
    <t>4966646528051117</t>
  </si>
  <si>
    <t>NG01284405</t>
  </si>
  <si>
    <t>CHUYMARIP002</t>
  </si>
  <si>
    <t>4966646530038151</t>
  </si>
  <si>
    <t>NG01284435</t>
  </si>
  <si>
    <t>GARCEVELG036</t>
  </si>
  <si>
    <t>4966646528051109</t>
  </si>
  <si>
    <t>NG01284469</t>
  </si>
  <si>
    <t>GIROOBEDC000</t>
  </si>
  <si>
    <t>4966646531081812</t>
  </si>
  <si>
    <t>NG01284470</t>
  </si>
  <si>
    <t>AZUREVELC000</t>
  </si>
  <si>
    <t>4966646531083628</t>
  </si>
  <si>
    <t>NG01226264</t>
  </si>
  <si>
    <t>SAGANELSA001</t>
  </si>
  <si>
    <t>4966646525257253</t>
  </si>
  <si>
    <t>NG01273725</t>
  </si>
  <si>
    <t>AJUCCESAC001</t>
  </si>
  <si>
    <t>4966646525257295</t>
  </si>
  <si>
    <t>NG01274712</t>
  </si>
  <si>
    <t>JUARKATHV000</t>
  </si>
  <si>
    <t>4966646523147936</t>
  </si>
  <si>
    <t>NG01285312</t>
  </si>
  <si>
    <t>ZACADINOR003</t>
  </si>
  <si>
    <t>4966646531083636</t>
  </si>
  <si>
    <t>NG01285460</t>
  </si>
  <si>
    <t>DE PNORMF000</t>
  </si>
  <si>
    <t>4966646527036499</t>
  </si>
  <si>
    <t>NG01285566</t>
  </si>
  <si>
    <t>PERENORMP012</t>
  </si>
  <si>
    <t>4966646529034765</t>
  </si>
  <si>
    <t>NG01285573</t>
  </si>
  <si>
    <t>GUTIHECTT001</t>
  </si>
  <si>
    <t>4966646531083644</t>
  </si>
  <si>
    <t>NG01285674</t>
  </si>
  <si>
    <t>PEREKIMBL001</t>
  </si>
  <si>
    <t>8011086200143740</t>
  </si>
  <si>
    <t>4966646523148041</t>
  </si>
  <si>
    <t>NG01285774</t>
  </si>
  <si>
    <t>ARANGUILA000</t>
  </si>
  <si>
    <t>4966646530040223</t>
  </si>
  <si>
    <t>NG01285823</t>
  </si>
  <si>
    <t>GARCLUISO042</t>
  </si>
  <si>
    <t>4966646530038953</t>
  </si>
  <si>
    <t>NG01285916</t>
  </si>
  <si>
    <t>MARTSHIRA000</t>
  </si>
  <si>
    <t>4966646529034740</t>
  </si>
  <si>
    <t>NG01283556</t>
  </si>
  <si>
    <t>FORTANA V000</t>
  </si>
  <si>
    <t>4966646530040017</t>
  </si>
  <si>
    <t>NG01285770</t>
  </si>
  <si>
    <t>TORRGABRM002</t>
  </si>
  <si>
    <t>4966641101513336</t>
  </si>
  <si>
    <t>NG01286835</t>
  </si>
  <si>
    <t>SOTOANA O001</t>
  </si>
  <si>
    <t>4966646531082208</t>
  </si>
  <si>
    <t>NG01286849</t>
  </si>
  <si>
    <t>QUEVCANDQ000</t>
  </si>
  <si>
    <t>4966646530038821</t>
  </si>
  <si>
    <t>NG01286855</t>
  </si>
  <si>
    <t>FLORJOSEB005</t>
  </si>
  <si>
    <t>4966646527036762</t>
  </si>
  <si>
    <t>NG01286925</t>
  </si>
  <si>
    <t>HUINELENJ000</t>
  </si>
  <si>
    <t>4966646527036507</t>
  </si>
  <si>
    <t>NG01287135</t>
  </si>
  <si>
    <t>SANTVILMD003</t>
  </si>
  <si>
    <t>4966646527035616</t>
  </si>
  <si>
    <t>NG01287143</t>
  </si>
  <si>
    <t>BARRGABRP003</t>
  </si>
  <si>
    <t>4966646530038144</t>
  </si>
  <si>
    <t>NG01287197</t>
  </si>
  <si>
    <t>ACEVJORGR002</t>
  </si>
  <si>
    <t>4966646528050739</t>
  </si>
  <si>
    <t>NG01287230</t>
  </si>
  <si>
    <t>NERIJONAA000</t>
  </si>
  <si>
    <t>4966646529034534</t>
  </si>
  <si>
    <t>NG01287249</t>
  </si>
  <si>
    <t>RIVEWILMS001</t>
  </si>
  <si>
    <t>4966646528051091</t>
  </si>
  <si>
    <t>NG01287376</t>
  </si>
  <si>
    <t>FIGURODMH000</t>
  </si>
  <si>
    <t>4966646528047370</t>
  </si>
  <si>
    <t>NG01287398</t>
  </si>
  <si>
    <t>ALVAOSCAC015</t>
  </si>
  <si>
    <t>4966646526061340</t>
  </si>
  <si>
    <t>NG01287399</t>
  </si>
  <si>
    <t>RUIZLUISS058</t>
  </si>
  <si>
    <t>4966646530039134</t>
  </si>
  <si>
    <t>NG01287408</t>
  </si>
  <si>
    <t>ARREMARIM012</t>
  </si>
  <si>
    <t>4966646531082216</t>
  </si>
  <si>
    <t>NG01287445</t>
  </si>
  <si>
    <t>NAVADONNC000</t>
  </si>
  <si>
    <t>4966646530038870</t>
  </si>
  <si>
    <t>NG01287460</t>
  </si>
  <si>
    <t>ANTOJAIRH000</t>
  </si>
  <si>
    <t>4966646531081804</t>
  </si>
  <si>
    <t>NG01287494</t>
  </si>
  <si>
    <t>CHENSONIX000</t>
  </si>
  <si>
    <t>4966646530039092</t>
  </si>
  <si>
    <t>NG01287505</t>
  </si>
  <si>
    <t>CABRKAREZ000</t>
  </si>
  <si>
    <t>4966646531081796</t>
  </si>
  <si>
    <t>NG01287549</t>
  </si>
  <si>
    <t>CASAFREDR000</t>
  </si>
  <si>
    <t>4966646529034732</t>
  </si>
  <si>
    <t>NG01287592</t>
  </si>
  <si>
    <t>NEGRSONIL000</t>
  </si>
  <si>
    <t>4966646528051083</t>
  </si>
  <si>
    <t>NG01287650</t>
  </si>
  <si>
    <t>PAIZRAULR000</t>
  </si>
  <si>
    <t>4966646529034260</t>
  </si>
  <si>
    <t>NG01287668</t>
  </si>
  <si>
    <t>BAILSAMAR000</t>
  </si>
  <si>
    <t>4966646530040009</t>
  </si>
  <si>
    <t>NG01287701</t>
  </si>
  <si>
    <t>CALDWALTC000</t>
  </si>
  <si>
    <t>4966646528051232</t>
  </si>
  <si>
    <t>NG01287717</t>
  </si>
  <si>
    <t>CASTEMILR005</t>
  </si>
  <si>
    <t>4966646529034542</t>
  </si>
  <si>
    <t>NG01287778</t>
  </si>
  <si>
    <t>MONTANDRC010</t>
  </si>
  <si>
    <t>4966646531081499</t>
  </si>
  <si>
    <t>NG01287783</t>
  </si>
  <si>
    <t>MANZANGIP000</t>
  </si>
  <si>
    <t>4966646530039993</t>
  </si>
  <si>
    <t>NG01287870</t>
  </si>
  <si>
    <t>DE LFELIM005</t>
  </si>
  <si>
    <t>4966646531081556</t>
  </si>
  <si>
    <t>NG01287888</t>
  </si>
  <si>
    <t>LUX0MANUS003</t>
  </si>
  <si>
    <t>4966646527035608</t>
  </si>
  <si>
    <t>NG01272395</t>
  </si>
  <si>
    <t>GONZELSAG009</t>
  </si>
  <si>
    <t>4966646527036770</t>
  </si>
  <si>
    <t>NG01287638</t>
  </si>
  <si>
    <t>RIVELESLL007</t>
  </si>
  <si>
    <t>4966646531081432</t>
  </si>
  <si>
    <t>NG01287966</t>
  </si>
  <si>
    <t>VIELLUISD001</t>
  </si>
  <si>
    <t>4966646531083651</t>
  </si>
  <si>
    <t>NG01288016</t>
  </si>
  <si>
    <t>ROSAHILDS002</t>
  </si>
  <si>
    <t>4966646530038136</t>
  </si>
  <si>
    <t>NG01288058</t>
  </si>
  <si>
    <t>IXCOLUCAP000</t>
  </si>
  <si>
    <t>4966646528047388</t>
  </si>
  <si>
    <t>NG01288108</t>
  </si>
  <si>
    <t>FLORFERNS003</t>
  </si>
  <si>
    <t>4966646527035590</t>
  </si>
  <si>
    <t>NG01288136</t>
  </si>
  <si>
    <t>SILVLUISL000</t>
  </si>
  <si>
    <t>4966646531081457</t>
  </si>
  <si>
    <t>NG01288158</t>
  </si>
  <si>
    <t>GIL CESAY000</t>
  </si>
  <si>
    <t>4966646531083669</t>
  </si>
  <si>
    <t>NG01288182</t>
  </si>
  <si>
    <t>BARRJOSEA032</t>
  </si>
  <si>
    <t>4966646528050721</t>
  </si>
  <si>
    <t>NG01288214</t>
  </si>
  <si>
    <t>VELIVIVIM003</t>
  </si>
  <si>
    <t>4966646531082224</t>
  </si>
  <si>
    <t>NG01288274</t>
  </si>
  <si>
    <t>ARRIYADIM000</t>
  </si>
  <si>
    <t>4966646531082232</t>
  </si>
  <si>
    <t>NG01288283</t>
  </si>
  <si>
    <t>ANGELUISO000</t>
  </si>
  <si>
    <t>4966646530039126</t>
  </si>
  <si>
    <t>NG01288287</t>
  </si>
  <si>
    <t>ESTRELVIT000</t>
  </si>
  <si>
    <t>4966646530039985</t>
  </si>
  <si>
    <t>NG01288305</t>
  </si>
  <si>
    <t>VILLJOVIJ000</t>
  </si>
  <si>
    <t>4966646531083677</t>
  </si>
  <si>
    <t>NG01288381</t>
  </si>
  <si>
    <t>GRAMVERIH001</t>
  </si>
  <si>
    <t>4966646531081481</t>
  </si>
  <si>
    <t>NG01288497</t>
  </si>
  <si>
    <t>LEMUMARIL010</t>
  </si>
  <si>
    <t>4966646528050713</t>
  </si>
  <si>
    <t>NG01288510</t>
  </si>
  <si>
    <t>TOJEERVIR000</t>
  </si>
  <si>
    <t>4966646529031613</t>
  </si>
  <si>
    <t>NG01288549</t>
  </si>
  <si>
    <t>QUIÑIRAIB000</t>
  </si>
  <si>
    <t>4966646531083370</t>
  </si>
  <si>
    <t>NG01288568</t>
  </si>
  <si>
    <t>TZOCFRANV000</t>
  </si>
  <si>
    <t>4966646530039100</t>
  </si>
  <si>
    <t>NG01288625</t>
  </si>
  <si>
    <t>REYEALICP001</t>
  </si>
  <si>
    <t>4966646530039977</t>
  </si>
  <si>
    <t>NG01288640</t>
  </si>
  <si>
    <t>SANTYESSP001</t>
  </si>
  <si>
    <t>4966646531083305</t>
  </si>
  <si>
    <t>NG01288652</t>
  </si>
  <si>
    <t>GOMELUDVA000</t>
  </si>
  <si>
    <t>4966646528051240</t>
  </si>
  <si>
    <t>NG01288710</t>
  </si>
  <si>
    <t>CRUZCARLR012</t>
  </si>
  <si>
    <t>4966646531082240</t>
  </si>
  <si>
    <t>NG01288872</t>
  </si>
  <si>
    <t>LOPERUBES004</t>
  </si>
  <si>
    <t>4966646528050705</t>
  </si>
  <si>
    <t>NG01288886</t>
  </si>
  <si>
    <t>ORELDANIG001</t>
  </si>
  <si>
    <t>4966646531083255</t>
  </si>
  <si>
    <t>NG01265801</t>
  </si>
  <si>
    <t>VALDALIDM000</t>
  </si>
  <si>
    <t>4966646530040207</t>
  </si>
  <si>
    <t>NG01284032</t>
  </si>
  <si>
    <t>QUANCYNTG000</t>
  </si>
  <si>
    <t>4566211300543403</t>
  </si>
  <si>
    <t>NG01285216</t>
  </si>
  <si>
    <t>PARRLUISP000</t>
  </si>
  <si>
    <t>4966646530040157</t>
  </si>
  <si>
    <t>NG01286285</t>
  </si>
  <si>
    <t>TORRKHRID000</t>
  </si>
  <si>
    <t>4966646524119298</t>
  </si>
  <si>
    <t>NG01286501</t>
  </si>
  <si>
    <t>ORDOANTOS001</t>
  </si>
  <si>
    <t>4566211100625715</t>
  </si>
  <si>
    <t>NG01286563</t>
  </si>
  <si>
    <t>HERNHECTS024</t>
  </si>
  <si>
    <t>4966646524119306</t>
  </si>
  <si>
    <t>NG01287000</t>
  </si>
  <si>
    <t>CAMPCARMA002</t>
  </si>
  <si>
    <t>4966646524119348</t>
  </si>
  <si>
    <t>NG01287847</t>
  </si>
  <si>
    <t>VASQESTUG003</t>
  </si>
  <si>
    <t>4966646523148009</t>
  </si>
  <si>
    <t>NG01287854</t>
  </si>
  <si>
    <t>ESCOSHEIC001</t>
  </si>
  <si>
    <t>4966646525257444</t>
  </si>
  <si>
    <t>NG01288808</t>
  </si>
  <si>
    <t>VASQNERER000</t>
  </si>
  <si>
    <t>5303302300323659</t>
  </si>
  <si>
    <t>NG01289535</t>
  </si>
  <si>
    <t>BARIEVELB002</t>
  </si>
  <si>
    <t>4966646531081465</t>
  </si>
  <si>
    <t>NG01289586</t>
  </si>
  <si>
    <t>VELAEDY0A000</t>
  </si>
  <si>
    <t>4966646531081713</t>
  </si>
  <si>
    <t>NG01289589</t>
  </si>
  <si>
    <t>MONROSCAP003</t>
  </si>
  <si>
    <t>4966646528050879</t>
  </si>
  <si>
    <t>NG01289653</t>
  </si>
  <si>
    <t>DAVIHERBS000</t>
  </si>
  <si>
    <t>4966646530039142</t>
  </si>
  <si>
    <t>NG01289668</t>
  </si>
  <si>
    <t>POROEDWIJ000</t>
  </si>
  <si>
    <t>4966646531083248</t>
  </si>
  <si>
    <t>NG01289890</t>
  </si>
  <si>
    <t>ALVAOLGAH003</t>
  </si>
  <si>
    <t>4966646529034278</t>
  </si>
  <si>
    <t>NG01289982</t>
  </si>
  <si>
    <t>AGUIRUTHB005</t>
  </si>
  <si>
    <t>4966646531082620</t>
  </si>
  <si>
    <t>NG01290090</t>
  </si>
  <si>
    <t>MORAJORGM056</t>
  </si>
  <si>
    <t>4966646530039118</t>
  </si>
  <si>
    <t>NG01290143</t>
  </si>
  <si>
    <t>GARCEVELR017</t>
  </si>
  <si>
    <t>4966646531081705</t>
  </si>
  <si>
    <t>NG01290508</t>
  </si>
  <si>
    <t>MURALEST0001</t>
  </si>
  <si>
    <t>4966646530039951</t>
  </si>
  <si>
    <t>NG01290549</t>
  </si>
  <si>
    <t>PANIWALTC003</t>
  </si>
  <si>
    <t>4966646531082257</t>
  </si>
  <si>
    <t>NG01290565</t>
  </si>
  <si>
    <t>LOPEHECTP040</t>
  </si>
  <si>
    <t>4966646529034286</t>
  </si>
  <si>
    <t>NG01290586</t>
  </si>
  <si>
    <t>PUACEDDYP000</t>
  </si>
  <si>
    <t>4966646531083362</t>
  </si>
  <si>
    <t>NG01290606</t>
  </si>
  <si>
    <t>ALVALILIV004</t>
  </si>
  <si>
    <t>4966646530040215</t>
  </si>
  <si>
    <t>NG01290677</t>
  </si>
  <si>
    <t>ORONROSAP000</t>
  </si>
  <si>
    <t>4966646528050861</t>
  </si>
  <si>
    <t>NG01290862</t>
  </si>
  <si>
    <t>FERRGINAN000</t>
  </si>
  <si>
    <t>4966646530039159</t>
  </si>
  <si>
    <t>NG01290880</t>
  </si>
  <si>
    <t>NAVALUISV003</t>
  </si>
  <si>
    <t>4966646531083354</t>
  </si>
  <si>
    <t>NG01291065</t>
  </si>
  <si>
    <t>ALVACARLM109</t>
  </si>
  <si>
    <t>4966646530040165</t>
  </si>
  <si>
    <t>wa1ua9</t>
  </si>
  <si>
    <t>4966646525257469</t>
  </si>
  <si>
    <t>NG01161895</t>
  </si>
  <si>
    <t>ESCOMYSHL000</t>
  </si>
  <si>
    <t>4966646530040181</t>
  </si>
  <si>
    <t>NG01286109</t>
  </si>
  <si>
    <t>OLAVMARCM000</t>
  </si>
  <si>
    <t>4966646530039183</t>
  </si>
  <si>
    <t>NG01291290</t>
  </si>
  <si>
    <t>QUIÑERICH000</t>
  </si>
  <si>
    <t>4966646530039936</t>
  </si>
  <si>
    <t>NG01291305</t>
  </si>
  <si>
    <t>AVILNERYE000</t>
  </si>
  <si>
    <t>4966646531081697</t>
  </si>
  <si>
    <t>NG01291309</t>
  </si>
  <si>
    <t>OVANGILBG000</t>
  </si>
  <si>
    <t>4966646530040199</t>
  </si>
  <si>
    <t>NG01291313</t>
  </si>
  <si>
    <t>CELAMARIM001</t>
  </si>
  <si>
    <t>4966646530039944</t>
  </si>
  <si>
    <t>NG01291319</t>
  </si>
  <si>
    <t>VARGKARLV000</t>
  </si>
  <si>
    <t>4966646531083347</t>
  </si>
  <si>
    <t>NG01291328</t>
  </si>
  <si>
    <t>MONTJOSEP030</t>
  </si>
  <si>
    <t>4966646529035507</t>
  </si>
  <si>
    <t>NG01291351</t>
  </si>
  <si>
    <t>SARADANNA000</t>
  </si>
  <si>
    <t>4966646531083339</t>
  </si>
  <si>
    <t>NG01291463</t>
  </si>
  <si>
    <t>CASTHEILG000</t>
  </si>
  <si>
    <t>4966646530039167</t>
  </si>
  <si>
    <t>NG01291505</t>
  </si>
  <si>
    <t>LIMABETSC000</t>
  </si>
  <si>
    <t>4966646529035499</t>
  </si>
  <si>
    <t>NG01291516</t>
  </si>
  <si>
    <t>HICHCINTP000</t>
  </si>
  <si>
    <t>4966646529031605</t>
  </si>
  <si>
    <t>NG01291543</t>
  </si>
  <si>
    <t>CALDDARIR000</t>
  </si>
  <si>
    <t>4966646530039928</t>
  </si>
  <si>
    <t>NG01291546</t>
  </si>
  <si>
    <t>YOC PATRH000</t>
  </si>
  <si>
    <t>4966646529035481</t>
  </si>
  <si>
    <t>NG01291574</t>
  </si>
  <si>
    <t>HOLZLUZ G000</t>
  </si>
  <si>
    <t>4966646531081689</t>
  </si>
  <si>
    <t>NG01291593</t>
  </si>
  <si>
    <t>CUXUEVA C000</t>
  </si>
  <si>
    <t>4966646529035473</t>
  </si>
  <si>
    <t>NG01291595</t>
  </si>
  <si>
    <t>RECIMARIP007</t>
  </si>
  <si>
    <t>4966646528049079</t>
  </si>
  <si>
    <t>NG01291636</t>
  </si>
  <si>
    <t>LAGUMARLA000</t>
  </si>
  <si>
    <t>4966646531081408</t>
  </si>
  <si>
    <t>NG01291664</t>
  </si>
  <si>
    <t>GARCMARIT040</t>
  </si>
  <si>
    <t>4966646531082786</t>
  </si>
  <si>
    <t>NG01291743</t>
  </si>
  <si>
    <t>VARGMARTL000</t>
  </si>
  <si>
    <t>4966646531081671</t>
  </si>
  <si>
    <t>NG01291765</t>
  </si>
  <si>
    <t>ESTRANGEM000</t>
  </si>
  <si>
    <t>4966646528050697</t>
  </si>
  <si>
    <t>NG01291778</t>
  </si>
  <si>
    <t>CRUZOSCAC006</t>
  </si>
  <si>
    <t>4966646529035465</t>
  </si>
  <si>
    <t>NG01291813</t>
  </si>
  <si>
    <t>JORDKARLL001</t>
  </si>
  <si>
    <t>4966646530039910</t>
  </si>
  <si>
    <t>NG01291854</t>
  </si>
  <si>
    <t>JUARLILIX000</t>
  </si>
  <si>
    <t>4966646527037943</t>
  </si>
  <si>
    <t>NG01291857</t>
  </si>
  <si>
    <t>GARCSTEIS000</t>
  </si>
  <si>
    <t>4966646530039902</t>
  </si>
  <si>
    <t>NG01291868</t>
  </si>
  <si>
    <t>DEL ANDRN000</t>
  </si>
  <si>
    <t>4966646530039894</t>
  </si>
  <si>
    <t>NG01292013</t>
  </si>
  <si>
    <t>GAMESHIRG000</t>
  </si>
  <si>
    <t>4966646530039175</t>
  </si>
  <si>
    <t>NG01292069</t>
  </si>
  <si>
    <t>LOPEBILFY001</t>
  </si>
  <si>
    <t>4966646530039886</t>
  </si>
  <si>
    <t>NG01292263</t>
  </si>
  <si>
    <t>COC NORAF000</t>
  </si>
  <si>
    <t>4966646527035582</t>
  </si>
  <si>
    <t>NG01272216</t>
  </si>
  <si>
    <t>RUIZMARIT008</t>
  </si>
  <si>
    <t>4966646524119504</t>
  </si>
  <si>
    <t>NG01272223</t>
  </si>
  <si>
    <t>MULLLEONC000</t>
  </si>
  <si>
    <t>4966646531083313</t>
  </si>
  <si>
    <t>NG01281560</t>
  </si>
  <si>
    <t>ROSAHECTA003</t>
  </si>
  <si>
    <t>4966641101513765</t>
  </si>
  <si>
    <t>NG01285414</t>
  </si>
  <si>
    <t>POZUTIKAL000</t>
  </si>
  <si>
    <t>3777212402053306</t>
  </si>
  <si>
    <t>NG01290272</t>
  </si>
  <si>
    <t>REYECARLF007</t>
  </si>
  <si>
    <t>4566211100626119</t>
  </si>
  <si>
    <t>NG01291234</t>
  </si>
  <si>
    <t>CRUZJUDI 000</t>
  </si>
  <si>
    <t>4966646524119553</t>
  </si>
  <si>
    <t>NG01291448</t>
  </si>
  <si>
    <t>DONILUZ G003</t>
  </si>
  <si>
    <t>5303302600024361</t>
  </si>
  <si>
    <t>NG01291529</t>
  </si>
  <si>
    <t>MENDARACG001</t>
  </si>
  <si>
    <t>4566211400209129</t>
  </si>
  <si>
    <t>NG01291889</t>
  </si>
  <si>
    <t>SANDJOSEO005</t>
  </si>
  <si>
    <t>4518771102590687</t>
  </si>
  <si>
    <t>NG01292120</t>
  </si>
  <si>
    <t>LUTIKARIM000</t>
  </si>
  <si>
    <t>5303302300324160</t>
  </si>
  <si>
    <t>NG01292667</t>
  </si>
  <si>
    <t>JORDLUDWD000</t>
  </si>
  <si>
    <t>4966646528050689</t>
  </si>
  <si>
    <t>NG01293003</t>
  </si>
  <si>
    <t>MORABRANG006</t>
  </si>
  <si>
    <t>4966646530040173</t>
  </si>
  <si>
    <t>NG01293097</t>
  </si>
  <si>
    <t>ALFADORAC000</t>
  </si>
  <si>
    <t>4966646530039878</t>
  </si>
  <si>
    <t>NG01293105</t>
  </si>
  <si>
    <t>OROZNELSM001</t>
  </si>
  <si>
    <t>4966646531083321</t>
  </si>
  <si>
    <t>NG01293178</t>
  </si>
  <si>
    <t>RAMIWENDP010</t>
  </si>
  <si>
    <t>4966646529034633</t>
  </si>
  <si>
    <t>NG01293392</t>
  </si>
  <si>
    <t>MORAALVAD006</t>
  </si>
  <si>
    <t>4966646529034724</t>
  </si>
  <si>
    <t>NG01293605</t>
  </si>
  <si>
    <t>GONZKAROZ000</t>
  </si>
  <si>
    <t>4966646527037950</t>
  </si>
  <si>
    <t>NG01293713</t>
  </si>
  <si>
    <t>MELEANGER000</t>
  </si>
  <si>
    <t>4966646531083289</t>
  </si>
  <si>
    <t>NG01293754</t>
  </si>
  <si>
    <t>ORELBLANS001</t>
  </si>
  <si>
    <t>4966646531083297</t>
  </si>
  <si>
    <t>NG01293952</t>
  </si>
  <si>
    <t>ESTRCARLG025</t>
  </si>
  <si>
    <t>4966646531081663</t>
  </si>
  <si>
    <t>NG01294292</t>
  </si>
  <si>
    <t>OROZJULIY000</t>
  </si>
  <si>
    <t>4966646530039860</t>
  </si>
  <si>
    <t>NG01294297</t>
  </si>
  <si>
    <t>SIMOMIGUS001</t>
  </si>
  <si>
    <t>4966646531083271</t>
  </si>
  <si>
    <t>NG01294397</t>
  </si>
  <si>
    <t>PALAANA0L001</t>
  </si>
  <si>
    <t>4966646530038128</t>
  </si>
  <si>
    <t>NG01294429</t>
  </si>
  <si>
    <t>PERELETIB000</t>
  </si>
  <si>
    <t>4966646527035574</t>
  </si>
  <si>
    <t>NG01294463</t>
  </si>
  <si>
    <t>PEREKAREA012</t>
  </si>
  <si>
    <t>4966646531082612</t>
  </si>
  <si>
    <t>NG01294465</t>
  </si>
  <si>
    <t>GOMEJOSUA001</t>
  </si>
  <si>
    <t>4966646527035566</t>
  </si>
  <si>
    <t>NG01294505</t>
  </si>
  <si>
    <t>OVANEVELD000</t>
  </si>
  <si>
    <t>4966646530039357</t>
  </si>
  <si>
    <t>NG01294539</t>
  </si>
  <si>
    <t>MORAYAROI000</t>
  </si>
  <si>
    <t>4966646528048923</t>
  </si>
  <si>
    <t>NG01294543</t>
  </si>
  <si>
    <t>MOINALICA000</t>
  </si>
  <si>
    <t>4966646529035549</t>
  </si>
  <si>
    <t>NG01294546</t>
  </si>
  <si>
    <t>RODADORAP000</t>
  </si>
  <si>
    <t>4966646531082604</t>
  </si>
  <si>
    <t>SP-230812GT-3060</t>
  </si>
  <si>
    <t>LOPEJOSUA004</t>
  </si>
  <si>
    <t>4966646527038883</t>
  </si>
  <si>
    <t>SP-230812GT-65</t>
  </si>
  <si>
    <t>FLORMARIL014</t>
  </si>
  <si>
    <t>4966646526063270</t>
  </si>
  <si>
    <t>wa1wz1</t>
  </si>
  <si>
    <t>4518771102590604</t>
  </si>
  <si>
    <t>wa1ym7</t>
  </si>
  <si>
    <t>4966646525257642</t>
  </si>
  <si>
    <t>wa1zq2</t>
  </si>
  <si>
    <t>4966646525257675</t>
  </si>
  <si>
    <t>NG01236277</t>
  </si>
  <si>
    <t>CASTLINDG000</t>
  </si>
  <si>
    <t>4966646523148157</t>
  </si>
  <si>
    <t>NG01245273</t>
  </si>
  <si>
    <t>ZUÑIKATHH000</t>
  </si>
  <si>
    <t>4966646529032843</t>
  </si>
  <si>
    <t>NG01294936</t>
  </si>
  <si>
    <t>PAULMARIS000</t>
  </si>
  <si>
    <t>4966646529035556</t>
  </si>
  <si>
    <t>NG01295271</t>
  </si>
  <si>
    <t>RODRARMIA001</t>
  </si>
  <si>
    <t>4966646528050671</t>
  </si>
  <si>
    <t>NG01295308</t>
  </si>
  <si>
    <t>RODRHASSS000</t>
  </si>
  <si>
    <t>4966641801081774</t>
  </si>
  <si>
    <t>NG01295446</t>
  </si>
  <si>
    <t>RAMISINDR000</t>
  </si>
  <si>
    <t>4966646526057678</t>
  </si>
  <si>
    <t>NG01295568</t>
  </si>
  <si>
    <t>CONTVEROG000</t>
  </si>
  <si>
    <t>4966646531084097</t>
  </si>
  <si>
    <t>NG01295600</t>
  </si>
  <si>
    <t>ESQUCLAUR001</t>
  </si>
  <si>
    <t>4966646531083263</t>
  </si>
  <si>
    <t>NG01295622</t>
  </si>
  <si>
    <t>ETEIMARKO000</t>
  </si>
  <si>
    <t>4966646530038110</t>
  </si>
  <si>
    <t>NG01295687</t>
  </si>
  <si>
    <t>RECIANA C009</t>
  </si>
  <si>
    <t>4966646531082778</t>
  </si>
  <si>
    <t>98080</t>
  </si>
  <si>
    <t>HERBERTH STEVEN GUTIERREZ CANJURA</t>
  </si>
  <si>
    <t>NG01296272</t>
  </si>
  <si>
    <t>CASTMERYC002</t>
  </si>
  <si>
    <t>4966646528050853</t>
  </si>
  <si>
    <t>NG01296301</t>
  </si>
  <si>
    <t>IBARERICR000</t>
  </si>
  <si>
    <t>4966646531082810</t>
  </si>
  <si>
    <t>NG01296360</t>
  </si>
  <si>
    <t>INTERUBI 000</t>
  </si>
  <si>
    <t>4966646530040140</t>
  </si>
  <si>
    <t>NG01296560</t>
  </si>
  <si>
    <t>MORADUNIM000</t>
  </si>
  <si>
    <t>4966646530040132</t>
  </si>
  <si>
    <t>NG01296730</t>
  </si>
  <si>
    <t>SANTMARCR015</t>
  </si>
  <si>
    <t>4966646529035531</t>
  </si>
  <si>
    <t>NG01208563</t>
  </si>
  <si>
    <t>GARCERICA007</t>
  </si>
  <si>
    <t>4966646527035558</t>
  </si>
  <si>
    <t>NG01263367</t>
  </si>
  <si>
    <t>ALEMEDY0M000</t>
  </si>
  <si>
    <t>4566211300544369</t>
  </si>
  <si>
    <t>NG01291680</t>
  </si>
  <si>
    <t>LOPELESLE001</t>
  </si>
  <si>
    <t>4966646527036168</t>
  </si>
  <si>
    <t>NG01293988</t>
  </si>
  <si>
    <t>MOLIYESNC000</t>
  </si>
  <si>
    <t>4966646524119645</t>
  </si>
  <si>
    <t>NG01295577</t>
  </si>
  <si>
    <t>URIZEDNAM000</t>
  </si>
  <si>
    <t>4966646528050663</t>
  </si>
  <si>
    <t>NG01296082</t>
  </si>
  <si>
    <t>SOBEYENIR002</t>
  </si>
  <si>
    <t>4966646531082596</t>
  </si>
  <si>
    <t>NG01296395</t>
  </si>
  <si>
    <t>JUARMARTM014</t>
  </si>
  <si>
    <t>4966646530039852</t>
  </si>
  <si>
    <t>NG01296588</t>
  </si>
  <si>
    <t>FIGUGABRC001</t>
  </si>
  <si>
    <t>4966646525257873</t>
  </si>
  <si>
    <t>NG01297385</t>
  </si>
  <si>
    <t>GONZMIGUP016</t>
  </si>
  <si>
    <t>4966646530040124</t>
  </si>
  <si>
    <t>NG01297825</t>
  </si>
  <si>
    <t>GARCJOHAV002</t>
  </si>
  <si>
    <t>4966646529035523</t>
  </si>
  <si>
    <t>NG01298538</t>
  </si>
  <si>
    <t>SAUCJONAG000</t>
  </si>
  <si>
    <t>4966646529035515</t>
  </si>
  <si>
    <t>NG01298623</t>
  </si>
  <si>
    <t>HERNMERLM006</t>
  </si>
  <si>
    <t>4966646531082802</t>
  </si>
  <si>
    <t>NG01298628</t>
  </si>
  <si>
    <t>CHUQSELVG000</t>
  </si>
  <si>
    <t>4966646528050846</t>
  </si>
  <si>
    <t>NG01298810</t>
  </si>
  <si>
    <t>VEGAMAGA 000</t>
  </si>
  <si>
    <t>4966646528050655</t>
  </si>
  <si>
    <t>NG01298812</t>
  </si>
  <si>
    <t>GARRANTOS000</t>
  </si>
  <si>
    <t>4966646527037968</t>
  </si>
  <si>
    <t>NG01298911</t>
  </si>
  <si>
    <t>VON JOSEC000</t>
  </si>
  <si>
    <t>4966646530039340</t>
  </si>
  <si>
    <t>NG01298995</t>
  </si>
  <si>
    <t>PEREMARID074</t>
  </si>
  <si>
    <t>4966646531082158</t>
  </si>
  <si>
    <t>NG01275735</t>
  </si>
  <si>
    <t>ALVAFREDC008</t>
  </si>
  <si>
    <t>4966646531082745</t>
  </si>
  <si>
    <t>NG01295319</t>
  </si>
  <si>
    <t>MARTLUISA031</t>
  </si>
  <si>
    <t>4966646526059633</t>
  </si>
  <si>
    <t>NG01299246</t>
  </si>
  <si>
    <t>AROCHERNS000</t>
  </si>
  <si>
    <t>4966646530039845</t>
  </si>
  <si>
    <t>NG01299347</t>
  </si>
  <si>
    <t>BOJ0JUANC000</t>
  </si>
  <si>
    <t>4966646531082380</t>
  </si>
  <si>
    <t>NG01299463</t>
  </si>
  <si>
    <t>DIAZMYRIR002</t>
  </si>
  <si>
    <t>4966646529032850</t>
  </si>
  <si>
    <t>NG01299491</t>
  </si>
  <si>
    <t>SALAREYNS000</t>
  </si>
  <si>
    <t>4966646531084105</t>
  </si>
  <si>
    <t>NG01299555</t>
  </si>
  <si>
    <t>DUBONORMM002</t>
  </si>
  <si>
    <t>4966646531082760</t>
  </si>
  <si>
    <t>NG01299561</t>
  </si>
  <si>
    <t>MENCERICG001</t>
  </si>
  <si>
    <t>4966646528050648</t>
  </si>
  <si>
    <t>NG01299588</t>
  </si>
  <si>
    <t>OLA ROSAV000</t>
  </si>
  <si>
    <t>4966646529032868</t>
  </si>
  <si>
    <t>NG01299673</t>
  </si>
  <si>
    <t>ZAMOHECTH001</t>
  </si>
  <si>
    <t>4966646531082794</t>
  </si>
  <si>
    <t>NG01299687</t>
  </si>
  <si>
    <t>ALAYFRANM003</t>
  </si>
  <si>
    <t>4966646528050630</t>
  </si>
  <si>
    <t>NG01299785</t>
  </si>
  <si>
    <t>PINECLAUD005</t>
  </si>
  <si>
    <t>4966646530039332</t>
  </si>
  <si>
    <t>NG01299805</t>
  </si>
  <si>
    <t>ALVASALOG000</t>
  </si>
  <si>
    <t>4966646531084113</t>
  </si>
  <si>
    <t>NG01299861</t>
  </si>
  <si>
    <t>CARDGERSS000</t>
  </si>
  <si>
    <t>4966646530039449</t>
  </si>
  <si>
    <t>NG01299888</t>
  </si>
  <si>
    <t>HERNDOUGF007</t>
  </si>
  <si>
    <t>4966646528050820</t>
  </si>
  <si>
    <t>NG01299923</t>
  </si>
  <si>
    <t>GONZGLORG015</t>
  </si>
  <si>
    <t>4966646529035366</t>
  </si>
  <si>
    <t>NG01299930</t>
  </si>
  <si>
    <t>NAJESARAH001</t>
  </si>
  <si>
    <t>4966646528048931</t>
  </si>
  <si>
    <t>NG01299939</t>
  </si>
  <si>
    <t>MARTJOSUS010</t>
  </si>
  <si>
    <t>4966646530039837</t>
  </si>
  <si>
    <t>NG01299948</t>
  </si>
  <si>
    <t>REYEMAYND001</t>
  </si>
  <si>
    <t>4966646531082752</t>
  </si>
  <si>
    <t>NG01299997</t>
  </si>
  <si>
    <t>GIROLESLF001</t>
  </si>
  <si>
    <t>4966646530038102</t>
  </si>
  <si>
    <t>NG01300016</t>
  </si>
  <si>
    <t>SANTLUISC032</t>
  </si>
  <si>
    <t>4966646528050812</t>
  </si>
  <si>
    <t>NG01300151</t>
  </si>
  <si>
    <t>NOJ ESMEL000</t>
  </si>
  <si>
    <t>4966646530039456</t>
  </si>
  <si>
    <t>NG01300171</t>
  </si>
  <si>
    <t>MENDROBIS000</t>
  </si>
  <si>
    <t>4966646526059625</t>
  </si>
  <si>
    <t>NG01300183</t>
  </si>
  <si>
    <t>LOPEESLYR001</t>
  </si>
  <si>
    <t>4966646530039043</t>
  </si>
  <si>
    <t>NG01300198</t>
  </si>
  <si>
    <t>GARCCARLM173</t>
  </si>
  <si>
    <t>4966646531082737</t>
  </si>
  <si>
    <t>NG01300206</t>
  </si>
  <si>
    <t>GIROMARVB000</t>
  </si>
  <si>
    <t>4966646530039829</t>
  </si>
  <si>
    <t>NG01300219</t>
  </si>
  <si>
    <t>MARRINGRC012</t>
  </si>
  <si>
    <t>4966646530039035</t>
  </si>
  <si>
    <t>NG01300266</t>
  </si>
  <si>
    <t>GIROJOSEG047</t>
  </si>
  <si>
    <t>4966646530039027</t>
  </si>
  <si>
    <t>NG01300280</t>
  </si>
  <si>
    <t>AGUIALBAM003</t>
  </si>
  <si>
    <t>4966646529035358</t>
  </si>
  <si>
    <t>NG01300298</t>
  </si>
  <si>
    <t>ZEPEHUGOD000</t>
  </si>
  <si>
    <t>4966646529035341</t>
  </si>
  <si>
    <t>NG01300448</t>
  </si>
  <si>
    <t>MENDBETZH000</t>
  </si>
  <si>
    <t>4966646529034716</t>
  </si>
  <si>
    <t>NG01300458</t>
  </si>
  <si>
    <t>REYEWALTR003</t>
  </si>
  <si>
    <t>4966646531084121</t>
  </si>
  <si>
    <t>NG01300481</t>
  </si>
  <si>
    <t>PORACARLS000</t>
  </si>
  <si>
    <t>4966646526059617</t>
  </si>
  <si>
    <t>NG01300496</t>
  </si>
  <si>
    <t>FAJANERYG001</t>
  </si>
  <si>
    <t>4966646528050804</t>
  </si>
  <si>
    <t>SP-230816GT-5051</t>
  </si>
  <si>
    <t>FUENREYNR001</t>
  </si>
  <si>
    <t>5491952102109854</t>
  </si>
  <si>
    <t>SP-230818GT-5155</t>
  </si>
  <si>
    <t>MORAEDWIO002</t>
  </si>
  <si>
    <t>4966646526063338</t>
  </si>
  <si>
    <t>NG01284002</t>
  </si>
  <si>
    <t>ANDRCRISC007</t>
  </si>
  <si>
    <t>4966646530040108</t>
  </si>
  <si>
    <t>NG01286141</t>
  </si>
  <si>
    <t>GONZLUCIR009</t>
  </si>
  <si>
    <t>4966646531082448</t>
  </si>
  <si>
    <t>NG01295427</t>
  </si>
  <si>
    <t>MARCCESAG000</t>
  </si>
  <si>
    <t>4966646528050838</t>
  </si>
  <si>
    <t>NG01300528</t>
  </si>
  <si>
    <t>ECHELISSG000</t>
  </si>
  <si>
    <t>4966646530040116</t>
  </si>
  <si>
    <t>NG01300540</t>
  </si>
  <si>
    <t>FERNMARIR044</t>
  </si>
  <si>
    <t>4966646529035333</t>
  </si>
  <si>
    <t>NG01300588</t>
  </si>
  <si>
    <t>BAYEJUANA000</t>
  </si>
  <si>
    <t>4966646531082372</t>
  </si>
  <si>
    <t>NG01300596</t>
  </si>
  <si>
    <t>JUARJUANT007</t>
  </si>
  <si>
    <t>4966646530039050</t>
  </si>
  <si>
    <t>NG01300604</t>
  </si>
  <si>
    <t>PERENESTZ004</t>
  </si>
  <si>
    <t>4966646531082364</t>
  </si>
  <si>
    <t>NG01300624</t>
  </si>
  <si>
    <t>ROMALUZ C000</t>
  </si>
  <si>
    <t>4966646531082141</t>
  </si>
  <si>
    <t>NG01300679</t>
  </si>
  <si>
    <t>MEJIMAXIX000</t>
  </si>
  <si>
    <t>4966646531084139</t>
  </si>
  <si>
    <t>NG01300757</t>
  </si>
  <si>
    <t>BETAMARIC008</t>
  </si>
  <si>
    <t>4966646529031597</t>
  </si>
  <si>
    <t>NG01300778</t>
  </si>
  <si>
    <t>LIMALEOPD001</t>
  </si>
  <si>
    <t>4966646526059609</t>
  </si>
  <si>
    <t>NG01300790</t>
  </si>
  <si>
    <t>GONZDORID004</t>
  </si>
  <si>
    <t>4966646531084147</t>
  </si>
  <si>
    <t>NG01300807</t>
  </si>
  <si>
    <t>ORANBRENO000</t>
  </si>
  <si>
    <t>4966646528051257</t>
  </si>
  <si>
    <t>NG01300814</t>
  </si>
  <si>
    <t>SAJCBRENC000</t>
  </si>
  <si>
    <t>4966646528050796</t>
  </si>
  <si>
    <t>NG01300817</t>
  </si>
  <si>
    <t>SOLIIRMAP001</t>
  </si>
  <si>
    <t>4966646530039068</t>
  </si>
  <si>
    <t>NG01300844</t>
  </si>
  <si>
    <t>REYEJUANA029</t>
  </si>
  <si>
    <t>4966646529035325</t>
  </si>
  <si>
    <t>NG01300913</t>
  </si>
  <si>
    <t>PRETMONIG000</t>
  </si>
  <si>
    <t>4966646530041080</t>
  </si>
  <si>
    <t>NG01300920</t>
  </si>
  <si>
    <t>QUIRALEJA001</t>
  </si>
  <si>
    <t>4966646531085441</t>
  </si>
  <si>
    <t>NG01300928</t>
  </si>
  <si>
    <t>RIVAMARIP005</t>
  </si>
  <si>
    <t>4966646528048949</t>
  </si>
  <si>
    <t>NG01300980</t>
  </si>
  <si>
    <t>DE LBYROV001</t>
  </si>
  <si>
    <t>4966646529035853</t>
  </si>
  <si>
    <t>NG01301059</t>
  </si>
  <si>
    <t>TZOCLEONV000</t>
  </si>
  <si>
    <t>4966646529032876</t>
  </si>
  <si>
    <t>NG01301098</t>
  </si>
  <si>
    <t>DIAZJAVIC003</t>
  </si>
  <si>
    <t>4966646531082430</t>
  </si>
  <si>
    <t>NG01301177</t>
  </si>
  <si>
    <t>PINEANA D003</t>
  </si>
  <si>
    <t>4966646531082422</t>
  </si>
  <si>
    <t>NG01301193</t>
  </si>
  <si>
    <t>RIOSGILDR002</t>
  </si>
  <si>
    <t>4966646529035861</t>
  </si>
  <si>
    <t>NG01301251</t>
  </si>
  <si>
    <t>LOPECARMA011</t>
  </si>
  <si>
    <t>4966646528050788</t>
  </si>
  <si>
    <t>NG01301255</t>
  </si>
  <si>
    <t>PONCLUISL002</t>
  </si>
  <si>
    <t>4966646528051760</t>
  </si>
  <si>
    <t>NG01301257</t>
  </si>
  <si>
    <t>GOMEJOSUX000</t>
  </si>
  <si>
    <t>4966646530039324</t>
  </si>
  <si>
    <t>NG01301358</t>
  </si>
  <si>
    <t>CANOMARIG015</t>
  </si>
  <si>
    <t>4966646526061332</t>
  </si>
  <si>
    <t>NG01301425</t>
  </si>
  <si>
    <t>ROQUPABLH000</t>
  </si>
  <si>
    <t>4966646529035879</t>
  </si>
  <si>
    <t>NG01301474</t>
  </si>
  <si>
    <t>CUADEDWIL002</t>
  </si>
  <si>
    <t>4966646527036788</t>
  </si>
  <si>
    <t>NG01301476</t>
  </si>
  <si>
    <t>TUN ELMEH000</t>
  </si>
  <si>
    <t>4966646530039464</t>
  </si>
  <si>
    <t>NG01301478</t>
  </si>
  <si>
    <t>RAMIMARIR116</t>
  </si>
  <si>
    <t>4966646530039316</t>
  </si>
  <si>
    <t>NG01260941</t>
  </si>
  <si>
    <t>REYEOSCAB005</t>
  </si>
  <si>
    <t>4966646523148256</t>
  </si>
  <si>
    <t>NG01278735</t>
  </si>
  <si>
    <t>QUEVALBAA000</t>
  </si>
  <si>
    <t>4966641101514219</t>
  </si>
  <si>
    <t>NG01288544</t>
  </si>
  <si>
    <t>VIVAROELR000</t>
  </si>
  <si>
    <t>4966641101514490</t>
  </si>
  <si>
    <t>NG01297899</t>
  </si>
  <si>
    <t>LEMURICAM002</t>
  </si>
  <si>
    <t>4566211300544898</t>
  </si>
  <si>
    <t>NG01298467</t>
  </si>
  <si>
    <t>FLORCLAUP012</t>
  </si>
  <si>
    <t>4966646524119710</t>
  </si>
  <si>
    <t>NG01298941</t>
  </si>
  <si>
    <t>AUSTNATHE000</t>
  </si>
  <si>
    <t>4966646525257964</t>
  </si>
  <si>
    <t>NG01300032</t>
  </si>
  <si>
    <t>PEREDOLOP006</t>
  </si>
  <si>
    <t>4966646524119694</t>
  </si>
  <si>
    <t>NG01300310</t>
  </si>
  <si>
    <t>LOPEASTRC019</t>
  </si>
  <si>
    <t>4518771102591255</t>
  </si>
  <si>
    <t>NG01300373</t>
  </si>
  <si>
    <t>DE LMANUM015</t>
  </si>
  <si>
    <t>4966646525257998</t>
  </si>
  <si>
    <t>NG01302236</t>
  </si>
  <si>
    <t>NAVAFRANB005</t>
  </si>
  <si>
    <t>4966646530040090</t>
  </si>
  <si>
    <t>NG01302260</t>
  </si>
  <si>
    <t>ECHEIRISG001</t>
  </si>
  <si>
    <t>4966641101514474</t>
  </si>
  <si>
    <t>NG01302603</t>
  </si>
  <si>
    <t>CHAVJORGG014</t>
  </si>
  <si>
    <t>4966646530039811</t>
  </si>
  <si>
    <t>NG01302790</t>
  </si>
  <si>
    <t>DE LREINP000</t>
  </si>
  <si>
    <t>4966646531082414</t>
  </si>
  <si>
    <t>NG01303439</t>
  </si>
  <si>
    <t>VASQNATAG002</t>
  </si>
  <si>
    <t>4966646530040082</t>
  </si>
  <si>
    <t>NG01303453</t>
  </si>
  <si>
    <t>TOJ MARIM000</t>
  </si>
  <si>
    <t>4966646530040074</t>
  </si>
  <si>
    <t>NG01303507</t>
  </si>
  <si>
    <t>RAMIWILDZ000</t>
  </si>
  <si>
    <t>4966646531082729</t>
  </si>
  <si>
    <t>NG01303725</t>
  </si>
  <si>
    <t>ROSALUISC021</t>
  </si>
  <si>
    <t>4966646531082711</t>
  </si>
  <si>
    <t>NG01303935</t>
  </si>
  <si>
    <t>MORAANA R044</t>
  </si>
  <si>
    <t>4966646531082265</t>
  </si>
  <si>
    <t>NG01304059</t>
  </si>
  <si>
    <t>VICTDANIV000</t>
  </si>
  <si>
    <t>4966646530039803</t>
  </si>
  <si>
    <t>NG01304085</t>
  </si>
  <si>
    <t>LEMUMARIM035</t>
  </si>
  <si>
    <t>4966646529032884</t>
  </si>
  <si>
    <t>wa2dg7</t>
  </si>
  <si>
    <t>ROMEMADEV000</t>
  </si>
  <si>
    <t>4566211300545382</t>
  </si>
  <si>
    <t>wa2du7</t>
  </si>
  <si>
    <t>SANDKARLR006</t>
  </si>
  <si>
    <t>4966646524119736</t>
  </si>
  <si>
    <t>wa2dx5</t>
  </si>
  <si>
    <t>HIDANANCG002</t>
  </si>
  <si>
    <t>3777201100433985</t>
  </si>
  <si>
    <t>wa2e11</t>
  </si>
  <si>
    <t>PALMSERGL007</t>
  </si>
  <si>
    <t>4966646528048956</t>
  </si>
  <si>
    <t>wa2e51</t>
  </si>
  <si>
    <t>RAMICINDD000</t>
  </si>
  <si>
    <t>4966641101514581</t>
  </si>
  <si>
    <t>wa2e95</t>
  </si>
  <si>
    <t>AREVSELVA001</t>
  </si>
  <si>
    <t>4966646529035887</t>
  </si>
  <si>
    <t>wa2en7</t>
  </si>
  <si>
    <t>AJPOELVIC000</t>
  </si>
  <si>
    <t>4966646530041098</t>
  </si>
  <si>
    <t>wa2ez6</t>
  </si>
  <si>
    <t>HERNMELIG002</t>
  </si>
  <si>
    <t>4966646525258020</t>
  </si>
  <si>
    <t>wa2f94</t>
  </si>
  <si>
    <t>CONTMANUF001</t>
  </si>
  <si>
    <t>4966646530039795</t>
  </si>
  <si>
    <t>wa2fb0</t>
  </si>
  <si>
    <t>PLEIEUDAS000</t>
  </si>
  <si>
    <t>4966646531082703</t>
  </si>
  <si>
    <t>wa2fd5</t>
  </si>
  <si>
    <t>DIEGNESTG000</t>
  </si>
  <si>
    <t>4966646531082695</t>
  </si>
  <si>
    <t>wa2fe3</t>
  </si>
  <si>
    <t>RANGLEONB000</t>
  </si>
  <si>
    <t>4966646531085433</t>
  </si>
  <si>
    <t>wa2ff6</t>
  </si>
  <si>
    <t>SOLAJOSET005</t>
  </si>
  <si>
    <t>4966646531082133</t>
  </si>
  <si>
    <t>wa2fi2</t>
  </si>
  <si>
    <t>MARTPABLC001</t>
  </si>
  <si>
    <t>4966646528049129</t>
  </si>
  <si>
    <t>wa2ge1</t>
  </si>
  <si>
    <t>CONTEULAA000</t>
  </si>
  <si>
    <t>4966646526057660</t>
  </si>
  <si>
    <t>wa2go8</t>
  </si>
  <si>
    <t>CASTMARTC024</t>
  </si>
  <si>
    <t>4966646530039472</t>
  </si>
  <si>
    <t>wa2hl0</t>
  </si>
  <si>
    <t>RECIANA J000</t>
  </si>
  <si>
    <t>4966646528049137</t>
  </si>
  <si>
    <t>wa2hm4</t>
  </si>
  <si>
    <t>MELEPEDRM002</t>
  </si>
  <si>
    <t>4966646530041106</t>
  </si>
  <si>
    <t>wa2hm6</t>
  </si>
  <si>
    <t>PU  CESAL000</t>
  </si>
  <si>
    <t>4966646531082406</t>
  </si>
  <si>
    <t>wa2hn5</t>
  </si>
  <si>
    <t>LOPEANA P035</t>
  </si>
  <si>
    <t>4966646531082398</t>
  </si>
  <si>
    <t>NG01303792</t>
  </si>
  <si>
    <t>MATECOSMR000</t>
  </si>
  <si>
    <t>4966646530039019</t>
  </si>
  <si>
    <t>NG01309292</t>
  </si>
  <si>
    <t>GUERRICAA001</t>
  </si>
  <si>
    <t>4966646529032892</t>
  </si>
  <si>
    <t>wa2ht5</t>
  </si>
  <si>
    <t>PEÑAJULI0000</t>
  </si>
  <si>
    <t>4966646525258103</t>
  </si>
  <si>
    <t>wa2ht6</t>
  </si>
  <si>
    <t>5303302300326629</t>
  </si>
  <si>
    <t>wa2hu4</t>
  </si>
  <si>
    <t>BEJAMOISG000</t>
  </si>
  <si>
    <t>4966646524119777</t>
  </si>
  <si>
    <t>wa2ih2</t>
  </si>
  <si>
    <t>LIMABALM 000</t>
  </si>
  <si>
    <t>4966646524119793</t>
  </si>
  <si>
    <t>wa2il9</t>
  </si>
  <si>
    <t>GONZPAULQ000</t>
  </si>
  <si>
    <t>4566211100627323</t>
  </si>
  <si>
    <t>wa2in7</t>
  </si>
  <si>
    <t>MONRDANIG002</t>
  </si>
  <si>
    <t>4518771102591677</t>
  </si>
  <si>
    <t>wa2j81</t>
  </si>
  <si>
    <t>GRAJISRAR000</t>
  </si>
  <si>
    <t>4966646530039480</t>
  </si>
  <si>
    <t>wa2jc5</t>
  </si>
  <si>
    <t>SOLICECIB000</t>
  </si>
  <si>
    <t>4966646531085425</t>
  </si>
  <si>
    <t>wa2kl3</t>
  </si>
  <si>
    <t>AGUICLAUV006</t>
  </si>
  <si>
    <t>4966646530039498</t>
  </si>
  <si>
    <t>wa2le0</t>
  </si>
  <si>
    <t>LOPELUISN017</t>
  </si>
  <si>
    <t>4966646526057116</t>
  </si>
  <si>
    <t>wa2lj2</t>
  </si>
  <si>
    <t>CANOGISEO002</t>
  </si>
  <si>
    <t>4966646531082125</t>
  </si>
  <si>
    <t>wa2lj3</t>
  </si>
  <si>
    <t>JUAREDWIV003</t>
  </si>
  <si>
    <t>4966646526061324</t>
  </si>
  <si>
    <t>wa2lk9</t>
  </si>
  <si>
    <t>JOAQJORGH000</t>
  </si>
  <si>
    <t>4966646528051851</t>
  </si>
  <si>
    <t>NG01288529</t>
  </si>
  <si>
    <t>HERRBLANR004</t>
  </si>
  <si>
    <t>4966646524119884</t>
  </si>
  <si>
    <t>NG01303871</t>
  </si>
  <si>
    <t>ESTRYOSEF000</t>
  </si>
  <si>
    <t>4966646524119892</t>
  </si>
  <si>
    <t>NG01306601</t>
  </si>
  <si>
    <t>RODRKIREA000</t>
  </si>
  <si>
    <t>4966646524119843</t>
  </si>
  <si>
    <t>NG01307754</t>
  </si>
  <si>
    <t>RALDMARIM003</t>
  </si>
  <si>
    <t>4966641101515034</t>
  </si>
  <si>
    <t>NG01308900</t>
  </si>
  <si>
    <t>DAVIMONIA002</t>
  </si>
  <si>
    <t>4966641101515083</t>
  </si>
  <si>
    <t>NG01310005</t>
  </si>
  <si>
    <t>SCARNOLAR004</t>
  </si>
  <si>
    <t>4966646531082273</t>
  </si>
  <si>
    <t>NG01310033</t>
  </si>
  <si>
    <t>VARGCLAUS000</t>
  </si>
  <si>
    <t>4966646531082281</t>
  </si>
  <si>
    <t>NG01310245</t>
  </si>
  <si>
    <t>SANCJULIB003</t>
  </si>
  <si>
    <t>4966646531082687</t>
  </si>
  <si>
    <t>NG01310326</t>
  </si>
  <si>
    <t>SAMACARLR026</t>
  </si>
  <si>
    <t>4966646530039787</t>
  </si>
  <si>
    <t>NG01310465</t>
  </si>
  <si>
    <t>SOYODARYA000</t>
  </si>
  <si>
    <t>4966646531083479</t>
  </si>
  <si>
    <t>NG01311117</t>
  </si>
  <si>
    <t>MENDJULI 010</t>
  </si>
  <si>
    <t>4966646529034708</t>
  </si>
  <si>
    <t>NG01311283</t>
  </si>
  <si>
    <t>AVILLUISS015</t>
  </si>
  <si>
    <t>4966646529035895</t>
  </si>
  <si>
    <t>NG01311345</t>
  </si>
  <si>
    <t>MENDROSAR011</t>
  </si>
  <si>
    <t>4966646531083453</t>
  </si>
  <si>
    <t>NG01311378</t>
  </si>
  <si>
    <t>FOLGENMA 000</t>
  </si>
  <si>
    <t>8011086200145885</t>
  </si>
  <si>
    <t>NG01311555</t>
  </si>
  <si>
    <t>ROSAMYNOM002</t>
  </si>
  <si>
    <t>4966646529035903</t>
  </si>
  <si>
    <t>NG01311558</t>
  </si>
  <si>
    <t>SANCYANIA000</t>
  </si>
  <si>
    <t>8011086200145877</t>
  </si>
  <si>
    <t>NG01312006</t>
  </si>
  <si>
    <t>RIVEMANUE000</t>
  </si>
  <si>
    <t>8011086200145869</t>
  </si>
  <si>
    <t>wa2ob8</t>
  </si>
  <si>
    <t>PONCCRISZ002</t>
  </si>
  <si>
    <t>3777201100434173</t>
  </si>
  <si>
    <t>NG01291375</t>
  </si>
  <si>
    <t>SOLIIRISR001</t>
  </si>
  <si>
    <t>4966646701022927</t>
  </si>
  <si>
    <t>PLAN AADVANTAGE</t>
  </si>
  <si>
    <t>NG01299938</t>
  </si>
  <si>
    <t>ALEGDAMAG000</t>
  </si>
  <si>
    <t>4966646531082117</t>
  </si>
  <si>
    <t>NG01306450</t>
  </si>
  <si>
    <t>BARRINGRA008</t>
  </si>
  <si>
    <t>4966646525258251</t>
  </si>
  <si>
    <t>NG01309280</t>
  </si>
  <si>
    <t>SPIEDIANS000</t>
  </si>
  <si>
    <t>4966646531083438</t>
  </si>
  <si>
    <t>NG01310208</t>
  </si>
  <si>
    <t>ESCOKARLR006</t>
  </si>
  <si>
    <t>4966646523148512</t>
  </si>
  <si>
    <t>NG01312625</t>
  </si>
  <si>
    <t>CHINEDI0O000</t>
  </si>
  <si>
    <t>4966646530039779</t>
  </si>
  <si>
    <t>NG01312646</t>
  </si>
  <si>
    <t>CHACHECTG003</t>
  </si>
  <si>
    <t>4966646531083461</t>
  </si>
  <si>
    <t>NG01312655</t>
  </si>
  <si>
    <t>AMBRJUANP009</t>
  </si>
  <si>
    <t>4966646530041114</t>
  </si>
  <si>
    <t>NG01312770</t>
  </si>
  <si>
    <t>PORRRIGOP001</t>
  </si>
  <si>
    <t>4966646528048964</t>
  </si>
  <si>
    <t>NG01312771</t>
  </si>
  <si>
    <t>HEMMBERTG002</t>
  </si>
  <si>
    <t>4966646528049145</t>
  </si>
  <si>
    <t>NG01312862</t>
  </si>
  <si>
    <t>AGUSSILVR000</t>
  </si>
  <si>
    <t>4966646531083446</t>
  </si>
  <si>
    <t>NG01313042</t>
  </si>
  <si>
    <t>CORASANDG002</t>
  </si>
  <si>
    <t>4966646530041130</t>
  </si>
  <si>
    <t>NG01313296</t>
  </si>
  <si>
    <t>SANTCARMC004</t>
  </si>
  <si>
    <t>4966646531082679</t>
  </si>
  <si>
    <t>NG01313412</t>
  </si>
  <si>
    <t>VALLAMELG000</t>
  </si>
  <si>
    <t>4966646531085417</t>
  </si>
  <si>
    <t>NG01313425</t>
  </si>
  <si>
    <t>JIGUYOLAY000</t>
  </si>
  <si>
    <t>4966646529034963</t>
  </si>
  <si>
    <t>NG01313771</t>
  </si>
  <si>
    <t>LOPEJENNG041</t>
  </si>
  <si>
    <t>4966646531085409</t>
  </si>
  <si>
    <t>NG01313779</t>
  </si>
  <si>
    <t>OLIVKARIC001</t>
  </si>
  <si>
    <t>4966646531084352</t>
  </si>
  <si>
    <t>NG01313811</t>
  </si>
  <si>
    <t>ORTIHECTS000</t>
  </si>
  <si>
    <t>4966646528049525</t>
  </si>
  <si>
    <t>NG01313948</t>
  </si>
  <si>
    <t>DIAZOSCAT003</t>
  </si>
  <si>
    <t>4966646531084345</t>
  </si>
  <si>
    <t>NG01314040</t>
  </si>
  <si>
    <t>VARGSERGL001</t>
  </si>
  <si>
    <t>4966646529035911</t>
  </si>
  <si>
    <t>NG01314043</t>
  </si>
  <si>
    <t>CARRKARLR004</t>
  </si>
  <si>
    <t>4966646529034955</t>
  </si>
  <si>
    <t>NG01314129</t>
  </si>
  <si>
    <t>SANDSTIVM000</t>
  </si>
  <si>
    <t>4966646530040066</t>
  </si>
  <si>
    <t>NG01314197</t>
  </si>
  <si>
    <t>BRAVRONYS000</t>
  </si>
  <si>
    <t>4966646528051802</t>
  </si>
  <si>
    <t>NG01260725</t>
  </si>
  <si>
    <t>LOPEKEVIS022</t>
  </si>
  <si>
    <t>4966646530041684</t>
  </si>
  <si>
    <t>NG01273652</t>
  </si>
  <si>
    <t>MELESONIC000</t>
  </si>
  <si>
    <t>4966646531085367</t>
  </si>
  <si>
    <t>NG01285313</t>
  </si>
  <si>
    <t>MONGERICL000</t>
  </si>
  <si>
    <t>4966646531085383</t>
  </si>
  <si>
    <t>NG01314370</t>
  </si>
  <si>
    <t>RODRERICS005</t>
  </si>
  <si>
    <t>4966646531082661</t>
  </si>
  <si>
    <t>NG01314428</t>
  </si>
  <si>
    <t>CHOCPRISH000</t>
  </si>
  <si>
    <t>4966646531085391</t>
  </si>
  <si>
    <t>NG01314499</t>
  </si>
  <si>
    <t>TORIADHEQ000</t>
  </si>
  <si>
    <t>4966646530041072</t>
  </si>
  <si>
    <t>NG01314552</t>
  </si>
  <si>
    <t>MENCHUGOR001</t>
  </si>
  <si>
    <t>4966646529034948</t>
  </si>
  <si>
    <t>NG01314578</t>
  </si>
  <si>
    <t>TUIZEDY T001</t>
  </si>
  <si>
    <t>4966646531085375</t>
  </si>
  <si>
    <t>NG01314656</t>
  </si>
  <si>
    <t>AYERLEONC000</t>
  </si>
  <si>
    <t>4966646530041643</t>
  </si>
  <si>
    <t>NG01314730</t>
  </si>
  <si>
    <t>MONRANA0C003</t>
  </si>
  <si>
    <t>4966646530041668</t>
  </si>
  <si>
    <t>NG01314738</t>
  </si>
  <si>
    <t>FELININIG000</t>
  </si>
  <si>
    <t>4966646529035929</t>
  </si>
  <si>
    <t>NG01314752</t>
  </si>
  <si>
    <t>RODRKARES006</t>
  </si>
  <si>
    <t>4966646530041650</t>
  </si>
  <si>
    <t>NG01314811</t>
  </si>
  <si>
    <t>DE LSERGM012</t>
  </si>
  <si>
    <t>4966646528051794</t>
  </si>
  <si>
    <t>NG01314855</t>
  </si>
  <si>
    <t>CABAWENDD001</t>
  </si>
  <si>
    <t>4966646530041064</t>
  </si>
  <si>
    <t>NG01314886</t>
  </si>
  <si>
    <t>CARRVILMB003</t>
  </si>
  <si>
    <t>4966646529034930</t>
  </si>
  <si>
    <t>NG01314902</t>
  </si>
  <si>
    <t>ALVAFREDM010</t>
  </si>
  <si>
    <t>4966646529035226</t>
  </si>
  <si>
    <t>NG01314927</t>
  </si>
  <si>
    <t>RAMOGLEN 000</t>
  </si>
  <si>
    <t>4966646530041049</t>
  </si>
  <si>
    <t>NG01314959</t>
  </si>
  <si>
    <t>MURGKRYSV000</t>
  </si>
  <si>
    <t>4966646530041056</t>
  </si>
  <si>
    <t>NG01315025</t>
  </si>
  <si>
    <t>PALEEDITH000</t>
  </si>
  <si>
    <t>4966646531082299</t>
  </si>
  <si>
    <t>NG01315098</t>
  </si>
  <si>
    <t>PULUJOHAC000</t>
  </si>
  <si>
    <t>4966646526057124</t>
  </si>
  <si>
    <t>NG01315114</t>
  </si>
  <si>
    <t>SANTCARLM079</t>
  </si>
  <si>
    <t>4966646528049533</t>
  </si>
  <si>
    <t>NG01315137</t>
  </si>
  <si>
    <t>GOMEKARLY000</t>
  </si>
  <si>
    <t>4966646531082646</t>
  </si>
  <si>
    <t>NG01315149</t>
  </si>
  <si>
    <t>BEJASANDC000</t>
  </si>
  <si>
    <t>4966646531082109</t>
  </si>
  <si>
    <t>NG01315164</t>
  </si>
  <si>
    <t>FAJAINDRG000</t>
  </si>
  <si>
    <t>4966646527037976</t>
  </si>
  <si>
    <t>NG01315175</t>
  </si>
  <si>
    <t>DE LMIRNS006</t>
  </si>
  <si>
    <t>4966646530041031</t>
  </si>
  <si>
    <t>NG01315222</t>
  </si>
  <si>
    <t>LARAENMAA000</t>
  </si>
  <si>
    <t>4966646530041676</t>
  </si>
  <si>
    <t>NG01315282</t>
  </si>
  <si>
    <t>HERNSUCEC001</t>
  </si>
  <si>
    <t>4966646529035937</t>
  </si>
  <si>
    <t>NG01315304</t>
  </si>
  <si>
    <t>SIPAANA F000</t>
  </si>
  <si>
    <t>4966646530039506</t>
  </si>
  <si>
    <t>NG01315325</t>
  </si>
  <si>
    <t>ROMEALINP000</t>
  </si>
  <si>
    <t>4966646529035234</t>
  </si>
  <si>
    <t>NG01315362</t>
  </si>
  <si>
    <t>ECHEJUANM010</t>
  </si>
  <si>
    <t>4966646529032587</t>
  </si>
  <si>
    <t>NG01315395</t>
  </si>
  <si>
    <t>GAITJOSEG001</t>
  </si>
  <si>
    <t>4966646531085359</t>
  </si>
  <si>
    <t>NG01315530</t>
  </si>
  <si>
    <t>PALACARLO001</t>
  </si>
  <si>
    <t>4966646528051877</t>
  </si>
  <si>
    <t>NG01315544</t>
  </si>
  <si>
    <t>ZARAYOHAX001</t>
  </si>
  <si>
    <t>4966646528051265</t>
  </si>
  <si>
    <t>NG01315618</t>
  </si>
  <si>
    <t>MARTLUZ C001</t>
  </si>
  <si>
    <t>4966646526061316</t>
  </si>
  <si>
    <t>NG01315631</t>
  </si>
  <si>
    <t>GARCAXELJ001</t>
  </si>
  <si>
    <t>4966646531082638</t>
  </si>
  <si>
    <t>NG01315647</t>
  </si>
  <si>
    <t>VERAEDELA000</t>
  </si>
  <si>
    <t>4966646531083487</t>
  </si>
  <si>
    <t>NG01315683</t>
  </si>
  <si>
    <t>MENDCARLS020</t>
  </si>
  <si>
    <t>4966646531082091</t>
  </si>
  <si>
    <t>NG01315685</t>
  </si>
  <si>
    <t>DAVIKIMBN001</t>
  </si>
  <si>
    <t>4966646531082307</t>
  </si>
  <si>
    <t>NG01315768</t>
  </si>
  <si>
    <t>RAMICLAUM023</t>
  </si>
  <si>
    <t>4966646529034922</t>
  </si>
  <si>
    <t>NG01296009</t>
  </si>
  <si>
    <t>NOJ0DOMIA000</t>
  </si>
  <si>
    <t>4966646530039514</t>
  </si>
  <si>
    <t>NG01303649</t>
  </si>
  <si>
    <t>MEDIMARCG000</t>
  </si>
  <si>
    <t>4966646528051273</t>
  </si>
  <si>
    <t>NG01303925</t>
  </si>
  <si>
    <t>GALLNANCR001</t>
  </si>
  <si>
    <t>4966646527036523</t>
  </si>
  <si>
    <t>NG01306660</t>
  </si>
  <si>
    <t>HERRGUSTR008</t>
  </si>
  <si>
    <t>4966646530038912</t>
  </si>
  <si>
    <t>NG01312004</t>
  </si>
  <si>
    <t>MUÑOVIRGS000</t>
  </si>
  <si>
    <t>4966646530041023</t>
  </si>
  <si>
    <t>NG01312491</t>
  </si>
  <si>
    <t>CORZBELIC003</t>
  </si>
  <si>
    <t>4966646530038904</t>
  </si>
  <si>
    <t>NG01314895</t>
  </si>
  <si>
    <t>MORALIN M000</t>
  </si>
  <si>
    <t>4966646531085342</t>
  </si>
  <si>
    <t>NG01315027</t>
  </si>
  <si>
    <t>OLIVMARVA002</t>
  </si>
  <si>
    <t>4966646530041528</t>
  </si>
  <si>
    <t>NG01315823</t>
  </si>
  <si>
    <t>DE LJOSEC095</t>
  </si>
  <si>
    <t>4966646530041692</t>
  </si>
  <si>
    <t>NG01315878</t>
  </si>
  <si>
    <t>AGUILUISV029</t>
  </si>
  <si>
    <t>4966646526059161</t>
  </si>
  <si>
    <t>NG01315901</t>
  </si>
  <si>
    <t>JUARGUSTA001</t>
  </si>
  <si>
    <t>4966646528051885</t>
  </si>
  <si>
    <t>NG01315972</t>
  </si>
  <si>
    <t>GUEREDLYY000</t>
  </si>
  <si>
    <t>4966646531082315</t>
  </si>
  <si>
    <t>NG01316087</t>
  </si>
  <si>
    <t>ALVAANGIL000</t>
  </si>
  <si>
    <t>4966646529035945</t>
  </si>
  <si>
    <t>NG01316117</t>
  </si>
  <si>
    <t>VASQHECTA005</t>
  </si>
  <si>
    <t>4966646528051778</t>
  </si>
  <si>
    <t>NG01316160</t>
  </si>
  <si>
    <t>CHALHECTR000</t>
  </si>
  <si>
    <t>4966646528051786</t>
  </si>
  <si>
    <t>NG01316191</t>
  </si>
  <si>
    <t>DELGLUISG004</t>
  </si>
  <si>
    <t>4966646530041015</t>
  </si>
  <si>
    <t>NG01316225</t>
  </si>
  <si>
    <t>AQUIJORGF001</t>
  </si>
  <si>
    <t>4966646529035952</t>
  </si>
  <si>
    <t>NG01316266</t>
  </si>
  <si>
    <t>CABRKAREC003</t>
  </si>
  <si>
    <t>4966646530038995</t>
  </si>
  <si>
    <t>NG01316277</t>
  </si>
  <si>
    <t>SALACARLG008</t>
  </si>
  <si>
    <t>4966646530041700</t>
  </si>
  <si>
    <t>NG01316307</t>
  </si>
  <si>
    <t>CHINROSIR000</t>
  </si>
  <si>
    <t>4966646530041536</t>
  </si>
  <si>
    <t>NG01316324</t>
  </si>
  <si>
    <t>VELIDALIP000</t>
  </si>
  <si>
    <t>4966646528051893</t>
  </si>
  <si>
    <t>NG01316433</t>
  </si>
  <si>
    <t>GOMEESGAG000</t>
  </si>
  <si>
    <t>4966646531085326</t>
  </si>
  <si>
    <t>NG01316447</t>
  </si>
  <si>
    <t>LOPEMELAS008</t>
  </si>
  <si>
    <t>4966646530041007</t>
  </si>
  <si>
    <t>NG01316474</t>
  </si>
  <si>
    <t>AREVLUZ M000</t>
  </si>
  <si>
    <t>4966646531083685</t>
  </si>
  <si>
    <t>NG01316499</t>
  </si>
  <si>
    <t>VICEMAURZ000</t>
  </si>
  <si>
    <t>4966646531085318</t>
  </si>
  <si>
    <t>NG01316577</t>
  </si>
  <si>
    <t>DUQUHUGOV001</t>
  </si>
  <si>
    <t>4966646529035168</t>
  </si>
  <si>
    <t>NG01316579</t>
  </si>
  <si>
    <t>RAMIANA H005</t>
  </si>
  <si>
    <t>4966646529032595</t>
  </si>
  <si>
    <t>NG01316594</t>
  </si>
  <si>
    <t>DE LMIRSV001</t>
  </si>
  <si>
    <t>4966646529032900</t>
  </si>
  <si>
    <t>NG01316607</t>
  </si>
  <si>
    <t>ROJATATIB000</t>
  </si>
  <si>
    <t>4966646531082323</t>
  </si>
  <si>
    <t>NG01316676</t>
  </si>
  <si>
    <t>PAREJOSEG003</t>
  </si>
  <si>
    <t>4966646531084337</t>
  </si>
  <si>
    <t>NG01316694</t>
  </si>
  <si>
    <t>RIVEMARIY001</t>
  </si>
  <si>
    <t>4966646530040991</t>
  </si>
  <si>
    <t>NG01316726</t>
  </si>
  <si>
    <t>TOQUJOSSP000</t>
  </si>
  <si>
    <t>4966646531085300</t>
  </si>
  <si>
    <t>NG01316755</t>
  </si>
  <si>
    <t>ORTIEMILG002</t>
  </si>
  <si>
    <t>4966646530038896</t>
  </si>
  <si>
    <t>NG01316786</t>
  </si>
  <si>
    <t>COROSUSAP000</t>
  </si>
  <si>
    <t>4966646530038888</t>
  </si>
  <si>
    <t>NG01316813</t>
  </si>
  <si>
    <t>MARABRANI000</t>
  </si>
  <si>
    <t>4966646531085292</t>
  </si>
  <si>
    <t>NG01316863</t>
  </si>
  <si>
    <t>DIAZMARIM087</t>
  </si>
  <si>
    <t>4966646530040983</t>
  </si>
  <si>
    <t>NG01316943</t>
  </si>
  <si>
    <t>ROJANORMM001</t>
  </si>
  <si>
    <t>4966646528052479</t>
  </si>
  <si>
    <t>NG01317015</t>
  </si>
  <si>
    <t>AC  MARVV000</t>
  </si>
  <si>
    <t>8011086202104617</t>
  </si>
  <si>
    <t>NG01285558</t>
  </si>
  <si>
    <t>ORDACARLL000</t>
  </si>
  <si>
    <t>4966646531083693</t>
  </si>
  <si>
    <t>NG01300374</t>
  </si>
  <si>
    <t>LEMUDELMF000</t>
  </si>
  <si>
    <t>4566211100627935</t>
  </si>
  <si>
    <t>NG01309209</t>
  </si>
  <si>
    <t>BOROBYROC004</t>
  </si>
  <si>
    <t>4966646531084915</t>
  </si>
  <si>
    <t>NG01310860</t>
  </si>
  <si>
    <t>HICHDEIVT000</t>
  </si>
  <si>
    <t>5303301300582496</t>
  </si>
  <si>
    <t>NG01312725</t>
  </si>
  <si>
    <t>DONIDEMEG000</t>
  </si>
  <si>
    <t>4966646523148595</t>
  </si>
  <si>
    <t>NG01313839</t>
  </si>
  <si>
    <t>SALANELSP002</t>
  </si>
  <si>
    <t>4966646523148579</t>
  </si>
  <si>
    <t>NG01315189</t>
  </si>
  <si>
    <t>BONIJOSEG005</t>
  </si>
  <si>
    <t>4966646529032918</t>
  </si>
  <si>
    <t>NG01315822</t>
  </si>
  <si>
    <t>ESPAABELG000</t>
  </si>
  <si>
    <t>4566211300547206</t>
  </si>
  <si>
    <t>NG01316936</t>
  </si>
  <si>
    <t>FONSMONIB001</t>
  </si>
  <si>
    <t>4966646524120049</t>
  </si>
  <si>
    <t>NG01318321</t>
  </si>
  <si>
    <t>MARTDANIM010</t>
  </si>
  <si>
    <t>4966646530041510</t>
  </si>
  <si>
    <t>NG01318564</t>
  </si>
  <si>
    <t>DE LRONYC002</t>
  </si>
  <si>
    <t>4966646530041502</t>
  </si>
  <si>
    <t>NG01318899</t>
  </si>
  <si>
    <t>MIJAAMNES000</t>
  </si>
  <si>
    <t>4966646531083495</t>
  </si>
  <si>
    <t>NG01318948</t>
  </si>
  <si>
    <t>PAREMAURR000</t>
  </si>
  <si>
    <t>4966646531082349</t>
  </si>
  <si>
    <t>NG01318997</t>
  </si>
  <si>
    <t>LEIVVEROB002</t>
  </si>
  <si>
    <t>4966646531082356</t>
  </si>
  <si>
    <t>NG01319073</t>
  </si>
  <si>
    <t>HERNJESSV001</t>
  </si>
  <si>
    <t>4966646530040975</t>
  </si>
  <si>
    <t>NG01319117</t>
  </si>
  <si>
    <t>RAMIVICTR020</t>
  </si>
  <si>
    <t>4966646531083503</t>
  </si>
  <si>
    <t>NG01319344</t>
  </si>
  <si>
    <t>GALISINDM001</t>
  </si>
  <si>
    <t>4966646531084907</t>
  </si>
  <si>
    <t>wa20e8</t>
  </si>
  <si>
    <t>ESTAERICL001</t>
  </si>
  <si>
    <t>4966646523148611</t>
  </si>
  <si>
    <t>wa2149</t>
  </si>
  <si>
    <t>PEREGERAS004</t>
  </si>
  <si>
    <t>4966646524120106</t>
  </si>
  <si>
    <t>wa21y8</t>
  </si>
  <si>
    <t>MARTGEIMC000</t>
  </si>
  <si>
    <t>4966646529035960</t>
  </si>
  <si>
    <t>wa22a3</t>
  </si>
  <si>
    <t>FLORJOSEL013</t>
  </si>
  <si>
    <t>4966646531084899</t>
  </si>
  <si>
    <t>wa22c5</t>
  </si>
  <si>
    <t>DAVIENA Z000</t>
  </si>
  <si>
    <t>4566211100628339</t>
  </si>
  <si>
    <t>wa22e4</t>
  </si>
  <si>
    <t>MORAYESEA000</t>
  </si>
  <si>
    <t>4966646531084881</t>
  </si>
  <si>
    <t>wa22g0</t>
  </si>
  <si>
    <t>ARGUMARIM040</t>
  </si>
  <si>
    <t>4966646524120114</t>
  </si>
  <si>
    <t>wa22g6</t>
  </si>
  <si>
    <t>VASQANIBL002</t>
  </si>
  <si>
    <t>4966646529035986</t>
  </si>
  <si>
    <t>wa22k4</t>
  </si>
  <si>
    <t>PAIZDORAS001</t>
  </si>
  <si>
    <t>4966646531084873</t>
  </si>
  <si>
    <t>wa22l3</t>
  </si>
  <si>
    <t>JEROKARI 000</t>
  </si>
  <si>
    <t>4966646530041494</t>
  </si>
  <si>
    <t>wa22q3</t>
  </si>
  <si>
    <t>LOPELESTA004</t>
  </si>
  <si>
    <t>4966646528052487</t>
  </si>
  <si>
    <t>wa22v5</t>
  </si>
  <si>
    <t>GARCZOILH002</t>
  </si>
  <si>
    <t>4966646525258491</t>
  </si>
  <si>
    <t>wa2304</t>
  </si>
  <si>
    <t>AMAYMILDC000</t>
  </si>
  <si>
    <t>4966646529035242</t>
  </si>
  <si>
    <t>wa2371</t>
  </si>
  <si>
    <t>GONZVEROZ000</t>
  </si>
  <si>
    <t>4966646526057132</t>
  </si>
  <si>
    <t>wa23r4</t>
  </si>
  <si>
    <t>CALEEMILY000</t>
  </si>
  <si>
    <t>4966646531084865</t>
  </si>
  <si>
    <t>wa23r6</t>
  </si>
  <si>
    <t>HERNMYNOG001</t>
  </si>
  <si>
    <t>4966646531084303</t>
  </si>
  <si>
    <t>wa23t0</t>
  </si>
  <si>
    <t>ALVACANDG000</t>
  </si>
  <si>
    <t>4966646524120122</t>
  </si>
  <si>
    <t>wa23t9</t>
  </si>
  <si>
    <t>LARIJOSEM003</t>
  </si>
  <si>
    <t>4966646529032603</t>
  </si>
  <si>
    <t>wa23u9</t>
  </si>
  <si>
    <t>LOPEEDNAM020</t>
  </si>
  <si>
    <t>4966646523148645</t>
  </si>
  <si>
    <t>wa23v5</t>
  </si>
  <si>
    <t>CARIBARBM000</t>
  </si>
  <si>
    <t>4966646531084311</t>
  </si>
  <si>
    <t>wa23w1</t>
  </si>
  <si>
    <t>DEL CARLM015</t>
  </si>
  <si>
    <t>4966646530041486</t>
  </si>
  <si>
    <t>wa24e8</t>
  </si>
  <si>
    <t>SALASHERC000</t>
  </si>
  <si>
    <t>4966646530040967</t>
  </si>
  <si>
    <t>wa24f6</t>
  </si>
  <si>
    <t>DE0LANDRR003</t>
  </si>
  <si>
    <t>4966646526057140</t>
  </si>
  <si>
    <t>wa24g2</t>
  </si>
  <si>
    <t>GONZWILSC010</t>
  </si>
  <si>
    <t>4966646530040959</t>
  </si>
  <si>
    <t>wa2590</t>
  </si>
  <si>
    <t>REYEALMAM004</t>
  </si>
  <si>
    <t>4966646527035541</t>
  </si>
  <si>
    <t>wa25r1</t>
  </si>
  <si>
    <t>CALVANGEU000</t>
  </si>
  <si>
    <t>4966646530040942</t>
  </si>
  <si>
    <t>wa25s2</t>
  </si>
  <si>
    <t>VELARUBEC004</t>
  </si>
  <si>
    <t>4966646525258582</t>
  </si>
  <si>
    <t>wa2636</t>
  </si>
  <si>
    <t>BARRELDAP000</t>
  </si>
  <si>
    <t>4966646529032926</t>
  </si>
  <si>
    <t>wa26a5</t>
  </si>
  <si>
    <t>OROZJESSV000</t>
  </si>
  <si>
    <t>4966646528049541</t>
  </si>
  <si>
    <t>wa26a6</t>
  </si>
  <si>
    <t>KIEHMARIG007</t>
  </si>
  <si>
    <t>4966646531084857</t>
  </si>
  <si>
    <t>wa26b8</t>
  </si>
  <si>
    <t>LIRAMARIK000</t>
  </si>
  <si>
    <t>4966646530041239</t>
  </si>
  <si>
    <t>wa26d9</t>
  </si>
  <si>
    <t>NORAJUANC000</t>
  </si>
  <si>
    <t>4966646528052495</t>
  </si>
  <si>
    <t>wa26i4</t>
  </si>
  <si>
    <t>LOPEZULMG007</t>
  </si>
  <si>
    <t>4966646527035533</t>
  </si>
  <si>
    <t>wa26l6</t>
  </si>
  <si>
    <t>CASTKEVIR011</t>
  </si>
  <si>
    <t>3777216402219395</t>
  </si>
  <si>
    <t>wa26t2</t>
  </si>
  <si>
    <t>GIL BEATF000</t>
  </si>
  <si>
    <t>4966646524120171</t>
  </si>
  <si>
    <t>wa26u7</t>
  </si>
  <si>
    <t>SOLOLESLR002</t>
  </si>
  <si>
    <t>4966646525258608</t>
  </si>
  <si>
    <t>wa2711</t>
  </si>
  <si>
    <t>HERNINGRG017</t>
  </si>
  <si>
    <t>4966646526059591</t>
  </si>
  <si>
    <t>wa2725</t>
  </si>
  <si>
    <t>ARCHALEJM000</t>
  </si>
  <si>
    <t>4966646530041254</t>
  </si>
  <si>
    <t>wa2759</t>
  </si>
  <si>
    <t>SIGAGERMC000</t>
  </si>
  <si>
    <t>4966646528051281</t>
  </si>
  <si>
    <t>wa2762</t>
  </si>
  <si>
    <t>CANTRICAM003</t>
  </si>
  <si>
    <t>4966646531084840</t>
  </si>
  <si>
    <t>wa2764</t>
  </si>
  <si>
    <t>PINEJACQV000</t>
  </si>
  <si>
    <t>4966646531084295</t>
  </si>
  <si>
    <t>wa2771</t>
  </si>
  <si>
    <t>ALECMARIA001</t>
  </si>
  <si>
    <t>4966646528052503</t>
  </si>
  <si>
    <t>wa2779</t>
  </si>
  <si>
    <t>CASAMAURZ000</t>
  </si>
  <si>
    <t>4966646530038987</t>
  </si>
  <si>
    <t>wa27e8</t>
  </si>
  <si>
    <t>DE LPABLR009</t>
  </si>
  <si>
    <t>4966646530041247</t>
  </si>
  <si>
    <t>wa27k0</t>
  </si>
  <si>
    <t>MARRAMY B000</t>
  </si>
  <si>
    <t>5303301102009268</t>
  </si>
  <si>
    <t>CASHBACK BAC STUDENT</t>
  </si>
  <si>
    <t>SP-230830GT-5231</t>
  </si>
  <si>
    <t>CARDFRANL000</t>
  </si>
  <si>
    <t>4966646528053402</t>
  </si>
  <si>
    <t>SP-230830GT-6240</t>
  </si>
  <si>
    <t>CARMEDUA 000</t>
  </si>
  <si>
    <t>4966646526063833</t>
  </si>
  <si>
    <t>SP-230831GT-5179</t>
  </si>
  <si>
    <t>BLANANDRM000</t>
  </si>
  <si>
    <t>4966646528053436</t>
  </si>
  <si>
    <t>SP-230831GT-5187</t>
  </si>
  <si>
    <t>RAMILESWC000</t>
  </si>
  <si>
    <t>4566212300254744</t>
  </si>
  <si>
    <t>wa2909</t>
  </si>
  <si>
    <t>ESTALUISM000</t>
  </si>
  <si>
    <t>4966646530041478</t>
  </si>
  <si>
    <t>wa29e1</t>
  </si>
  <si>
    <t>MARRDANIQ000</t>
  </si>
  <si>
    <t>4518771802140601</t>
  </si>
  <si>
    <t>wa3aa0</t>
  </si>
  <si>
    <t>QUEVJORGM003</t>
  </si>
  <si>
    <t>4966646529035994</t>
  </si>
  <si>
    <t>wa3aa6</t>
  </si>
  <si>
    <t>DUARCARLG004</t>
  </si>
  <si>
    <t>4966646523148702</t>
  </si>
  <si>
    <t>wa3al3</t>
  </si>
  <si>
    <t>MENDSANDM016</t>
  </si>
  <si>
    <t>4966646529036000</t>
  </si>
  <si>
    <t>wa3ap8</t>
  </si>
  <si>
    <t>SAC KAREP000</t>
  </si>
  <si>
    <t>4566211100629071</t>
  </si>
  <si>
    <t>wa3ap9</t>
  </si>
  <si>
    <t>SANDCARLP012</t>
  </si>
  <si>
    <t>4966646531084832</t>
  </si>
  <si>
    <t>wa3as9</t>
  </si>
  <si>
    <t>MARTKATHR005</t>
  </si>
  <si>
    <t>4966646531084824</t>
  </si>
  <si>
    <t>wa3av4</t>
  </si>
  <si>
    <t>JEROCLAU 000</t>
  </si>
  <si>
    <t>4966646531084816</t>
  </si>
  <si>
    <t>wa3b19</t>
  </si>
  <si>
    <t>SANDCECIC001</t>
  </si>
  <si>
    <t>4966646523148728</t>
  </si>
  <si>
    <t>wa3b41</t>
  </si>
  <si>
    <t>PAYEJOSEC000</t>
  </si>
  <si>
    <t>4966646530041270</t>
  </si>
  <si>
    <t>wa3bf5</t>
  </si>
  <si>
    <t>VILLSTEFE000</t>
  </si>
  <si>
    <t>4966646530041262</t>
  </si>
  <si>
    <t>wa3bg1</t>
  </si>
  <si>
    <t>PORTSANDR001</t>
  </si>
  <si>
    <t>4966646528051901</t>
  </si>
  <si>
    <t>wa3bi1</t>
  </si>
  <si>
    <t>LOPEALVIS000</t>
  </si>
  <si>
    <t>4518771102594101</t>
  </si>
  <si>
    <t>wa3bw3</t>
  </si>
  <si>
    <t>TECUSELVA000</t>
  </si>
  <si>
    <t>4966646531084808</t>
  </si>
  <si>
    <t>Junio</t>
  </si>
  <si>
    <t>NG01182117</t>
  </si>
  <si>
    <t>JOLOMONID000</t>
  </si>
  <si>
    <t>4966646531077547</t>
  </si>
  <si>
    <t>NG01179959</t>
  </si>
  <si>
    <t>MUÑOJUANG005</t>
  </si>
  <si>
    <t>4966646530035140</t>
  </si>
  <si>
    <t>NG01181729</t>
  </si>
  <si>
    <t>PINENINEM000</t>
  </si>
  <si>
    <t>4966646530035108</t>
  </si>
  <si>
    <t>NG01097104</t>
  </si>
  <si>
    <t>ORTILUISO008</t>
  </si>
  <si>
    <t>4966646531072530</t>
  </si>
  <si>
    <t>NG01185158</t>
  </si>
  <si>
    <t>4966646530035066</t>
  </si>
  <si>
    <t>NG01198959</t>
  </si>
  <si>
    <t>RIOSJORGR000</t>
  </si>
  <si>
    <t>4966646530034028</t>
  </si>
  <si>
    <t>NG01161760</t>
  </si>
  <si>
    <t>SANCCARLD014</t>
  </si>
  <si>
    <t>4966646530036106</t>
  </si>
  <si>
    <t>NG01142790</t>
  </si>
  <si>
    <t>FIGUSUSAM000</t>
  </si>
  <si>
    <t>4966646528048113</t>
  </si>
  <si>
    <t>NG01183433</t>
  </si>
  <si>
    <t>DIAZEDUA 000</t>
  </si>
  <si>
    <t>4966646529032454</t>
  </si>
  <si>
    <t>NG01155661</t>
  </si>
  <si>
    <t>PINERONAD000</t>
  </si>
  <si>
    <t>4966646530035264</t>
  </si>
  <si>
    <t>4966641101512528</t>
  </si>
  <si>
    <t>NG01175630</t>
  </si>
  <si>
    <t>CORADARIM000</t>
  </si>
  <si>
    <t>4966646531077968</t>
  </si>
  <si>
    <t>NG01183596</t>
  </si>
  <si>
    <t>PONCJULIG002</t>
  </si>
  <si>
    <t>4966646526053420</t>
  </si>
  <si>
    <t>NG01100665</t>
  </si>
  <si>
    <t>GUTIARELB000</t>
  </si>
  <si>
    <t>4966646527034221</t>
  </si>
  <si>
    <t>NG01144666</t>
  </si>
  <si>
    <t>FESHMAXI 000</t>
  </si>
  <si>
    <t>4966646528043759</t>
  </si>
  <si>
    <t>SP-230524GT-7028</t>
  </si>
  <si>
    <t>ALARLUISA001</t>
  </si>
  <si>
    <t>4966646526059955</t>
  </si>
  <si>
    <t>NG01177776</t>
  </si>
  <si>
    <t>RAMIJULI 004</t>
  </si>
  <si>
    <t>3777216834002344</t>
  </si>
  <si>
    <t>wax3r5</t>
  </si>
  <si>
    <t>4966646525253906</t>
  </si>
  <si>
    <t>NG01153814</t>
  </si>
  <si>
    <t>MARTELVIO001</t>
  </si>
  <si>
    <t>4966646531077026</t>
  </si>
  <si>
    <t>98070</t>
  </si>
  <si>
    <t>ERICK JOSUE SAGASTUME ARISTONDO</t>
  </si>
  <si>
    <t>COLABORADOR DE BAJA</t>
  </si>
  <si>
    <t>AGUIJOSED021</t>
  </si>
  <si>
    <t>CORDDELFG000</t>
  </si>
  <si>
    <t>ALQUDANIC000</t>
  </si>
  <si>
    <t>5491951102223632</t>
  </si>
  <si>
    <t>4966646530036270</t>
  </si>
  <si>
    <t>5303301100324347</t>
  </si>
  <si>
    <t>PALAMARIC017</t>
  </si>
  <si>
    <t>LIMACARLC017</t>
  </si>
  <si>
    <t>XILOGLENV000</t>
  </si>
  <si>
    <t>NORICARLG000</t>
  </si>
  <si>
    <t>4966646527038321</t>
  </si>
  <si>
    <t>HERNANA P015</t>
  </si>
  <si>
    <t>4966646531017436</t>
  </si>
  <si>
    <t>RIVEMARIM016</t>
  </si>
  <si>
    <t>4966646525136952</t>
  </si>
  <si>
    <t>PECOMANFM000</t>
  </si>
  <si>
    <t>4966646525047902</t>
  </si>
  <si>
    <t>MORAALVAE001</t>
  </si>
  <si>
    <t>4966646525000935</t>
  </si>
  <si>
    <t>SANCFLORS000</t>
  </si>
  <si>
    <t>4966646524102856</t>
  </si>
  <si>
    <t>FIGUOSCAS002</t>
  </si>
  <si>
    <t>4966646524091745</t>
  </si>
  <si>
    <t>CHETDIEGS000</t>
  </si>
  <si>
    <t>4966646531076135</t>
  </si>
  <si>
    <t>MOLIDAVIM000</t>
  </si>
  <si>
    <t>4966646525253989</t>
  </si>
  <si>
    <t>MAZASANDJ001</t>
  </si>
  <si>
    <t>4966646523137374</t>
  </si>
  <si>
    <t>POOUCECIJ001</t>
  </si>
  <si>
    <t>4966646524042649</t>
  </si>
  <si>
    <t>GOMEERWIB000</t>
  </si>
  <si>
    <t>4966646531071722</t>
  </si>
  <si>
    <t>VALAJULIG000</t>
  </si>
  <si>
    <t>4966646531028458</t>
  </si>
  <si>
    <t>LOPEWERNB000</t>
  </si>
  <si>
    <t>5303301300464307</t>
  </si>
  <si>
    <t>GUERJENIH000</t>
  </si>
  <si>
    <t>4966646531054538</t>
  </si>
  <si>
    <t>MUÑOSERGR007</t>
  </si>
  <si>
    <t>4966646524015520</t>
  </si>
  <si>
    <t>VALEANGES001</t>
  </si>
  <si>
    <t>4966646531006926</t>
  </si>
  <si>
    <t>5303302300313080</t>
  </si>
  <si>
    <t>3777218801059521</t>
  </si>
  <si>
    <t>URREINGRH000</t>
  </si>
  <si>
    <t>3777218202030147</t>
  </si>
  <si>
    <t>MIRACRISM000</t>
  </si>
  <si>
    <t>4966646523020364</t>
  </si>
  <si>
    <t>5303308400036323</t>
  </si>
  <si>
    <t>SAMAEDILG002</t>
  </si>
  <si>
    <t>4966646531079865</t>
  </si>
  <si>
    <t>GAITDINAA000</t>
  </si>
  <si>
    <t>4966646531081762</t>
  </si>
  <si>
    <t>COBUHELGZ000</t>
  </si>
  <si>
    <t>4966646525021386</t>
  </si>
  <si>
    <t>MURGJUANC000</t>
  </si>
  <si>
    <t>4966646525051524</t>
  </si>
  <si>
    <t>GONZLEDAS000</t>
  </si>
  <si>
    <t>4966646525034215</t>
  </si>
  <si>
    <t>RAMIROSAH007</t>
  </si>
  <si>
    <t>4966646528052875</t>
  </si>
  <si>
    <t>CANCJOSEN000</t>
  </si>
  <si>
    <t>4966646525229435</t>
  </si>
  <si>
    <t>5303308401288212</t>
  </si>
  <si>
    <t>REYEHERLP001</t>
  </si>
  <si>
    <t>4966646524118605</t>
  </si>
  <si>
    <t>SOBEWILFA000</t>
  </si>
  <si>
    <t>4966646531031338</t>
  </si>
  <si>
    <t>KIEHRICAG001</t>
  </si>
  <si>
    <t>4966646528002094</t>
  </si>
  <si>
    <t>HERRRICAB000</t>
  </si>
  <si>
    <t>4966646525136291</t>
  </si>
  <si>
    <t>MERIGLENP001</t>
  </si>
  <si>
    <t>4966646531034753</t>
  </si>
  <si>
    <t>DEL ALEXR000</t>
  </si>
  <si>
    <t>3777202400021132</t>
  </si>
  <si>
    <t>4966646523008815</t>
  </si>
  <si>
    <t>HALLALLAO000</t>
  </si>
  <si>
    <t>4611142103003052</t>
  </si>
  <si>
    <t>BERDWALTP000</t>
  </si>
  <si>
    <t>4966646543005536</t>
  </si>
  <si>
    <t>SUARWILDA001</t>
  </si>
  <si>
    <t>4966646525239061</t>
  </si>
  <si>
    <t>ZETIANDRC001</t>
  </si>
  <si>
    <t>4966646524118555</t>
  </si>
  <si>
    <t>GUZMJOSED007</t>
  </si>
  <si>
    <t>3777208500014539</t>
  </si>
  <si>
    <t>BARRGILBM004</t>
  </si>
  <si>
    <t>4966646523146201</t>
  </si>
  <si>
    <t>MENDRICAS004</t>
  </si>
  <si>
    <t>4966646525086694</t>
  </si>
  <si>
    <t>AGUIRAFAC000</t>
  </si>
  <si>
    <t>4966646531038838</t>
  </si>
  <si>
    <t>MOROZAIDB001</t>
  </si>
  <si>
    <t>4966646526028604</t>
  </si>
  <si>
    <t>5303302300088518</t>
  </si>
  <si>
    <t>1-FRPLWJE</t>
  </si>
  <si>
    <t>1-FRWNH33</t>
  </si>
  <si>
    <t>1-FRW9GOI</t>
  </si>
  <si>
    <t>1-FRWYGIU</t>
  </si>
  <si>
    <t>1-FRWYO5W</t>
  </si>
  <si>
    <t>1-FS8RKT8</t>
  </si>
  <si>
    <t>1-FSBTRS4</t>
  </si>
  <si>
    <t>1-FS9A33S</t>
  </si>
  <si>
    <t>1-FSCCM15</t>
  </si>
  <si>
    <t>1-FS8T9P0</t>
  </si>
  <si>
    <t>1-FSB583Z</t>
  </si>
  <si>
    <t>1-FSJBCKF</t>
  </si>
  <si>
    <t>1-FSJAE99</t>
  </si>
  <si>
    <t>1-FSJFUDU</t>
  </si>
  <si>
    <t>1-FSJLDCG</t>
  </si>
  <si>
    <t>1-FSJ8N6P</t>
  </si>
  <si>
    <t>1-FSJEK0C</t>
  </si>
  <si>
    <t>1-FSPJZLU</t>
  </si>
  <si>
    <t>1-FSQOYHE</t>
  </si>
  <si>
    <t>1-FSRZ7TM</t>
  </si>
  <si>
    <t>1-FTEXAEO</t>
  </si>
  <si>
    <t>1-FTLME5C</t>
  </si>
  <si>
    <t>1-FTLK8OD</t>
  </si>
  <si>
    <t>1-FTLEQPI</t>
  </si>
  <si>
    <t>1-FTXG9QY</t>
  </si>
  <si>
    <t>1-FUAAY4Y</t>
  </si>
  <si>
    <t>1-FUGITYJ</t>
  </si>
  <si>
    <t>1-FUGTWTI</t>
  </si>
  <si>
    <t>1-FUNMKDD</t>
  </si>
  <si>
    <t>1-FUNG54B</t>
  </si>
  <si>
    <t>1-FUN8WYV</t>
  </si>
  <si>
    <t>1-FUUUCOZ</t>
  </si>
  <si>
    <t>1-FUU0T5R</t>
  </si>
  <si>
    <t>1-FV6WEC7</t>
  </si>
  <si>
    <t>1-FV7XQDC</t>
  </si>
  <si>
    <t>1-FV9KHNO</t>
  </si>
  <si>
    <t>1-FVHPCU2</t>
  </si>
  <si>
    <t>1-FVHBLQD</t>
  </si>
  <si>
    <t>1-FW213YM</t>
  </si>
  <si>
    <t>1-FW29X62</t>
  </si>
  <si>
    <t>1-FW1YCVE</t>
  </si>
  <si>
    <t>1-FWIJ59E</t>
  </si>
  <si>
    <t>1-FWI023H</t>
  </si>
  <si>
    <t>1-FWKZWEU</t>
  </si>
  <si>
    <t>1-FWMNYHG</t>
  </si>
  <si>
    <t>1-FWMK8S3</t>
  </si>
  <si>
    <t>1-FWPXN4R</t>
  </si>
  <si>
    <t>1-FWWISMI</t>
  </si>
  <si>
    <t>1-FWWH4SR</t>
  </si>
  <si>
    <t>1-FWWO1NW</t>
  </si>
  <si>
    <t>1-FWVUUJ0</t>
  </si>
  <si>
    <t>1-FX0ZZDA</t>
  </si>
  <si>
    <t>1-FX0ZPJW</t>
  </si>
  <si>
    <t>1-FX7FG29</t>
  </si>
  <si>
    <t>1-FX7QKVP</t>
  </si>
  <si>
    <t>1-FX7V8XL</t>
  </si>
  <si>
    <t>1-FX7W0UJ</t>
  </si>
  <si>
    <t>1-FX919QK</t>
  </si>
  <si>
    <t>1-FXGGUSS</t>
  </si>
  <si>
    <t>1-FXGUNQA</t>
  </si>
  <si>
    <t>1-FXEVD6D</t>
  </si>
  <si>
    <t>1-FXG8CLO</t>
  </si>
  <si>
    <t>1-FXGGHPL</t>
  </si>
  <si>
    <t>1-FXF4WD3</t>
  </si>
  <si>
    <t>1-FXF7XVP</t>
  </si>
  <si>
    <t>NG01324339</t>
  </si>
  <si>
    <t>NG01313826</t>
  </si>
  <si>
    <t>NG01315434</t>
  </si>
  <si>
    <t>NG01316495</t>
  </si>
  <si>
    <t>NG01325085</t>
  </si>
  <si>
    <t>NG01326063</t>
  </si>
  <si>
    <t>NG01326597</t>
  </si>
  <si>
    <t>NG01327234</t>
  </si>
  <si>
    <t>4966646525018200</t>
  </si>
  <si>
    <t>4966646525073551</t>
  </si>
  <si>
    <t>4303031202167699</t>
  </si>
  <si>
    <t>4966646543002061</t>
  </si>
  <si>
    <t>5491958400039149</t>
  </si>
  <si>
    <t>5491951102173340</t>
  </si>
  <si>
    <t>4966646529005484</t>
  </si>
  <si>
    <t>4966646523011751</t>
  </si>
  <si>
    <t>4966646525129270</t>
  </si>
  <si>
    <t>4966646524110198</t>
  </si>
  <si>
    <t>4966646530025026</t>
  </si>
  <si>
    <t>4966646524034703</t>
  </si>
  <si>
    <t>3777218202063007</t>
  </si>
  <si>
    <t>4966646525129023</t>
  </si>
  <si>
    <t>4303031202643111</t>
  </si>
  <si>
    <t>5111426114667324</t>
  </si>
  <si>
    <t>5111426127447771</t>
  </si>
  <si>
    <t>4966646524097437</t>
  </si>
  <si>
    <t>4966646524021502</t>
  </si>
  <si>
    <t>4966646528033206</t>
  </si>
  <si>
    <t>4566211325005768</t>
  </si>
  <si>
    <t>4966646530039969</t>
  </si>
  <si>
    <t>4966646531035263</t>
  </si>
  <si>
    <t>4966646531040263</t>
  </si>
  <si>
    <t>4966646526014547</t>
  </si>
  <si>
    <t>4966646529010948</t>
  </si>
  <si>
    <t>4966642101141789</t>
  </si>
  <si>
    <t>4966646523025603</t>
  </si>
  <si>
    <t>4966646523104705</t>
  </si>
  <si>
    <t>4966646531039315</t>
  </si>
  <si>
    <t>4966646531016214</t>
  </si>
  <si>
    <t>4611142103008788</t>
  </si>
  <si>
    <t>4566211400067022</t>
  </si>
  <si>
    <t>4966646525039032</t>
  </si>
  <si>
    <t>5303302300314971</t>
  </si>
  <si>
    <t>5303301415019681</t>
  </si>
  <si>
    <t>4966641801070520</t>
  </si>
  <si>
    <t>4566211100457150</t>
  </si>
  <si>
    <t>4966646527000883</t>
  </si>
  <si>
    <t>5491958400043083</t>
  </si>
  <si>
    <t>4303031201167757</t>
  </si>
  <si>
    <t>3777216402188541</t>
  </si>
  <si>
    <t>4966646527038826</t>
  </si>
  <si>
    <t>4966646526051853</t>
  </si>
  <si>
    <t>4966646525027177</t>
  </si>
  <si>
    <t>4966646531056921</t>
  </si>
  <si>
    <t>4966646531084790</t>
  </si>
  <si>
    <t>5111426125066003</t>
  </si>
  <si>
    <t>GUTIMARIR006</t>
  </si>
  <si>
    <t>SALVHILDR003</t>
  </si>
  <si>
    <t>CAMPJEFFB000</t>
  </si>
  <si>
    <t>LOPEMASSM003</t>
  </si>
  <si>
    <t>CABRMARIG025</t>
  </si>
  <si>
    <t>LOPEJORGM136</t>
  </si>
  <si>
    <t>MORABRANI000</t>
  </si>
  <si>
    <t>RAMIMARIP013</t>
  </si>
  <si>
    <t>RIVAEDUAN000</t>
  </si>
  <si>
    <t>NAVANANCM002</t>
  </si>
  <si>
    <t>DE LEDGAU000</t>
  </si>
  <si>
    <t>MATAFRAN 000</t>
  </si>
  <si>
    <t>DIAZLUISA007</t>
  </si>
  <si>
    <t>DE LMARVV001</t>
  </si>
  <si>
    <t>MENDJULIS019</t>
  </si>
  <si>
    <t>CALDVINIG000</t>
  </si>
  <si>
    <t>BARRCARLG024</t>
  </si>
  <si>
    <t>VALLIRVIE000</t>
  </si>
  <si>
    <t>GARCCLAUP032</t>
  </si>
  <si>
    <t>GALIJHONM000</t>
  </si>
  <si>
    <t>LOZAKELLZ000</t>
  </si>
  <si>
    <t>ARRENIDYA000</t>
  </si>
  <si>
    <t>RAMILINDM000</t>
  </si>
  <si>
    <t>ESCOJULIM011</t>
  </si>
  <si>
    <t>JUARGUSTP000</t>
  </si>
  <si>
    <t>MONZRENAH000</t>
  </si>
  <si>
    <t>ALVACARLB003</t>
  </si>
  <si>
    <t>MONTCLAUM019</t>
  </si>
  <si>
    <t>GRAJZOILM001</t>
  </si>
  <si>
    <t>CASTCARLD023</t>
  </si>
  <si>
    <t>ARGUMIGUE001</t>
  </si>
  <si>
    <t>SILVRITAM000</t>
  </si>
  <si>
    <t>REYNLUISZ000</t>
  </si>
  <si>
    <t>MARTMELIC003</t>
  </si>
  <si>
    <t>GONZWILLG008</t>
  </si>
  <si>
    <t>GOMEJORGC039</t>
  </si>
  <si>
    <t>RAMOMARTM010</t>
  </si>
  <si>
    <t>RODASILVQ000</t>
  </si>
  <si>
    <t>OBREMILDM002</t>
  </si>
  <si>
    <t>FORODANIG000</t>
  </si>
  <si>
    <t>ARANARIEM001</t>
  </si>
  <si>
    <t>ESCOSARAM000</t>
  </si>
  <si>
    <t>YOCUANTOG000</t>
  </si>
  <si>
    <t>6087400101018963</t>
  </si>
  <si>
    <t>6087400101018948</t>
  </si>
  <si>
    <t>6087400100788913</t>
  </si>
  <si>
    <t>6087400101018955</t>
  </si>
  <si>
    <t>6087400101012529</t>
  </si>
  <si>
    <t>6087400100788921</t>
  </si>
  <si>
    <t>6087400100788939</t>
  </si>
  <si>
    <t>6087400101004070</t>
  </si>
  <si>
    <t>6087400101018971</t>
  </si>
  <si>
    <t>6087400101029507</t>
  </si>
  <si>
    <t>6087400101018989</t>
  </si>
  <si>
    <t>6087400101012537</t>
  </si>
  <si>
    <t>6087400101029523</t>
  </si>
  <si>
    <t>6087400101012545</t>
  </si>
  <si>
    <t>6087400101029531</t>
  </si>
  <si>
    <t>6087400101012552</t>
  </si>
  <si>
    <t>6087400101029614</t>
  </si>
  <si>
    <t>6087400101004088</t>
  </si>
  <si>
    <t>6087400101004096</t>
  </si>
  <si>
    <t>6087400101012586</t>
  </si>
  <si>
    <t>6087400101029606</t>
  </si>
  <si>
    <t>6087400101029572</t>
  </si>
  <si>
    <t>6087400101012594</t>
  </si>
  <si>
    <t>6087400101029556</t>
  </si>
  <si>
    <t>6087400100828867</t>
  </si>
  <si>
    <t>6087400100828875</t>
  </si>
  <si>
    <t>6087400101029721</t>
  </si>
  <si>
    <t>6087400100788947</t>
  </si>
  <si>
    <t>6087400101029747</t>
  </si>
  <si>
    <t>6087400101029671</t>
  </si>
  <si>
    <t>6087400101029689</t>
  </si>
  <si>
    <t>6087400101029697</t>
  </si>
  <si>
    <t>6087400101029705</t>
  </si>
  <si>
    <t>6087400100788954</t>
  </si>
  <si>
    <t>6087400101029648</t>
  </si>
  <si>
    <t>6087400101012610</t>
  </si>
  <si>
    <t>6087400101029630</t>
  </si>
  <si>
    <t>6087400101012602</t>
  </si>
  <si>
    <t>6087400101004104</t>
  </si>
  <si>
    <t>6087400101029663</t>
  </si>
  <si>
    <t>6087400101029804</t>
  </si>
  <si>
    <t>6087400101029754</t>
  </si>
  <si>
    <t>6087400101029770</t>
  </si>
  <si>
    <t>6087400101004146</t>
  </si>
  <si>
    <t>6087400100828909</t>
  </si>
  <si>
    <t>6087400100828891</t>
  </si>
  <si>
    <t>6087400100828925</t>
  </si>
  <si>
    <t>6087400100828958</t>
  </si>
  <si>
    <t>6087400101029812</t>
  </si>
  <si>
    <t>6087400101029853</t>
  </si>
  <si>
    <t>6087400101029879</t>
  </si>
  <si>
    <t>6087400101004161</t>
  </si>
  <si>
    <t>6087400101029846</t>
  </si>
  <si>
    <t>6087400101004112</t>
  </si>
  <si>
    <t>6087400101029861</t>
  </si>
  <si>
    <t>6087400100828883</t>
  </si>
  <si>
    <t>6087400101004153</t>
  </si>
  <si>
    <t>6087400101029820</t>
  </si>
  <si>
    <t>6087400100788962</t>
  </si>
  <si>
    <t>6087400101029788</t>
  </si>
  <si>
    <t>6087400100848014</t>
  </si>
  <si>
    <t>6087400101012644</t>
  </si>
  <si>
    <t>6087400101029937</t>
  </si>
  <si>
    <t>6087400101029952</t>
  </si>
  <si>
    <t>6087400101029887</t>
  </si>
  <si>
    <t>6087400101029911</t>
  </si>
  <si>
    <t>6087400101029895</t>
  </si>
  <si>
    <t>6087400101029945</t>
  </si>
  <si>
    <t>6087400100848071</t>
  </si>
  <si>
    <t>6087400100828966</t>
  </si>
  <si>
    <t>6087400101004179</t>
  </si>
  <si>
    <t>6087400101004195</t>
  </si>
  <si>
    <t>6087400101029978</t>
  </si>
  <si>
    <t>6087400101029994</t>
  </si>
  <si>
    <t>6087400100828974</t>
  </si>
  <si>
    <t>6087400101012651</t>
  </si>
  <si>
    <t>6087400101042013</t>
  </si>
  <si>
    <t>6087400101004203</t>
  </si>
  <si>
    <t>6087400101012685</t>
  </si>
  <si>
    <t>6087400101012701</t>
  </si>
  <si>
    <t>6087400101004237</t>
  </si>
  <si>
    <t>6087400101004252</t>
  </si>
  <si>
    <t>6087400101012677</t>
  </si>
  <si>
    <t>6087400101042021</t>
  </si>
  <si>
    <t>6087400101042054</t>
  </si>
  <si>
    <t>6087400101042062</t>
  </si>
  <si>
    <t>6087400100828982</t>
  </si>
  <si>
    <t>6087400101012735</t>
  </si>
  <si>
    <t>6087400101012743</t>
  </si>
  <si>
    <t>6087400101042070</t>
  </si>
  <si>
    <t>6087400101042096</t>
  </si>
  <si>
    <t>6087400101012768</t>
  </si>
  <si>
    <t>6087400101012750</t>
  </si>
  <si>
    <t>6087400101012784</t>
  </si>
  <si>
    <t>6087400101042104</t>
  </si>
  <si>
    <t>6087400101042120</t>
  </si>
  <si>
    <t>6087400100848121</t>
  </si>
  <si>
    <t>6087400101042161</t>
  </si>
  <si>
    <t>6087400101035504</t>
  </si>
  <si>
    <t>6087400100848089</t>
  </si>
  <si>
    <t>6087400101042138</t>
  </si>
  <si>
    <t>6087400101012776</t>
  </si>
  <si>
    <t>6087400101004302</t>
  </si>
  <si>
    <t>6087400101004286</t>
  </si>
  <si>
    <t>6087400101012818</t>
  </si>
  <si>
    <t>6087400101004278</t>
  </si>
  <si>
    <t>6087400101012826</t>
  </si>
  <si>
    <t>6087400101042187</t>
  </si>
  <si>
    <t>6087400100848196</t>
  </si>
  <si>
    <t>6087400101004328</t>
  </si>
  <si>
    <t>6087400101042195</t>
  </si>
  <si>
    <t>6087400101012842</t>
  </si>
  <si>
    <t>6087400101042179</t>
  </si>
  <si>
    <t>6087400100848147</t>
  </si>
  <si>
    <t>6087400100848162</t>
  </si>
  <si>
    <t>6087400101042203</t>
  </si>
  <si>
    <t>6087400101042229</t>
  </si>
  <si>
    <t>6087400101035520</t>
  </si>
  <si>
    <t>6087400101004310</t>
  </si>
  <si>
    <t>6087400101042278</t>
  </si>
  <si>
    <t>6087400101012883</t>
  </si>
  <si>
    <t>6087400101042237</t>
  </si>
  <si>
    <t>6087400101035538</t>
  </si>
  <si>
    <t>6087400100848204</t>
  </si>
  <si>
    <t>6087400101012933</t>
  </si>
  <si>
    <t>6087400101042286</t>
  </si>
  <si>
    <t>6087400101004336</t>
  </si>
  <si>
    <t>6087400101012925</t>
  </si>
  <si>
    <t>6087400101035579</t>
  </si>
  <si>
    <t>6087400101012867</t>
  </si>
  <si>
    <t>6087400101035553</t>
  </si>
  <si>
    <t>6087400101012909</t>
  </si>
  <si>
    <t>6087400101035546</t>
  </si>
  <si>
    <t>6087400101042260</t>
  </si>
  <si>
    <t>6087400101042245</t>
  </si>
  <si>
    <t>6087400101042328</t>
  </si>
  <si>
    <t>6087400101042344</t>
  </si>
  <si>
    <t>6087400101042377</t>
  </si>
  <si>
    <t>6087400101012958</t>
  </si>
  <si>
    <t>6087400101042310</t>
  </si>
  <si>
    <t>6087400101042351</t>
  </si>
  <si>
    <t>6087400101035603</t>
  </si>
  <si>
    <t>6087400101012990</t>
  </si>
  <si>
    <t>6087400101042294</t>
  </si>
  <si>
    <t>6087400101012982</t>
  </si>
  <si>
    <t>6087400101035629</t>
  </si>
  <si>
    <t>6087400100848220</t>
  </si>
  <si>
    <t>6087400101004344</t>
  </si>
  <si>
    <t>6087400101042369</t>
  </si>
  <si>
    <t>6087400101035595</t>
  </si>
  <si>
    <t>6087400101023039</t>
  </si>
  <si>
    <t>6087400101023013</t>
  </si>
  <si>
    <t>6087400101042385</t>
  </si>
  <si>
    <t>6087400101042468</t>
  </si>
  <si>
    <t>6087400101042476</t>
  </si>
  <si>
    <t>6087400101023005</t>
  </si>
  <si>
    <t>6087400101042419</t>
  </si>
  <si>
    <t>6087400101042427</t>
  </si>
  <si>
    <t>6087400101042443</t>
  </si>
  <si>
    <t>6087400101042450</t>
  </si>
  <si>
    <t>6087400101004351</t>
  </si>
  <si>
    <t>6087400100848279</t>
  </si>
  <si>
    <t>6087400101053507</t>
  </si>
  <si>
    <t>6087400101004377</t>
  </si>
  <si>
    <t>6087400101004369</t>
  </si>
  <si>
    <t>6087400101053515</t>
  </si>
  <si>
    <t>6087400100848261</t>
  </si>
  <si>
    <t>6087400101042484</t>
  </si>
  <si>
    <t>6087400101042492</t>
  </si>
  <si>
    <t>6087400101035645</t>
  </si>
  <si>
    <t>6087400101053549</t>
  </si>
  <si>
    <t>6087400101004385</t>
  </si>
  <si>
    <t>6087400101023054</t>
  </si>
  <si>
    <t>6087400101023088</t>
  </si>
  <si>
    <t>6087400101053523</t>
  </si>
  <si>
    <t>6087400101053531</t>
  </si>
  <si>
    <t>6087400100848295</t>
  </si>
  <si>
    <t>6087400101053564</t>
  </si>
  <si>
    <t>6087400101035660</t>
  </si>
  <si>
    <t>6087400101053606</t>
  </si>
  <si>
    <t>6087400101053580</t>
  </si>
  <si>
    <t>6087400101004419</t>
  </si>
  <si>
    <t>6087400101053622</t>
  </si>
  <si>
    <t>6087400101053648</t>
  </si>
  <si>
    <t>6087400101053655</t>
  </si>
  <si>
    <t>6087400101035694</t>
  </si>
  <si>
    <t>6087400101053671</t>
  </si>
  <si>
    <t>6087400101053663</t>
  </si>
  <si>
    <t>6087400101004450</t>
  </si>
  <si>
    <t>6087400101004484</t>
  </si>
  <si>
    <t>6087400101035728</t>
  </si>
  <si>
    <t>6087400101004393</t>
  </si>
  <si>
    <t>6087400101004435</t>
  </si>
  <si>
    <t>6087400101023104</t>
  </si>
  <si>
    <t>6087400101035710</t>
  </si>
  <si>
    <t>6087400101053598</t>
  </si>
  <si>
    <t>6087400101035686</t>
  </si>
  <si>
    <t>6087400101023120</t>
  </si>
  <si>
    <t>6087400101023138</t>
  </si>
  <si>
    <t>6087400100848311</t>
  </si>
  <si>
    <t>6087400101004492</t>
  </si>
  <si>
    <t>6087400101053697</t>
  </si>
  <si>
    <t>6087400100848329</t>
  </si>
  <si>
    <t>6087400101053705</t>
  </si>
  <si>
    <t>6087400101053713</t>
  </si>
  <si>
    <t>6087400101053721</t>
  </si>
  <si>
    <t>6087400101053739</t>
  </si>
  <si>
    <t>6087400101053754</t>
  </si>
  <si>
    <t>6087400101053762</t>
  </si>
  <si>
    <t>6087400100848337</t>
  </si>
  <si>
    <t>6087400101053747</t>
  </si>
  <si>
    <t>6087400101053689</t>
  </si>
  <si>
    <t>6087400101053770</t>
  </si>
  <si>
    <t>6087400100848378</t>
  </si>
  <si>
    <t>6087400100848360</t>
  </si>
  <si>
    <t>6087400101023146</t>
  </si>
  <si>
    <t>6087400101054505</t>
  </si>
  <si>
    <t>6087400100848345</t>
  </si>
  <si>
    <t>6087400101030505</t>
  </si>
  <si>
    <t>6087400101053812</t>
  </si>
  <si>
    <t>6087400100848428</t>
  </si>
  <si>
    <t>6087400101053820</t>
  </si>
  <si>
    <t>6087400101053838</t>
  </si>
  <si>
    <t>6087400100848394</t>
  </si>
  <si>
    <t>6087400101023179</t>
  </si>
  <si>
    <t>6087400101053788</t>
  </si>
  <si>
    <t>6087400101053861</t>
  </si>
  <si>
    <t>6087400101035736</t>
  </si>
  <si>
    <t>6087400101030521</t>
  </si>
  <si>
    <t>6087400101030513</t>
  </si>
  <si>
    <t>6087400101030554</t>
  </si>
  <si>
    <t>6087400101023211</t>
  </si>
  <si>
    <t>6087400101023245</t>
  </si>
  <si>
    <t>6087400101035744</t>
  </si>
  <si>
    <t>6087400101053879</t>
  </si>
  <si>
    <t>6087400101053887</t>
  </si>
  <si>
    <t>6087400101023237</t>
  </si>
  <si>
    <t>6087400101023203</t>
  </si>
  <si>
    <t>6087400101023278</t>
  </si>
  <si>
    <t>6087400101023286</t>
  </si>
  <si>
    <t>6087400101023302</t>
  </si>
  <si>
    <t>6087400101023336</t>
  </si>
  <si>
    <t>6087400101023344</t>
  </si>
  <si>
    <t>6087400101023351</t>
  </si>
  <si>
    <t>6087400101035801</t>
  </si>
  <si>
    <t>6087400101035777</t>
  </si>
  <si>
    <t>6087400101035751</t>
  </si>
  <si>
    <t>6087400101035769</t>
  </si>
  <si>
    <t>6087400101035835</t>
  </si>
  <si>
    <t>6087400101030646</t>
  </si>
  <si>
    <t>6087400101030612</t>
  </si>
  <si>
    <t>6087400100848493</t>
  </si>
  <si>
    <t>6087400101030596</t>
  </si>
  <si>
    <t>6087400101030000</t>
  </si>
  <si>
    <t>6087400101030026</t>
  </si>
  <si>
    <t>6087400101030588</t>
  </si>
  <si>
    <t>6087400101030042</t>
  </si>
  <si>
    <t>6087400101030059</t>
  </si>
  <si>
    <t>6087400101023377</t>
  </si>
  <si>
    <t>6087400101035868</t>
  </si>
  <si>
    <t>6087400101030653</t>
  </si>
  <si>
    <t>6087400101030067</t>
  </si>
  <si>
    <t>6087400101054190</t>
  </si>
  <si>
    <t>6087400101054216</t>
  </si>
  <si>
    <t>6087400101054224</t>
  </si>
  <si>
    <t>6087400101035850</t>
  </si>
  <si>
    <t>6087400101054265</t>
  </si>
  <si>
    <t>6087400101035884</t>
  </si>
  <si>
    <t>6087400101054331</t>
  </si>
  <si>
    <t>6087400101054349</t>
  </si>
  <si>
    <t>6087400101054299</t>
  </si>
  <si>
    <t>6087400101054232</t>
  </si>
  <si>
    <t>6087400101054240</t>
  </si>
  <si>
    <t>6087400101054307</t>
  </si>
  <si>
    <t>6087400101023385</t>
  </si>
  <si>
    <t>6087400101023401</t>
  </si>
  <si>
    <t>6087400101054182</t>
  </si>
  <si>
    <t>6087400101054059</t>
  </si>
  <si>
    <t>6087400101054067</t>
  </si>
  <si>
    <t>6087400101054380</t>
  </si>
  <si>
    <t>6087400101054075</t>
  </si>
  <si>
    <t>6087400101054091</t>
  </si>
  <si>
    <t>6087400101030679</t>
  </si>
  <si>
    <t>6087400101054398</t>
  </si>
  <si>
    <t>6087400101054117</t>
  </si>
  <si>
    <t>6087400101054125</t>
  </si>
  <si>
    <t>6087400101054133</t>
  </si>
  <si>
    <t>6087400101054158</t>
  </si>
  <si>
    <t>6087400101054166</t>
  </si>
  <si>
    <t>6087400101054174</t>
  </si>
  <si>
    <t>6087400101035892</t>
  </si>
  <si>
    <t>6087400101054406</t>
  </si>
  <si>
    <t>6087400101054414</t>
  </si>
  <si>
    <t>6087400101030687</t>
  </si>
  <si>
    <t>6087400101054372</t>
  </si>
  <si>
    <t>6087400101023419</t>
  </si>
  <si>
    <t>6087400101054018</t>
  </si>
  <si>
    <t>6087400101053945</t>
  </si>
  <si>
    <t>6087400101053952</t>
  </si>
  <si>
    <t>6087400101053960</t>
  </si>
  <si>
    <t>6087400101053978</t>
  </si>
  <si>
    <t>6087400101053986</t>
  </si>
  <si>
    <t>6087400101054000</t>
  </si>
  <si>
    <t>6087400101054422</t>
  </si>
  <si>
    <t>6087400101054430</t>
  </si>
  <si>
    <t>6087400101054463</t>
  </si>
  <si>
    <t>6087400101054497</t>
  </si>
  <si>
    <t>6087400101068000</t>
  </si>
  <si>
    <t>6087400101035918</t>
  </si>
  <si>
    <t>4966646523044679</t>
  </si>
  <si>
    <t>4966646530032022</t>
  </si>
  <si>
    <t>4966646531065831</t>
  </si>
  <si>
    <t>5303302300114140</t>
  </si>
  <si>
    <t>4966646524094541</t>
  </si>
  <si>
    <t>4966646530031347</t>
  </si>
  <si>
    <t>"4966646530019920</t>
  </si>
  <si>
    <t>"4966646531065146</t>
  </si>
  <si>
    <t>"4966646531065153</t>
  </si>
  <si>
    <t>4966646530032865</t>
  </si>
  <si>
    <t>4966646530030703</t>
  </si>
  <si>
    <t>4966646530030711</t>
  </si>
  <si>
    <t>4966646529025920</t>
  </si>
  <si>
    <t>4966646527033769</t>
  </si>
  <si>
    <t>4966646530033822</t>
  </si>
  <si>
    <t>4966646530032667</t>
  </si>
  <si>
    <t>4966646531071441</t>
  </si>
  <si>
    <t>4966646528000544</t>
  </si>
  <si>
    <t>4966646530030794</t>
  </si>
  <si>
    <t>4966646525208439</t>
  </si>
  <si>
    <t>4966642101076050</t>
  </si>
  <si>
    <t>4966646531072746</t>
  </si>
  <si>
    <t>4966646531072654</t>
  </si>
  <si>
    <t>MOLIMARTG002</t>
  </si>
  <si>
    <t>ULINEDWIS000</t>
  </si>
  <si>
    <t>MALDFLORP002</t>
  </si>
  <si>
    <t>DELGMANUJ000</t>
  </si>
  <si>
    <t>VELACRYSP000</t>
  </si>
  <si>
    <t>HERNHECTA019</t>
  </si>
  <si>
    <t>GOMECARLV002</t>
  </si>
  <si>
    <t>MOLIGABRV000</t>
  </si>
  <si>
    <t>TETZCIRIV000</t>
  </si>
  <si>
    <t>HIU HECTO000</t>
  </si>
  <si>
    <t>CRUZKARLC000</t>
  </si>
  <si>
    <t>JIMEKARLM001</t>
  </si>
  <si>
    <t>PANAELDE 000</t>
  </si>
  <si>
    <t>DE LSILVR010</t>
  </si>
  <si>
    <t>MAYEBYROL002</t>
  </si>
  <si>
    <t>ARIALIBIR001</t>
  </si>
  <si>
    <t>CHUYWILLS000</t>
  </si>
  <si>
    <t>DE0LTANIB000</t>
  </si>
  <si>
    <t>LOPEDAVIC010</t>
  </si>
  <si>
    <t>GUZMDOUGB000</t>
  </si>
  <si>
    <t>OVANJORGD002</t>
  </si>
  <si>
    <t>RUIZAMELC000</t>
  </si>
  <si>
    <t>TOMAZULMC000</t>
  </si>
  <si>
    <t>AGUAGASPT000</t>
  </si>
  <si>
    <t>ESPIJORGH001</t>
  </si>
  <si>
    <t>TOBAHUGOA002</t>
  </si>
  <si>
    <t>JO  JOSES000</t>
  </si>
  <si>
    <t>ALVAELDED001</t>
  </si>
  <si>
    <t>RODRNELSR004</t>
  </si>
  <si>
    <t>OROZGEYSL001</t>
  </si>
  <si>
    <t>SUTUDIANS000</t>
  </si>
  <si>
    <t>CORASANDB001</t>
  </si>
  <si>
    <t>VICERAQU 000</t>
  </si>
  <si>
    <t>VALDANA G006</t>
  </si>
  <si>
    <t>GONZCARLE106</t>
  </si>
  <si>
    <t>LLAMEVELM000</t>
  </si>
  <si>
    <t>COJOMARCP000</t>
  </si>
  <si>
    <t>"FRANCLAUD001</t>
  </si>
  <si>
    <t>"GAYTMARCP000</t>
  </si>
  <si>
    <t>PERENURID000</t>
  </si>
  <si>
    <t>SANDVEROR001</t>
  </si>
  <si>
    <t xml:space="preserve"> 4966646523132748  </t>
  </si>
  <si>
    <t xml:space="preserve">4518771902028110 </t>
  </si>
  <si>
    <t xml:space="preserve"> 4966646527034502 </t>
  </si>
  <si>
    <t xml:space="preserve">4966646527035426 </t>
  </si>
  <si>
    <t>4966646523106551</t>
  </si>
  <si>
    <t>4966646524075557</t>
  </si>
  <si>
    <t>4966646523048407</t>
  </si>
  <si>
    <t>4966646529032413</t>
  </si>
  <si>
    <t>4966646530035157</t>
  </si>
  <si>
    <t>4966646530035173</t>
  </si>
  <si>
    <t>4966646530033079</t>
  </si>
  <si>
    <t>4966646530036718</t>
  </si>
  <si>
    <t>4966646529033064</t>
  </si>
  <si>
    <t>4966646530035298</t>
  </si>
  <si>
    <t>4966646530036866</t>
  </si>
  <si>
    <t>"4966646531076135</t>
  </si>
  <si>
    <t>DEL MARIZ002</t>
  </si>
  <si>
    <t>COCHDERVP000</t>
  </si>
  <si>
    <t>SOTOMARCC010</t>
  </si>
  <si>
    <t>CANEARNUD000</t>
  </si>
  <si>
    <t>BARRBRENE002</t>
  </si>
  <si>
    <t>HERNEDWIS018</t>
  </si>
  <si>
    <t>DAVIDONEM000</t>
  </si>
  <si>
    <t>MANSJULIA001</t>
  </si>
  <si>
    <t>RAMISUSAQ000</t>
  </si>
  <si>
    <t>DEALANA L000</t>
  </si>
  <si>
    <t>DE LLAURN000</t>
  </si>
  <si>
    <t>RAMICLAUL011</t>
  </si>
  <si>
    <t>BARRCARLG022</t>
  </si>
  <si>
    <t>LLAMVICTL001</t>
  </si>
  <si>
    <t>MARCJOSEL001</t>
  </si>
  <si>
    <t>GORDMAGDM000</t>
  </si>
  <si>
    <t>COLICASTA000</t>
  </si>
  <si>
    <t>MAZALIGIW001</t>
  </si>
  <si>
    <t>CIFUJENIR000</t>
  </si>
  <si>
    <t>MENDILEAR000</t>
  </si>
  <si>
    <t>JEREDEBOS002</t>
  </si>
  <si>
    <t>LOPEAURAG038</t>
  </si>
  <si>
    <t>CASTSALOM000</t>
  </si>
  <si>
    <t>4966646528046810</t>
  </si>
  <si>
    <t>4966646531075814</t>
  </si>
  <si>
    <t>4966646531070922</t>
  </si>
  <si>
    <t>4966646531072142</t>
  </si>
  <si>
    <t>5303302400042829</t>
  </si>
  <si>
    <t>4966646531076739</t>
  </si>
  <si>
    <t>4966646531076770</t>
  </si>
  <si>
    <t>4966646531075780</t>
  </si>
  <si>
    <t>4966646531071045</t>
  </si>
  <si>
    <t>4966646531075392</t>
  </si>
  <si>
    <t>4966646531075913</t>
  </si>
  <si>
    <t>4966646531070732</t>
  </si>
  <si>
    <t>4966646531072027</t>
  </si>
  <si>
    <t>4966646531072472</t>
  </si>
  <si>
    <t>4966646531071607</t>
  </si>
  <si>
    <t>4966646531072316</t>
  </si>
  <si>
    <t>4966646530035595</t>
  </si>
  <si>
    <t>4966646529031134</t>
  </si>
  <si>
    <t>4966646528046802</t>
  </si>
  <si>
    <t>4966646528046828</t>
  </si>
  <si>
    <t>4966646525070177</t>
  </si>
  <si>
    <t>4966646528048022</t>
  </si>
  <si>
    <t>4966646530031172</t>
  </si>
  <si>
    <t>4966646530035884</t>
  </si>
  <si>
    <t>4966646530035900</t>
  </si>
  <si>
    <t>4966646530035926</t>
  </si>
  <si>
    <t>4966646525009704</t>
  </si>
  <si>
    <t>4966646527030633</t>
  </si>
  <si>
    <t>4966646529031050</t>
  </si>
  <si>
    <t>4966646530033988</t>
  </si>
  <si>
    <t>4966646528045697</t>
  </si>
  <si>
    <t>8011086202104187</t>
  </si>
  <si>
    <t>4966646530035868</t>
  </si>
  <si>
    <t>4966646527033819</t>
  </si>
  <si>
    <t>4966646529022760</t>
  </si>
  <si>
    <t>4966646530031057</t>
  </si>
  <si>
    <t>4966646524104654</t>
  </si>
  <si>
    <t>"'4966646528046836</t>
  </si>
  <si>
    <t>"'4966646531075558</t>
  </si>
  <si>
    <t>"4966646525032383</t>
  </si>
  <si>
    <t>"4966646523084782</t>
  </si>
  <si>
    <t xml:space="preserve">AVALPABLL000 </t>
  </si>
  <si>
    <t xml:space="preserve"> AVALPABLL000 </t>
  </si>
  <si>
    <t xml:space="preserve"> TOLECINDG000 </t>
  </si>
  <si>
    <t xml:space="preserve"> VELAOLGAC000 </t>
  </si>
  <si>
    <t xml:space="preserve"> LUCEANDYR000  </t>
  </si>
  <si>
    <t>ESCOMARIG044</t>
  </si>
  <si>
    <t>PASTDIANF000</t>
  </si>
  <si>
    <t>PAYELOREM000</t>
  </si>
  <si>
    <t>IXPADERMI000</t>
  </si>
  <si>
    <t>BARRKAREP005</t>
  </si>
  <si>
    <t>MEDAELBAC000</t>
  </si>
  <si>
    <t>SANCBRANC000</t>
  </si>
  <si>
    <t>TOCOMARIC001</t>
  </si>
  <si>
    <t>BERDPERLV000</t>
  </si>
  <si>
    <t>VENEEDUAC001</t>
  </si>
  <si>
    <t>CASTMANUQ002</t>
  </si>
  <si>
    <t>6087400100597603</t>
  </si>
  <si>
    <t>6087400100562664</t>
  </si>
  <si>
    <t>6087400100546642</t>
  </si>
  <si>
    <t>6087400100546758</t>
  </si>
  <si>
    <t>6087400100562979</t>
  </si>
  <si>
    <t>6087400100597421</t>
  </si>
  <si>
    <t>"6087400100546949</t>
  </si>
  <si>
    <t>"6087400100566806</t>
  </si>
  <si>
    <t>"6087400100566822</t>
  </si>
  <si>
    <t>6087400100677652</t>
  </si>
  <si>
    <t>6087400100599336</t>
  </si>
  <si>
    <t>6087400100599351</t>
  </si>
  <si>
    <t>6087400100570238</t>
  </si>
  <si>
    <t>6087400100570212</t>
  </si>
  <si>
    <t>6087400100688170</t>
  </si>
  <si>
    <t>6087400100688428</t>
  </si>
  <si>
    <t>6087400100718506</t>
  </si>
  <si>
    <t>6087400100570386</t>
  </si>
  <si>
    <t>6087400100673867</t>
  </si>
  <si>
    <t>6087400100718688</t>
  </si>
  <si>
    <t>6087400100718787</t>
  </si>
  <si>
    <t>6087400100673974</t>
  </si>
  <si>
    <t>6087400100718985</t>
  </si>
  <si>
    <t>6087400100687917</t>
  </si>
  <si>
    <t>6087400100728166</t>
  </si>
  <si>
    <t>6087400100713838</t>
  </si>
  <si>
    <t>6087400100713689</t>
  </si>
  <si>
    <t>6087400100724553</t>
  </si>
  <si>
    <t>6087400100785406</t>
  </si>
  <si>
    <t>6087400100785331</t>
  </si>
  <si>
    <t>6087400100728299</t>
  </si>
  <si>
    <t>6087400100719504</t>
  </si>
  <si>
    <t>6087400100687636</t>
  </si>
  <si>
    <t>6087400100767644</t>
  </si>
  <si>
    <t>6087400100761936</t>
  </si>
  <si>
    <t>6087400100670293</t>
  </si>
  <si>
    <t>6087400100719496</t>
  </si>
  <si>
    <t>6087400100670186</t>
  </si>
  <si>
    <t>6087400100598866</t>
  </si>
  <si>
    <t>6087400100785364</t>
  </si>
  <si>
    <t>6087400100719827</t>
  </si>
  <si>
    <t>6087400100687941</t>
  </si>
  <si>
    <t>6087400100687859</t>
  </si>
  <si>
    <t>6087400100719686</t>
  </si>
  <si>
    <t>6087400100767990</t>
  </si>
  <si>
    <t>6087400100691786</t>
  </si>
  <si>
    <t>6087400100767859</t>
  </si>
  <si>
    <t>6087400100767792</t>
  </si>
  <si>
    <t>6087400100767768</t>
  </si>
  <si>
    <t>6087400100691703</t>
  </si>
  <si>
    <t>6087400100691521</t>
  </si>
  <si>
    <t>6087400100670251</t>
  </si>
  <si>
    <t>6087400100719454</t>
  </si>
  <si>
    <t>6087400100598981</t>
  </si>
  <si>
    <t>6087400100687792</t>
  </si>
  <si>
    <t>6087400100785232</t>
  </si>
  <si>
    <t>6087400100767941</t>
  </si>
  <si>
    <t>6087400100670392</t>
  </si>
  <si>
    <t>6087400100687628</t>
  </si>
  <si>
    <t>6087400100598965</t>
  </si>
  <si>
    <t>6087400100719330</t>
  </si>
  <si>
    <t>6087400100687834</t>
  </si>
  <si>
    <t>6087400100691984</t>
  </si>
  <si>
    <t>6087400100724504</t>
  </si>
  <si>
    <t>6087400100728455</t>
  </si>
  <si>
    <t>6087400100761670</t>
  </si>
  <si>
    <t>6087400100761688</t>
  </si>
  <si>
    <t>6087400100691596</t>
  </si>
  <si>
    <t>6087400100691620</t>
  </si>
  <si>
    <t>6087400100785281</t>
  </si>
  <si>
    <t>6087400100789283</t>
  </si>
  <si>
    <t>6087400100843643</t>
  </si>
  <si>
    <t>6087400100830954</t>
  </si>
  <si>
    <t>6087400100830798</t>
  </si>
  <si>
    <t>6087400100768899</t>
  </si>
  <si>
    <t>6087400100768873</t>
  </si>
  <si>
    <t>6087400100724975</t>
  </si>
  <si>
    <t>6087400100830533</t>
  </si>
  <si>
    <t>6087400100815294</t>
  </si>
  <si>
    <t>6087400100815021</t>
  </si>
  <si>
    <t>6087400100830756</t>
  </si>
  <si>
    <t>"6087400100767834</t>
  </si>
  <si>
    <t>971523576</t>
  </si>
  <si>
    <t>971571278</t>
  </si>
  <si>
    <t>971570437</t>
  </si>
  <si>
    <t>971602495</t>
  </si>
  <si>
    <t>971539275</t>
  </si>
  <si>
    <t>971586532</t>
  </si>
  <si>
    <t>971586573</t>
  </si>
  <si>
    <t>971557673</t>
  </si>
  <si>
    <t>971673066</t>
  </si>
  <si>
    <t>971672753</t>
  </si>
  <si>
    <t>971582291</t>
  </si>
  <si>
    <t>971672209</t>
  </si>
  <si>
    <t>971625603</t>
  </si>
  <si>
    <t>971585377</t>
  </si>
  <si>
    <t>971586656</t>
  </si>
  <si>
    <t>971557475</t>
  </si>
  <si>
    <t>971605522</t>
  </si>
  <si>
    <t>971602115</t>
  </si>
  <si>
    <t>NG00537051</t>
  </si>
  <si>
    <t>971689625</t>
  </si>
  <si>
    <t>971630363</t>
  </si>
  <si>
    <t>971580006</t>
  </si>
  <si>
    <t>971598149</t>
  </si>
  <si>
    <t>971559315</t>
  </si>
  <si>
    <t>4303036125153510</t>
  </si>
  <si>
    <t>CORTNANC 000</t>
  </si>
  <si>
    <t>6087400100848469</t>
  </si>
  <si>
    <t>6087400000475215</t>
  </si>
  <si>
    <t>6087400000231014</t>
  </si>
  <si>
    <t>6087400100848113</t>
  </si>
  <si>
    <t>6087400001201453</t>
  </si>
  <si>
    <t>6087400101053929</t>
  </si>
  <si>
    <t>6087400101053911</t>
  </si>
  <si>
    <t>6087400001471254</t>
  </si>
  <si>
    <t>6087400101030570</t>
  </si>
  <si>
    <t>6087400101023252</t>
  </si>
  <si>
    <t>6087400101053903</t>
  </si>
  <si>
    <t>6087400101053895</t>
  </si>
  <si>
    <t>6087400101053937</t>
  </si>
  <si>
    <t>6087400101030562</t>
  </si>
  <si>
    <t>6087400101035678</t>
  </si>
  <si>
    <t>6087400100277750</t>
  </si>
  <si>
    <t>6087400100493399</t>
  </si>
  <si>
    <t>6087400100746374</t>
  </si>
  <si>
    <t>6087400100523252</t>
  </si>
  <si>
    <t>CISNJOSEM001</t>
  </si>
  <si>
    <t>4966646528044757</t>
  </si>
  <si>
    <t>6087400100577647</t>
  </si>
  <si>
    <t>GARCMIRIC013</t>
  </si>
  <si>
    <t>4966646528037827</t>
  </si>
  <si>
    <t>6087400100673644</t>
  </si>
  <si>
    <t>CHARJONAD000</t>
  </si>
  <si>
    <t>4966646531070336</t>
  </si>
  <si>
    <t>6087400100673636</t>
  </si>
  <si>
    <t>LOPEEDGAC137</t>
  </si>
  <si>
    <t>4966646531071920</t>
  </si>
  <si>
    <t>6087400100718548</t>
  </si>
  <si>
    <t>GUZMBRENM002</t>
  </si>
  <si>
    <t>4966646531072795</t>
  </si>
  <si>
    <t>6087400100673859</t>
  </si>
  <si>
    <t>MARTPABLM000</t>
  </si>
  <si>
    <t>4966646531072589</t>
  </si>
  <si>
    <t>6087400100719140</t>
  </si>
  <si>
    <t>4966646524078965</t>
  </si>
  <si>
    <t>REYEGRACP000</t>
  </si>
  <si>
    <t>6087400100713937</t>
  </si>
  <si>
    <t>4966646531076382</t>
  </si>
  <si>
    <t>RODRJOSEL049</t>
  </si>
  <si>
    <t>6087400100719801</t>
  </si>
  <si>
    <t>4966646528039898</t>
  </si>
  <si>
    <t>LOPEESVID000</t>
  </si>
  <si>
    <t>6087400100670384</t>
  </si>
  <si>
    <t>vivang</t>
  </si>
  <si>
    <t>mlorenas</t>
  </si>
  <si>
    <t>Sandy1987</t>
  </si>
  <si>
    <t>geovannii</t>
  </si>
  <si>
    <t>LopGar</t>
  </si>
  <si>
    <t>sarar2</t>
  </si>
  <si>
    <t>edwinsandoval</t>
  </si>
  <si>
    <t>kmontalvo</t>
  </si>
  <si>
    <t>elizabethcz</t>
  </si>
  <si>
    <t>zoraidagc</t>
  </si>
  <si>
    <t>ibarillas</t>
  </si>
  <si>
    <t>dianvale</t>
  </si>
  <si>
    <t>rockz</t>
  </si>
  <si>
    <t>mishell13</t>
  </si>
  <si>
    <t>stacygarcia</t>
  </si>
  <si>
    <t>lilianyohana</t>
  </si>
  <si>
    <t>memin3g</t>
  </si>
  <si>
    <t>Madaiperez</t>
  </si>
  <si>
    <t>randal20</t>
  </si>
  <si>
    <t>Leoneldaz</t>
  </si>
  <si>
    <t>Jenniferabi</t>
  </si>
  <si>
    <t>edithgon</t>
  </si>
  <si>
    <t>patricias17</t>
  </si>
  <si>
    <t>mfer1989</t>
  </si>
  <si>
    <t>arriagafrancisco</t>
  </si>
  <si>
    <t>Lorena0</t>
  </si>
  <si>
    <t>emerson2410</t>
  </si>
  <si>
    <t>edi3312</t>
  </si>
  <si>
    <t>Marviniquic</t>
  </si>
  <si>
    <t>Teresavillatoro</t>
  </si>
  <si>
    <t>feer2001</t>
  </si>
  <si>
    <t>Abizet</t>
  </si>
  <si>
    <t>mayrie</t>
  </si>
  <si>
    <t>jayronalejandro</t>
  </si>
  <si>
    <t>Krily</t>
  </si>
  <si>
    <t>nlopez2328</t>
  </si>
  <si>
    <t>isaperez</t>
  </si>
  <si>
    <t>Colaborador de Baja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</si>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</sst>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(&quot;Q&quot;* #,##0.00_);_(&quot;Q&quot;* \(#,##0.00\);_(&quot;Q&quot;* &quot;-&quot;??_);_(@_)"/>
    <numFmt numFmtId="165" formatCode="[$-100A]General"/>
    <numFmt numFmtId="166" formatCode="[$-100A]0%"/>
    <numFmt numFmtId="167" formatCode="&quot; Q&quot;#,##0.00&quot; &quot;;&quot; Q(&quot;#,##0.00&quot;)&quot;;&quot; Q-&quot;#&quot; &quot;;@&quot; &quot;"/>
    <numFmt numFmtId="168" formatCode="&quot;Q&quot;#,##0.00"/>
    <numFmt numFmtId="169" formatCode="[$Q-100A]#,##0.00;[Red]\([$Q-100A]#,##0.00\)"/>
    <numFmt numFmtId="170" formatCode="#,##0.00\ ;\-#,##0.00\ ;&quot; -&quot;#\ ;@\ "/>
    <numFmt numFmtId="171" formatCode="[$Q-100A]#,##0.00;[Red]&quot;(&quot;[$Q-100A]#,##0.00&quot;)&quot;"/>
    <numFmt numFmtId="172" formatCode="\ #,##0.00\ ;\-#,##0.00\ ;\-#\ ;\ @\ "/>
    <numFmt numFmtId="173" formatCode="_-* #,##0.00_-;\-* #,##0.00_-;_-* \-??_-;_-@_-"/>
    <numFmt numFmtId="174" formatCode="#,##0.00\ ;\-#,##0.00\ ;\-#\ ;@\ "/>
    <numFmt numFmtId="175" formatCode="[$-409]ddmmmyyyy"/>
    <numFmt numFmtId="176" formatCode="_-[$Q-100A]* #,##0.00_-;\-[$Q-100A]* #,##0.00_-;_-[$Q-100A]* &quot;-&quot;??_-;_-@_-"/>
    <numFmt numFmtId="177" formatCode="[$-100A]dd/mm/yyyy"/>
    <numFmt numFmtId="178" formatCode="[$]@"/>
    <numFmt numFmtId="179" formatCode="[$-C0A]General"/>
    <numFmt numFmtId="180" formatCode="&quot; &quot;#,##0.00&quot; &quot;;&quot;-&quot;#,##0.00&quot; &quot;;&quot; -&quot;#&quot; &quot;;&quot; &quot;@&quot; &quot;"/>
    <numFmt numFmtId="181" formatCode="[$$-540A]#,##0"/>
    <numFmt numFmtId="182" formatCode="&quot;Q&quot;#,##0"/>
    <numFmt numFmtId="183" formatCode="[$$-409]#,##0"/>
    <numFmt numFmtId="184" formatCode="0.0%"/>
    <numFmt numFmtId="185" formatCode="_-[$$-540A]* #,##0.00_ ;_-[$$-540A]* \-#,##0.00\ ;_-[$$-540A]* &quot;-&quot;??_ ;_-@_ "/>
    <numFmt numFmtId="186" formatCode="[$-409]ddmmmyyyy\ h:mm:ss.00"/>
    <numFmt numFmtId="187" formatCode="0.0"/>
    <numFmt numFmtId="188" formatCode="m/d/yy;@"/>
    <numFmt numFmtId="189" formatCode="\$#,##0;\(\$#,##0\);\$#,##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 Light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name val="Lucida Sans"/>
      <family val="2"/>
    </font>
    <font>
      <sz val="10"/>
      <name val="Lucida Sans"/>
      <family val="2"/>
    </font>
    <font>
      <b/>
      <i/>
      <sz val="16"/>
      <color indexed="8"/>
      <name val="Arial"/>
      <family val="2"/>
      <charset val="1"/>
    </font>
    <font>
      <sz val="10"/>
      <name val="Mangal"/>
      <family val="2"/>
      <charset val="1"/>
    </font>
    <font>
      <sz val="10"/>
      <name val="Mangal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b/>
      <i/>
      <u/>
      <sz val="11"/>
      <color indexed="8"/>
      <name val="Arial"/>
      <family val="2"/>
      <charset val="1"/>
    </font>
    <font>
      <sz val="10"/>
      <name val="Lucida Sans"/>
      <family val="2"/>
      <charset val="1"/>
    </font>
    <font>
      <sz val="11"/>
      <name val="Calibri"/>
      <family val="2"/>
    </font>
    <font>
      <b/>
      <sz val="11"/>
      <color theme="8" tint="-0.499984740745262"/>
      <name val="Calibri Light"/>
      <family val="2"/>
      <scheme val="major"/>
    </font>
    <font>
      <sz val="10"/>
      <name val="Calibri Light"/>
      <family val="2"/>
    </font>
    <font>
      <sz val="11"/>
      <name val="Calibri Light"/>
      <family val="2"/>
    </font>
    <font>
      <sz val="10"/>
      <color indexed="8"/>
      <name val="Calibri Light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80008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4"/>
      <color rgb="FF000000"/>
      <name val="OpenSans"/>
      <family val="2"/>
      <charset val="1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191970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CC"/>
        <bgColor rgb="FFFF99CC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40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  <xf numFmtId="165" fontId="7" fillId="0" borderId="0"/>
    <xf numFmtId="9" fontId="1" fillId="0" borderId="0" applyFont="0" applyFill="0" applyBorder="0" applyAlignment="0" applyProtection="0"/>
    <xf numFmtId="0" fontId="7" fillId="0" borderId="0" applyNumberFormat="0" applyBorder="0" applyProtection="0"/>
    <xf numFmtId="167" fontId="7" fillId="0" borderId="0" applyBorder="0" applyProtection="0"/>
    <xf numFmtId="166" fontId="7" fillId="0" borderId="0" applyBorder="0" applyProtection="0"/>
    <xf numFmtId="9" fontId="7" fillId="0" borderId="0" applyBorder="0" applyProtection="0"/>
    <xf numFmtId="0" fontId="14" fillId="0" borderId="0"/>
    <xf numFmtId="0" fontId="7" fillId="0" borderId="0"/>
    <xf numFmtId="0" fontId="14" fillId="0" borderId="0"/>
    <xf numFmtId="0" fontId="1" fillId="0" borderId="0"/>
    <xf numFmtId="0" fontId="3" fillId="14" borderId="0" applyNumberFormat="0" applyBorder="0" applyAlignment="0" applyProtection="0"/>
    <xf numFmtId="0" fontId="1" fillId="0" borderId="0"/>
    <xf numFmtId="165" fontId="7" fillId="0" borderId="0" applyBorder="0" applyProtection="0"/>
    <xf numFmtId="0" fontId="16" fillId="0" borderId="0"/>
    <xf numFmtId="0" fontId="19" fillId="0" borderId="0" applyBorder="0" applyProtection="0"/>
    <xf numFmtId="0" fontId="19" fillId="0" borderId="0" applyBorder="0" applyProtection="0"/>
    <xf numFmtId="0" fontId="17" fillId="0" borderId="0" applyBorder="0" applyProtection="0">
      <alignment horizontal="center"/>
    </xf>
    <xf numFmtId="0" fontId="17" fillId="0" borderId="0" applyBorder="0" applyProtection="0">
      <alignment horizontal="center" textRotation="90"/>
    </xf>
    <xf numFmtId="170" fontId="16" fillId="0" borderId="0" applyBorder="0" applyProtection="0"/>
    <xf numFmtId="0" fontId="16" fillId="0" borderId="0" applyBorder="0" applyProtection="0"/>
    <xf numFmtId="0" fontId="18" fillId="0" borderId="0" applyBorder="0" applyProtection="0"/>
    <xf numFmtId="169" fontId="18" fillId="0" borderId="0" applyBorder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3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22" fillId="0" borderId="0">
      <alignment horizontal="center"/>
    </xf>
    <xf numFmtId="0" fontId="23" fillId="0" borderId="0"/>
    <xf numFmtId="0" fontId="22" fillId="0" borderId="0">
      <alignment horizontal="center" textRotation="90"/>
    </xf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4" fillId="0" borderId="0"/>
    <xf numFmtId="172" fontId="25" fillId="0" borderId="0" applyFill="0" applyBorder="0" applyAlignment="0" applyProtection="0"/>
    <xf numFmtId="0" fontId="24" fillId="0" borderId="0" applyNumberFormat="0" applyFill="0" applyBorder="0" applyAlignment="0" applyProtection="0"/>
    <xf numFmtId="169" fontId="24" fillId="0" borderId="0" applyFill="0" applyBorder="0" applyAlignment="0" applyProtection="0"/>
    <xf numFmtId="0" fontId="25" fillId="0" borderId="0" applyNumberFormat="0" applyFill="0" applyBorder="0" applyProtection="0">
      <alignment horizontal="center"/>
    </xf>
    <xf numFmtId="0" fontId="25" fillId="0" borderId="0" applyNumberFormat="0" applyFill="0" applyBorder="0" applyProtection="0">
      <alignment horizontal="center" textRotation="90"/>
    </xf>
    <xf numFmtId="165" fontId="17" fillId="0" borderId="0">
      <alignment horizontal="center" textRotation="90"/>
    </xf>
    <xf numFmtId="165" fontId="16" fillId="0" borderId="0"/>
    <xf numFmtId="165" fontId="18" fillId="0" borderId="0"/>
    <xf numFmtId="169" fontId="18" fillId="0" borderId="0"/>
    <xf numFmtId="165" fontId="19" fillId="0" borderId="0"/>
    <xf numFmtId="174" fontId="32" fillId="0" borderId="0" applyFill="0" applyBorder="0" applyAlignment="0" applyProtection="0"/>
    <xf numFmtId="0" fontId="26" fillId="0" borderId="0">
      <alignment horizontal="center"/>
    </xf>
    <xf numFmtId="0" fontId="26" fillId="0" borderId="0">
      <alignment horizontal="center"/>
    </xf>
    <xf numFmtId="0" fontId="26" fillId="0" borderId="0">
      <alignment horizontal="center" textRotation="90"/>
    </xf>
    <xf numFmtId="0" fontId="26" fillId="0" borderId="0">
      <alignment horizontal="center" textRotation="90"/>
    </xf>
    <xf numFmtId="0" fontId="26" fillId="0" borderId="0">
      <alignment horizontal="center" textRotation="90"/>
    </xf>
    <xf numFmtId="0" fontId="26" fillId="0" borderId="0">
      <alignment horizontal="center" textRotation="90"/>
    </xf>
    <xf numFmtId="173" fontId="27" fillId="0" borderId="0" applyFill="0" applyBorder="0" applyAlignment="0" applyProtection="0"/>
    <xf numFmtId="173" fontId="28" fillId="0" borderId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0" fontId="32" fillId="0" borderId="0" applyNumberFormat="0" applyFill="0" applyBorder="0" applyProtection="0">
      <alignment horizontal="center" textRotation="90"/>
    </xf>
    <xf numFmtId="0" fontId="30" fillId="0" borderId="0"/>
    <xf numFmtId="0" fontId="30" fillId="0" borderId="0"/>
    <xf numFmtId="170" fontId="29" fillId="0" borderId="0"/>
    <xf numFmtId="0" fontId="33" fillId="0" borderId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7" fillId="0" borderId="0"/>
    <xf numFmtId="9" fontId="1" fillId="0" borderId="0" applyFont="0" applyFill="0" applyBorder="0" applyAlignment="0" applyProtection="0"/>
    <xf numFmtId="0" fontId="14" fillId="0" borderId="0"/>
    <xf numFmtId="0" fontId="1" fillId="0" borderId="0"/>
    <xf numFmtId="165" fontId="7" fillId="0" borderId="0" applyBorder="0" applyProtection="0"/>
    <xf numFmtId="0" fontId="19" fillId="0" borderId="0" applyBorder="0" applyProtection="0"/>
    <xf numFmtId="0" fontId="17" fillId="0" borderId="0" applyBorder="0" applyProtection="0">
      <alignment horizontal="center"/>
    </xf>
    <xf numFmtId="0" fontId="17" fillId="0" borderId="0" applyBorder="0" applyProtection="0">
      <alignment horizontal="center" textRotation="90"/>
    </xf>
    <xf numFmtId="170" fontId="16" fillId="0" borderId="0" applyBorder="0" applyProtection="0"/>
    <xf numFmtId="0" fontId="16" fillId="0" borderId="0" applyBorder="0" applyProtection="0"/>
    <xf numFmtId="0" fontId="18" fillId="0" borderId="0" applyBorder="0" applyProtection="0"/>
    <xf numFmtId="169" fontId="18" fillId="0" borderId="0" applyBorder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25" fillId="0" borderId="0" applyFill="0" applyBorder="0" applyAlignment="0" applyProtection="0"/>
    <xf numFmtId="179" fontId="7" fillId="0" borderId="0"/>
    <xf numFmtId="0" fontId="30" fillId="0" borderId="0"/>
    <xf numFmtId="0" fontId="30" fillId="0" borderId="0"/>
    <xf numFmtId="0" fontId="19" fillId="0" borderId="0"/>
    <xf numFmtId="0" fontId="7" fillId="0" borderId="0"/>
    <xf numFmtId="43" fontId="1" fillId="0" borderId="0" applyFont="0" applyFill="0" applyBorder="0" applyAlignment="0" applyProtection="0"/>
    <xf numFmtId="180" fontId="7" fillId="0" borderId="0"/>
    <xf numFmtId="165" fontId="7" fillId="0" borderId="0"/>
    <xf numFmtId="165" fontId="7" fillId="0" borderId="0"/>
    <xf numFmtId="0" fontId="42" fillId="20" borderId="0"/>
    <xf numFmtId="43" fontId="1" fillId="0" borderId="0" applyFont="0" applyFill="0" applyBorder="0" applyAlignment="0" applyProtection="0"/>
    <xf numFmtId="0" fontId="3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/>
    <xf numFmtId="0" fontId="19" fillId="0" borderId="0"/>
    <xf numFmtId="43" fontId="1" fillId="0" borderId="0" applyFont="0" applyFill="0" applyBorder="0" applyAlignment="0" applyProtection="0"/>
    <xf numFmtId="181" fontId="4" fillId="0" borderId="0"/>
    <xf numFmtId="9" fontId="1" fillId="0" borderId="0" applyFont="0" applyFill="0" applyBorder="0" applyAlignment="0" applyProtection="0"/>
    <xf numFmtId="181" fontId="4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5">
    <xf numFmtId="0" fontId="0" fillId="0" borderId="0" xfId="0"/>
    <xf numFmtId="0" fontId="5" fillId="0" borderId="1" xfId="4" applyBorder="1" applyAlignment="1">
      <alignment horizontal="center"/>
    </xf>
    <xf numFmtId="164" fontId="0" fillId="0" borderId="1" xfId="3" applyFont="1" applyBorder="1"/>
    <xf numFmtId="0" fontId="5" fillId="0" borderId="0" xfId="4" applyAlignment="1">
      <alignment horizontal="center"/>
    </xf>
    <xf numFmtId="164" fontId="0" fillId="0" borderId="0" xfId="3" applyFont="1"/>
    <xf numFmtId="0" fontId="4" fillId="0" borderId="1" xfId="4" applyFont="1" applyBorder="1" applyAlignment="1">
      <alignment horizontal="center"/>
    </xf>
    <xf numFmtId="164" fontId="4" fillId="0" borderId="1" xfId="3" applyFont="1" applyBorder="1"/>
    <xf numFmtId="0" fontId="0" fillId="0" borderId="0" xfId="0" applyAlignment="1">
      <alignment horizontal="left"/>
    </xf>
    <xf numFmtId="0" fontId="0" fillId="0" borderId="1" xfId="0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22" fontId="11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4" fontId="11" fillId="0" borderId="0" xfId="1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44" fontId="9" fillId="3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6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center" vertical="center" wrapText="1"/>
    </xf>
    <xf numFmtId="44" fontId="11" fillId="0" borderId="1" xfId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1" xfId="4" applyFont="1" applyBorder="1"/>
    <xf numFmtId="0" fontId="9" fillId="3" borderId="6" xfId="0" applyFont="1" applyFill="1" applyBorder="1" applyAlignment="1">
      <alignment horizontal="center" vertical="center" wrapText="1"/>
    </xf>
    <xf numFmtId="44" fontId="11" fillId="0" borderId="1" xfId="1" applyFont="1" applyBorder="1" applyAlignment="1">
      <alignment horizontal="left" vertical="center" wrapText="1"/>
    </xf>
    <xf numFmtId="44" fontId="13" fillId="0" borderId="1" xfId="1" applyFont="1" applyFill="1" applyBorder="1" applyAlignment="1">
      <alignment horizontal="left" vertical="center" wrapText="1"/>
    </xf>
    <xf numFmtId="44" fontId="13" fillId="2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 wrapText="1"/>
    </xf>
    <xf numFmtId="9" fontId="0" fillId="0" borderId="0" xfId="0" applyNumberForma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49" fontId="11" fillId="0" borderId="0" xfId="0" applyNumberFormat="1" applyFont="1"/>
    <xf numFmtId="0" fontId="2" fillId="8" borderId="1" xfId="0" applyFont="1" applyFill="1" applyBorder="1" applyAlignment="1">
      <alignment horizontal="left" vertical="center" wrapText="1"/>
    </xf>
    <xf numFmtId="14" fontId="2" fillId="8" borderId="1" xfId="0" applyNumberFormat="1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/>
    <xf numFmtId="14" fontId="11" fillId="0" borderId="1" xfId="0" applyNumberFormat="1" applyFont="1" applyBorder="1" applyAlignment="1">
      <alignment horizontal="left"/>
    </xf>
    <xf numFmtId="44" fontId="11" fillId="0" borderId="1" xfId="0" applyNumberFormat="1" applyFont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8" fillId="7" borderId="1" xfId="0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/>
    </xf>
    <xf numFmtId="14" fontId="11" fillId="0" borderId="0" xfId="0" applyNumberFormat="1" applyFont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9" fillId="8" borderId="1" xfId="0" applyFont="1" applyFill="1" applyBorder="1" applyAlignment="1">
      <alignment horizontal="left" vertical="center" wrapText="1"/>
    </xf>
    <xf numFmtId="14" fontId="9" fillId="8" borderId="1" xfId="0" applyNumberFormat="1" applyFont="1" applyFill="1" applyBorder="1" applyAlignment="1">
      <alignment horizontal="left" vertical="center" wrapText="1"/>
    </xf>
    <xf numFmtId="49" fontId="9" fillId="8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44" fontId="11" fillId="0" borderId="1" xfId="1" applyFont="1" applyFill="1" applyBorder="1" applyAlignment="1">
      <alignment horizontal="left"/>
    </xf>
    <xf numFmtId="164" fontId="0" fillId="0" borderId="0" xfId="3" applyFont="1" applyBorder="1"/>
    <xf numFmtId="0" fontId="5" fillId="0" borderId="0" xfId="4"/>
    <xf numFmtId="0" fontId="4" fillId="0" borderId="0" xfId="4" applyFont="1" applyAlignment="1">
      <alignment horizontal="center"/>
    </xf>
    <xf numFmtId="164" fontId="4" fillId="0" borderId="0" xfId="3" applyFont="1" applyBorder="1"/>
    <xf numFmtId="176" fontId="0" fillId="0" borderId="0" xfId="1" applyNumberFormat="1" applyFont="1"/>
    <xf numFmtId="0" fontId="4" fillId="0" borderId="0" xfId="4" applyFont="1"/>
    <xf numFmtId="44" fontId="11" fillId="0" borderId="3" xfId="1" applyFont="1" applyBorder="1" applyAlignment="1">
      <alignment horizontal="left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 vertical="top"/>
    </xf>
    <xf numFmtId="14" fontId="11" fillId="0" borderId="1" xfId="0" applyNumberFormat="1" applyFont="1" applyBorder="1" applyAlignment="1">
      <alignment horizontal="left" vertical="top"/>
    </xf>
    <xf numFmtId="14" fontId="11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18" borderId="0" xfId="0" applyFill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177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78" fontId="0" fillId="0" borderId="1" xfId="5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wrapText="1"/>
    </xf>
    <xf numFmtId="165" fontId="35" fillId="0" borderId="1" xfId="5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left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wrapText="1"/>
    </xf>
    <xf numFmtId="165" fontId="20" fillId="0" borderId="1" xfId="5" applyFont="1" applyBorder="1" applyAlignment="1">
      <alignment horizontal="center"/>
    </xf>
    <xf numFmtId="165" fontId="20" fillId="0" borderId="1" xfId="5" applyFont="1" applyBorder="1"/>
    <xf numFmtId="165" fontId="20" fillId="15" borderId="1" xfId="5" applyFont="1" applyFill="1" applyBorder="1"/>
    <xf numFmtId="0" fontId="13" fillId="4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left"/>
    </xf>
    <xf numFmtId="44" fontId="6" fillId="12" borderId="1" xfId="1" applyFont="1" applyFill="1" applyBorder="1" applyAlignment="1">
      <alignment horizontal="left"/>
    </xf>
    <xf numFmtId="14" fontId="6" fillId="12" borderId="1" xfId="0" applyNumberFormat="1" applyFont="1" applyFill="1" applyBorder="1" applyAlignment="1">
      <alignment horizontal="left"/>
    </xf>
    <xf numFmtId="49" fontId="6" fillId="12" borderId="1" xfId="0" applyNumberFormat="1" applyFont="1" applyFill="1" applyBorder="1" applyAlignment="1">
      <alignment horizontal="left"/>
    </xf>
    <xf numFmtId="0" fontId="9" fillId="3" borderId="7" xfId="0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41" fillId="0" borderId="1" xfId="40" applyFont="1" applyBorder="1" applyAlignment="1">
      <alignment horizontal="left" vertical="center"/>
    </xf>
    <xf numFmtId="0" fontId="41" fillId="0" borderId="1" xfId="0" applyFont="1" applyBorder="1" applyAlignment="1">
      <alignment horizontal="left"/>
    </xf>
    <xf numFmtId="49" fontId="0" fillId="0" borderId="0" xfId="0" applyNumberFormat="1"/>
    <xf numFmtId="0" fontId="9" fillId="8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/>
    </xf>
    <xf numFmtId="49" fontId="9" fillId="8" borderId="7" xfId="0" applyNumberFormat="1" applyFont="1" applyFill="1" applyBorder="1" applyAlignment="1">
      <alignment horizontal="left"/>
    </xf>
    <xf numFmtId="49" fontId="10" fillId="9" borderId="7" xfId="0" applyNumberFormat="1" applyFont="1" applyFill="1" applyBorder="1" applyAlignment="1">
      <alignment horizontal="left" vertical="top" wrapText="1"/>
    </xf>
    <xf numFmtId="0" fontId="9" fillId="10" borderId="7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17" fontId="11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0" fontId="41" fillId="4" borderId="1" xfId="4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/>
    </xf>
    <xf numFmtId="0" fontId="8" fillId="19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4" fontId="0" fillId="0" borderId="0" xfId="0" applyNumberFormat="1"/>
    <xf numFmtId="0" fontId="2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17" fontId="11" fillId="0" borderId="1" xfId="0" applyNumberFormat="1" applyFont="1" applyBorder="1" applyAlignment="1">
      <alignment horizontal="center" vertical="center"/>
    </xf>
    <xf numFmtId="175" fontId="0" fillId="0" borderId="0" xfId="0" applyNumberFormat="1"/>
    <xf numFmtId="1" fontId="0" fillId="0" borderId="0" xfId="0" applyNumberFormat="1"/>
    <xf numFmtId="49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9" fillId="0" borderId="1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center" wrapText="1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9" fontId="0" fillId="0" borderId="1" xfId="6" applyFont="1" applyBorder="1"/>
    <xf numFmtId="176" fontId="0" fillId="0" borderId="1" xfId="0" applyNumberFormat="1" applyBorder="1"/>
    <xf numFmtId="176" fontId="0" fillId="0" borderId="5" xfId="0" applyNumberFormat="1" applyBorder="1"/>
    <xf numFmtId="0" fontId="11" fillId="0" borderId="1" xfId="6" applyNumberFormat="1" applyFont="1" applyBorder="1" applyAlignment="1">
      <alignment horizontal="center" vertical="center" wrapText="1"/>
    </xf>
    <xf numFmtId="0" fontId="44" fillId="23" borderId="1" xfId="0" applyFont="1" applyFill="1" applyBorder="1" applyAlignment="1">
      <alignment horizontal="center" vertical="center"/>
    </xf>
    <xf numFmtId="0" fontId="44" fillId="24" borderId="1" xfId="0" applyFont="1" applyFill="1" applyBorder="1"/>
    <xf numFmtId="0" fontId="44" fillId="25" borderId="1" xfId="0" applyFont="1" applyFill="1" applyBorder="1" applyAlignment="1">
      <alignment horizontal="center"/>
    </xf>
    <xf numFmtId="0" fontId="44" fillId="24" borderId="1" xfId="0" applyFont="1" applyFill="1" applyBorder="1" applyAlignment="1">
      <alignment horizontal="center"/>
    </xf>
    <xf numFmtId="0" fontId="44" fillId="23" borderId="1" xfId="0" applyFont="1" applyFill="1" applyBorder="1"/>
    <xf numFmtId="0" fontId="44" fillId="24" borderId="5" xfId="0" applyFont="1" applyFill="1" applyBorder="1" applyAlignment="1">
      <alignment horizontal="center"/>
    </xf>
    <xf numFmtId="9" fontId="0" fillId="0" borderId="1" xfId="6" applyFont="1" applyFill="1" applyBorder="1" applyAlignment="1">
      <alignment horizontal="center"/>
    </xf>
    <xf numFmtId="9" fontId="0" fillId="0" borderId="1" xfId="6" applyFont="1" applyBorder="1" applyAlignment="1">
      <alignment horizontal="center"/>
    </xf>
    <xf numFmtId="0" fontId="13" fillId="0" borderId="0" xfId="0" applyFont="1" applyAlignment="1">
      <alignment horizontal="left"/>
    </xf>
    <xf numFmtId="9" fontId="0" fillId="0" borderId="0" xfId="6" applyFon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9" fontId="12" fillId="0" borderId="1" xfId="6" applyFont="1" applyBorder="1" applyAlignment="1">
      <alignment horizontal="center"/>
    </xf>
    <xf numFmtId="181" fontId="2" fillId="8" borderId="9" xfId="136" applyFont="1" applyFill="1" applyBorder="1" applyAlignment="1">
      <alignment horizontal="center" vertical="center" wrapText="1"/>
    </xf>
    <xf numFmtId="168" fontId="15" fillId="13" borderId="9" xfId="137" applyNumberFormat="1" applyFont="1" applyFill="1" applyBorder="1" applyAlignment="1">
      <alignment horizontal="center" vertical="center"/>
    </xf>
    <xf numFmtId="43" fontId="2" fillId="26" borderId="9" xfId="135" applyFont="1" applyFill="1" applyBorder="1" applyAlignment="1">
      <alignment horizontal="center" vertical="center" wrapText="1"/>
    </xf>
    <xf numFmtId="44" fontId="2" fillId="8" borderId="9" xfId="1" applyFont="1" applyFill="1" applyBorder="1" applyAlignment="1">
      <alignment horizontal="center" vertical="center" wrapText="1"/>
    </xf>
    <xf numFmtId="9" fontId="15" fillId="13" borderId="9" xfId="137" applyFont="1" applyFill="1" applyBorder="1" applyAlignment="1">
      <alignment horizontal="center" vertical="center"/>
    </xf>
    <xf numFmtId="44" fontId="15" fillId="13" borderId="9" xfId="1" applyFont="1" applyFill="1" applyBorder="1" applyAlignment="1">
      <alignment horizontal="center" vertical="center"/>
    </xf>
    <xf numFmtId="9" fontId="45" fillId="0" borderId="9" xfId="137" applyFont="1" applyFill="1" applyBorder="1" applyAlignment="1">
      <alignment vertical="center" wrapText="1"/>
    </xf>
    <xf numFmtId="3" fontId="1" fillId="18" borderId="9" xfId="138" applyNumberFormat="1" applyFont="1" applyFill="1" applyBorder="1" applyAlignment="1">
      <alignment horizontal="center" vertical="center"/>
    </xf>
    <xf numFmtId="9" fontId="0" fillId="0" borderId="9" xfId="6" applyFont="1" applyFill="1" applyBorder="1" applyAlignment="1">
      <alignment horizontal="center" vertical="center"/>
    </xf>
    <xf numFmtId="44" fontId="1" fillId="0" borderId="9" xfId="1" applyFont="1" applyFill="1" applyBorder="1" applyAlignment="1">
      <alignment horizontal="center" vertical="center"/>
    </xf>
    <xf numFmtId="1" fontId="1" fillId="18" borderId="9" xfId="0" applyNumberFormat="1" applyFont="1" applyFill="1" applyBorder="1" applyAlignment="1">
      <alignment horizontal="center" vertical="center"/>
    </xf>
    <xf numFmtId="1" fontId="1" fillId="22" borderId="9" xfId="6" applyNumberFormat="1" applyFont="1" applyFill="1" applyBorder="1" applyAlignment="1">
      <alignment horizontal="center" vertical="center"/>
    </xf>
    <xf numFmtId="9" fontId="1" fillId="18" borderId="9" xfId="6" applyFont="1" applyFill="1" applyBorder="1" applyAlignment="1">
      <alignment horizontal="center" vertical="center"/>
    </xf>
    <xf numFmtId="0" fontId="1" fillId="18" borderId="9" xfId="6" applyNumberFormat="1" applyFont="1" applyFill="1" applyBorder="1" applyAlignment="1">
      <alignment horizontal="center" vertical="center"/>
    </xf>
    <xf numFmtId="1" fontId="1" fillId="18" borderId="9" xfId="6" applyNumberFormat="1" applyFont="1" applyFill="1" applyBorder="1" applyAlignment="1">
      <alignment horizontal="center" vertical="center"/>
    </xf>
    <xf numFmtId="9" fontId="1" fillId="0" borderId="9" xfId="6" applyFont="1" applyFill="1" applyBorder="1" applyAlignment="1">
      <alignment horizontal="center" vertical="center"/>
    </xf>
    <xf numFmtId="9" fontId="45" fillId="0" borderId="10" xfId="137" applyFont="1" applyFill="1" applyBorder="1" applyAlignment="1">
      <alignment vertical="center" wrapText="1"/>
    </xf>
    <xf numFmtId="181" fontId="1" fillId="18" borderId="9" xfId="6" applyNumberFormat="1" applyFont="1" applyFill="1" applyBorder="1" applyAlignment="1">
      <alignment horizontal="center" vertical="center"/>
    </xf>
    <xf numFmtId="9" fontId="1" fillId="4" borderId="9" xfId="6" applyFont="1" applyFill="1" applyBorder="1" applyAlignment="1">
      <alignment horizontal="center" vertical="center"/>
    </xf>
    <xf numFmtId="9" fontId="45" fillId="15" borderId="9" xfId="137" applyFont="1" applyFill="1" applyBorder="1" applyAlignment="1">
      <alignment vertical="center" wrapText="1"/>
    </xf>
    <xf numFmtId="181" fontId="1" fillId="15" borderId="9" xfId="6" applyNumberFormat="1" applyFont="1" applyFill="1" applyBorder="1" applyAlignment="1">
      <alignment horizontal="center" vertical="center"/>
    </xf>
    <xf numFmtId="9" fontId="1" fillId="15" borderId="9" xfId="6" applyFont="1" applyFill="1" applyBorder="1" applyAlignment="1">
      <alignment horizontal="center" vertical="center"/>
    </xf>
    <xf numFmtId="44" fontId="1" fillId="15" borderId="9" xfId="1" applyFont="1" applyFill="1" applyBorder="1" applyAlignment="1">
      <alignment horizontal="center" vertical="center"/>
    </xf>
    <xf numFmtId="9" fontId="45" fillId="0" borderId="9" xfId="137" applyFont="1" applyFill="1" applyBorder="1" applyAlignment="1">
      <alignment horizontal="left" vertical="center" wrapText="1"/>
    </xf>
    <xf numFmtId="9" fontId="47" fillId="18" borderId="9" xfId="0" applyNumberFormat="1" applyFont="1" applyFill="1" applyBorder="1" applyAlignment="1">
      <alignment horizontal="center" vertical="center" wrapText="1"/>
    </xf>
    <xf numFmtId="9" fontId="47" fillId="22" borderId="9" xfId="0" applyNumberFormat="1" applyFont="1" applyFill="1" applyBorder="1" applyAlignment="1">
      <alignment horizontal="center" vertical="center" wrapText="1"/>
    </xf>
    <xf numFmtId="44" fontId="48" fillId="15" borderId="9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9" fontId="0" fillId="0" borderId="1" xfId="0" applyNumberFormat="1" applyBorder="1"/>
    <xf numFmtId="182" fontId="0" fillId="0" borderId="1" xfId="6" applyNumberFormat="1" applyFont="1" applyBorder="1"/>
    <xf numFmtId="9" fontId="0" fillId="27" borderId="1" xfId="0" applyNumberFormat="1" applyFill="1" applyBorder="1"/>
    <xf numFmtId="182" fontId="0" fillId="27" borderId="1" xfId="6" applyNumberFormat="1" applyFont="1" applyFill="1" applyBorder="1"/>
    <xf numFmtId="0" fontId="11" fillId="0" borderId="1" xfId="1" applyNumberFormat="1" applyFont="1" applyBorder="1" applyAlignment="1">
      <alignment horizontal="left"/>
    </xf>
    <xf numFmtId="2" fontId="11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3" fontId="15" fillId="22" borderId="9" xfId="138" applyNumberFormat="1" applyFont="1" applyFill="1" applyBorder="1" applyAlignment="1">
      <alignment horizontal="center" vertical="center"/>
    </xf>
    <xf numFmtId="9" fontId="15" fillId="22" borderId="9" xfId="6" applyFont="1" applyFill="1" applyBorder="1" applyAlignment="1">
      <alignment horizontal="center" vertical="center"/>
    </xf>
    <xf numFmtId="0" fontId="44" fillId="2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9" borderId="11" xfId="0" applyFont="1" applyFill="1" applyBorder="1"/>
    <xf numFmtId="0" fontId="2" fillId="29" borderId="12" xfId="0" applyFont="1" applyFill="1" applyBorder="1"/>
    <xf numFmtId="0" fontId="0" fillId="0" borderId="1" xfId="6" applyNumberFormat="1" applyFont="1" applyBorder="1"/>
    <xf numFmtId="1" fontId="49" fillId="18" borderId="9" xfId="6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44" fontId="0" fillId="0" borderId="0" xfId="0" applyNumberFormat="1"/>
    <xf numFmtId="184" fontId="11" fillId="0" borderId="1" xfId="6" applyNumberFormat="1" applyFont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4" fontId="0" fillId="0" borderId="11" xfId="0" applyNumberFormat="1" applyBorder="1"/>
    <xf numFmtId="0" fontId="51" fillId="0" borderId="0" xfId="0" applyFont="1" applyAlignment="1">
      <alignment horizontal="left" wrapText="1"/>
    </xf>
    <xf numFmtId="0" fontId="51" fillId="0" borderId="0" xfId="0" applyFont="1"/>
    <xf numFmtId="44" fontId="11" fillId="0" borderId="1" xfId="1" applyFont="1" applyBorder="1" applyAlignment="1">
      <alignment horizontal="center" vertical="center" wrapText="1"/>
    </xf>
    <xf numFmtId="0" fontId="0" fillId="30" borderId="0" xfId="0" applyFill="1"/>
    <xf numFmtId="181" fontId="52" fillId="8" borderId="9" xfId="136" applyFont="1" applyFill="1" applyBorder="1" applyAlignment="1">
      <alignment horizontal="center" vertical="center" wrapText="1"/>
    </xf>
    <xf numFmtId="3" fontId="1" fillId="22" borderId="9" xfId="138" applyNumberFormat="1" applyFont="1" applyFill="1" applyBorder="1" applyAlignment="1">
      <alignment horizontal="center" vertical="center"/>
    </xf>
    <xf numFmtId="3" fontId="1" fillId="0" borderId="9" xfId="138" applyNumberFormat="1" applyFont="1" applyFill="1" applyBorder="1" applyAlignment="1">
      <alignment horizontal="center" vertical="center"/>
    </xf>
    <xf numFmtId="9" fontId="0" fillId="0" borderId="9" xfId="6" applyFont="1" applyFill="1" applyBorder="1" applyAlignment="1">
      <alignment horizontal="center"/>
    </xf>
    <xf numFmtId="3" fontId="15" fillId="0" borderId="9" xfId="138" applyNumberFormat="1" applyFont="1" applyFill="1" applyBorder="1" applyAlignment="1">
      <alignment horizontal="center" vertical="center"/>
    </xf>
    <xf numFmtId="1" fontId="15" fillId="0" borderId="9" xfId="6" applyNumberFormat="1" applyFont="1" applyFill="1" applyBorder="1" applyAlignment="1">
      <alignment horizontal="center" vertical="center"/>
    </xf>
    <xf numFmtId="9" fontId="15" fillId="13" borderId="9" xfId="6" applyFont="1" applyFill="1" applyBorder="1" applyAlignment="1">
      <alignment horizontal="center" vertical="center"/>
    </xf>
    <xf numFmtId="9" fontId="53" fillId="22" borderId="9" xfId="0" applyNumberFormat="1" applyFont="1" applyFill="1" applyBorder="1" applyAlignment="1">
      <alignment horizontal="center" vertical="center" wrapText="1"/>
    </xf>
    <xf numFmtId="10" fontId="0" fillId="0" borderId="9" xfId="137" applyNumberFormat="1" applyFont="1" applyFill="1" applyBorder="1" applyAlignment="1">
      <alignment horizontal="center" vertical="center"/>
    </xf>
    <xf numFmtId="0" fontId="15" fillId="0" borderId="0" xfId="0" applyFont="1"/>
    <xf numFmtId="44" fontId="54" fillId="0" borderId="13" xfId="1" applyFont="1" applyBorder="1"/>
    <xf numFmtId="185" fontId="0" fillId="0" borderId="1" xfId="0" applyNumberFormat="1" applyBorder="1" applyAlignment="1">
      <alignment horizontal="center"/>
    </xf>
    <xf numFmtId="176" fontId="2" fillId="8" borderId="9" xfId="136" applyNumberFormat="1" applyFont="1" applyFill="1" applyBorder="1" applyAlignment="1">
      <alignment horizontal="center" vertical="center" wrapText="1"/>
    </xf>
    <xf numFmtId="44" fontId="12" fillId="21" borderId="1" xfId="1" applyFont="1" applyFill="1" applyBorder="1" applyAlignment="1">
      <alignment horizontal="center" vertical="center" wrapText="1"/>
    </xf>
    <xf numFmtId="9" fontId="1" fillId="22" borderId="9" xfId="6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44" fontId="12" fillId="31" borderId="1" xfId="1" applyFon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44" fontId="11" fillId="0" borderId="3" xfId="1" applyFont="1" applyFill="1" applyBorder="1" applyAlignment="1">
      <alignment horizontal="left"/>
    </xf>
    <xf numFmtId="0" fontId="0" fillId="0" borderId="11" xfId="0" quotePrefix="1" applyBorder="1"/>
    <xf numFmtId="0" fontId="0" fillId="0" borderId="11" xfId="0" applyBorder="1"/>
    <xf numFmtId="0" fontId="55" fillId="0" borderId="0" xfId="0" applyFont="1"/>
    <xf numFmtId="183" fontId="0" fillId="0" borderId="0" xfId="0" applyNumberFormat="1"/>
    <xf numFmtId="186" fontId="0" fillId="0" borderId="0" xfId="0" applyNumberFormat="1"/>
    <xf numFmtId="0" fontId="56" fillId="0" borderId="14" xfId="0" applyFont="1" applyBorder="1"/>
    <xf numFmtId="0" fontId="13" fillId="0" borderId="2" xfId="0" applyFont="1" applyBorder="1" applyAlignment="1">
      <alignment horizontal="left" vertical="center" wrapText="1"/>
    </xf>
    <xf numFmtId="0" fontId="57" fillId="0" borderId="14" xfId="0" quotePrefix="1" applyFont="1" applyBorder="1"/>
    <xf numFmtId="0" fontId="13" fillId="0" borderId="14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/>
    </xf>
    <xf numFmtId="0" fontId="56" fillId="32" borderId="14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49" fontId="13" fillId="0" borderId="14" xfId="0" quotePrefix="1" applyNumberFormat="1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9" fillId="33" borderId="1" xfId="0" applyFont="1" applyFill="1" applyBorder="1" applyAlignment="1">
      <alignment horizontal="center" vertical="center" wrapText="1"/>
    </xf>
    <xf numFmtId="0" fontId="61" fillId="34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left"/>
    </xf>
    <xf numFmtId="0" fontId="4" fillId="0" borderId="0" xfId="32" applyAlignment="1">
      <alignment horizontal="center"/>
    </xf>
    <xf numFmtId="164" fontId="0" fillId="0" borderId="0" xfId="3" applyFont="1" applyFill="1" applyBorder="1" applyAlignment="1">
      <alignment horizontal="center"/>
    </xf>
    <xf numFmtId="0" fontId="4" fillId="0" borderId="0" xfId="32" applyAlignment="1">
      <alignment horizontal="left"/>
    </xf>
    <xf numFmtId="0" fontId="0" fillId="0" borderId="0" xfId="3" applyNumberFormat="1" applyFont="1" applyBorder="1" applyAlignment="1">
      <alignment horizontal="center"/>
    </xf>
    <xf numFmtId="2" fontId="13" fillId="2" borderId="1" xfId="0" applyNumberFormat="1" applyFont="1" applyFill="1" applyBorder="1" applyAlignment="1">
      <alignment horizontal="center" vertical="center" wrapText="1"/>
    </xf>
    <xf numFmtId="187" fontId="11" fillId="0" borderId="1" xfId="0" applyNumberFormat="1" applyFont="1" applyBorder="1" applyAlignment="1">
      <alignment horizontal="left"/>
    </xf>
    <xf numFmtId="0" fontId="0" fillId="27" borderId="1" xfId="0" applyFill="1" applyBorder="1" applyAlignment="1">
      <alignment horizontal="center"/>
    </xf>
    <xf numFmtId="0" fontId="11" fillId="27" borderId="1" xfId="0" applyFont="1" applyFill="1" applyBorder="1" applyAlignment="1">
      <alignment horizontal="center" vertical="center"/>
    </xf>
    <xf numFmtId="49" fontId="0" fillId="27" borderId="1" xfId="0" applyNumberFormat="1" applyFill="1" applyBorder="1" applyAlignment="1">
      <alignment horizontal="center"/>
    </xf>
    <xf numFmtId="0" fontId="0" fillId="35" borderId="11" xfId="0" quotePrefix="1" applyFill="1" applyBorder="1"/>
    <xf numFmtId="0" fontId="0" fillId="35" borderId="11" xfId="0" applyFill="1" applyBorder="1"/>
    <xf numFmtId="0" fontId="62" fillId="0" borderId="15" xfId="0" applyFont="1" applyBorder="1" applyAlignment="1">
      <alignment horizontal="center" vertical="center"/>
    </xf>
    <xf numFmtId="188" fontId="62" fillId="0" borderId="15" xfId="0" applyNumberFormat="1" applyFont="1" applyBorder="1" applyAlignment="1">
      <alignment horizontal="center" vertical="center"/>
    </xf>
    <xf numFmtId="0" fontId="62" fillId="0" borderId="15" xfId="0" quotePrefix="1" applyFont="1" applyBorder="1" applyAlignment="1">
      <alignment horizontal="center" vertical="center"/>
    </xf>
    <xf numFmtId="44" fontId="0" fillId="0" borderId="1" xfId="1" applyFont="1" applyBorder="1"/>
    <xf numFmtId="0" fontId="44" fillId="23" borderId="5" xfId="0" applyFont="1" applyFill="1" applyBorder="1" applyAlignment="1">
      <alignment horizontal="center"/>
    </xf>
    <xf numFmtId="9" fontId="0" fillId="0" borderId="1" xfId="6" applyFont="1" applyBorder="1" applyAlignment="1">
      <alignment horizontal="center" vertical="center"/>
    </xf>
    <xf numFmtId="44" fontId="13" fillId="4" borderId="0" xfId="1" applyFont="1" applyFill="1" applyAlignment="1">
      <alignment horizontal="center" vertical="center"/>
    </xf>
    <xf numFmtId="189" fontId="19" fillId="0" borderId="1" xfId="0" applyNumberFormat="1" applyFont="1" applyBorder="1" applyAlignment="1">
      <alignment horizontal="center"/>
    </xf>
    <xf numFmtId="14" fontId="0" fillId="35" borderId="11" xfId="0" applyNumberFormat="1" applyFill="1" applyBorder="1" applyAlignment="1">
      <alignment horizontal="right"/>
    </xf>
    <xf numFmtId="14" fontId="0" fillId="0" borderId="11" xfId="0" applyNumberFormat="1" applyBorder="1" applyAlignment="1">
      <alignment horizontal="right"/>
    </xf>
    <xf numFmtId="184" fontId="0" fillId="0" borderId="9" xfId="6" applyNumberFormat="1" applyFont="1" applyFill="1" applyBorder="1" applyAlignment="1">
      <alignment horizontal="center"/>
    </xf>
    <xf numFmtId="44" fontId="13" fillId="4" borderId="0" xfId="0" applyNumberFormat="1" applyFont="1" applyFill="1" applyAlignment="1">
      <alignment horizontal="center" vertical="center"/>
    </xf>
    <xf numFmtId="14" fontId="0" fillId="35" borderId="11" xfId="0" applyNumberFormat="1" applyFill="1" applyBorder="1"/>
    <xf numFmtId="1" fontId="0" fillId="36" borderId="1" xfId="0" applyNumberFormat="1" applyFill="1" applyBorder="1" applyAlignment="1">
      <alignment horizontal="center" vertical="center"/>
    </xf>
    <xf numFmtId="1" fontId="0" fillId="36" borderId="1" xfId="6" applyNumberFormat="1" applyFont="1" applyFill="1" applyBorder="1" applyAlignment="1">
      <alignment horizontal="center" vertical="center"/>
    </xf>
    <xf numFmtId="9" fontId="0" fillId="36" borderId="1" xfId="6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/>
    </xf>
    <xf numFmtId="0" fontId="4" fillId="0" borderId="8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24" borderId="2" xfId="0" applyFont="1" applyFill="1" applyBorder="1" applyAlignment="1">
      <alignment horizontal="center"/>
    </xf>
    <xf numFmtId="0" fontId="44" fillId="24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</cellXfs>
  <cellStyles count="140">
    <cellStyle name="Comma [0]" xfId="138" xr:uid="{48896826-6E54-4DBC-A9E0-3B530C98190B}"/>
    <cellStyle name="Énfasis5 2" xfId="15" xr:uid="{00000000-0005-0000-0000-000000000000}"/>
    <cellStyle name="Excel Built-in Comma" xfId="110" xr:uid="{00000000-0005-0000-0000-000001000000}"/>
    <cellStyle name="Excel Built-in Comma 2" xfId="76" xr:uid="{00000000-0005-0000-0000-000002000000}"/>
    <cellStyle name="Excel Built-in Currency 1" xfId="8" xr:uid="{00000000-0005-0000-0000-000003000000}"/>
    <cellStyle name="Excel Built-in Normal" xfId="5" xr:uid="{00000000-0005-0000-0000-000004000000}"/>
    <cellStyle name="Excel Built-in Normal 1" xfId="7" xr:uid="{00000000-0005-0000-0000-000005000000}"/>
    <cellStyle name="Excel Built-in Normal 1 2" xfId="112" xr:uid="{00000000-0005-0000-0000-000006000000}"/>
    <cellStyle name="Excel Built-in Normal 2" xfId="12" xr:uid="{00000000-0005-0000-0000-000007000000}"/>
    <cellStyle name="Excel Built-in Normal 2 2" xfId="111" xr:uid="{00000000-0005-0000-0000-000008000000}"/>
    <cellStyle name="Excel Built-in Normal 2 3" xfId="108" xr:uid="{00000000-0005-0000-0000-000009000000}"/>
    <cellStyle name="Excel Built-in Normal 2 4" xfId="115" xr:uid="{C9766B39-2A50-463B-9C5E-8D1427D1CDB5}"/>
    <cellStyle name="Excel Built-in Normal 3" xfId="17" xr:uid="{00000000-0005-0000-0000-00000A000000}"/>
    <cellStyle name="Excel Built-in Normal 3 2" xfId="20" xr:uid="{00000000-0005-0000-0000-00000B000000}"/>
    <cellStyle name="Excel Built-in Normal 3 2 2" xfId="88" xr:uid="{00000000-0005-0000-0000-00000C000000}"/>
    <cellStyle name="Excel Built-in Normal 3 2 3" xfId="75" xr:uid="{00000000-0005-0000-0000-00000D000000}"/>
    <cellStyle name="Excel Built-in Normal 3 3" xfId="87" xr:uid="{00000000-0005-0000-0000-00000E000000}"/>
    <cellStyle name="Excel Built-in Normal 3 3 2" xfId="106" xr:uid="{00000000-0005-0000-0000-00000F000000}"/>
    <cellStyle name="Excel Built-in Normal 3 4" xfId="50" xr:uid="{00000000-0005-0000-0000-000010000000}"/>
    <cellStyle name="Excel Built-in Normal 4" xfId="19" xr:uid="{00000000-0005-0000-0000-000011000000}"/>
    <cellStyle name="Excel Built-in Normal 5" xfId="83" xr:uid="{00000000-0005-0000-0000-000012000000}"/>
    <cellStyle name="Excel Built-in Normal 6" xfId="74" xr:uid="{00000000-0005-0000-0000-000013000000}"/>
    <cellStyle name="Excel Built-in Normal 7" xfId="104" xr:uid="{00000000-0005-0000-0000-000014000000}"/>
    <cellStyle name="Excel Built-in Normal 7 2" xfId="105" xr:uid="{00000000-0005-0000-0000-000015000000}"/>
    <cellStyle name="Excel Built-in Normal 8" xfId="107" xr:uid="{00000000-0005-0000-0000-000016000000}"/>
    <cellStyle name="Excel Built-in Percent" xfId="9" xr:uid="{00000000-0005-0000-0000-000017000000}"/>
    <cellStyle name="Excel Built-in Percent 1" xfId="10" xr:uid="{00000000-0005-0000-0000-000018000000}"/>
    <cellStyle name="Excel_CondFormat_1_1_1" xfId="113" xr:uid="{00000000-0005-0000-0000-000019000000}"/>
    <cellStyle name="Heading" xfId="33" xr:uid="{00000000-0005-0000-0000-00001A000000}"/>
    <cellStyle name="Heading 1" xfId="21" xr:uid="{00000000-0005-0000-0000-00001B000000}"/>
    <cellStyle name="Heading 1 2" xfId="53" xr:uid="{00000000-0005-0000-0000-00001C000000}"/>
    <cellStyle name="Heading 1 3" xfId="89" xr:uid="{00000000-0005-0000-0000-00001D000000}"/>
    <cellStyle name="Heading 1 4" xfId="52" xr:uid="{00000000-0005-0000-0000-00001E000000}"/>
    <cellStyle name="Heading1" xfId="35" xr:uid="{00000000-0005-0000-0000-00001F000000}"/>
    <cellStyle name="Heading1 1" xfId="22" xr:uid="{00000000-0005-0000-0000-000020000000}"/>
    <cellStyle name="Heading1 1 2" xfId="55" xr:uid="{00000000-0005-0000-0000-000021000000}"/>
    <cellStyle name="Heading1 1 3" xfId="56" xr:uid="{00000000-0005-0000-0000-000022000000}"/>
    <cellStyle name="Heading1 1 4" xfId="54" xr:uid="{00000000-0005-0000-0000-000023000000}"/>
    <cellStyle name="Heading1 1 5" xfId="90" xr:uid="{00000000-0005-0000-0000-000024000000}"/>
    <cellStyle name="Heading1 1 6" xfId="46" xr:uid="{00000000-0005-0000-0000-000025000000}"/>
    <cellStyle name="Heading1 2" xfId="57" xr:uid="{00000000-0005-0000-0000-000026000000}"/>
    <cellStyle name="Millares" xfId="135" builtinId="3"/>
    <cellStyle name="Millares 2" xfId="23" xr:uid="{00000000-0005-0000-0000-000027000000}"/>
    <cellStyle name="Millares 2 2" xfId="91" xr:uid="{00000000-0005-0000-0000-000028000000}"/>
    <cellStyle name="Millares 2 2 2" xfId="118" xr:uid="{7A29B569-AFA9-4FBC-B7C8-7045FC65F4A2}"/>
    <cellStyle name="Millares 2 2 3" xfId="119" xr:uid="{A1F2BE3E-9C01-4C49-B77F-7F0DAC62B441}"/>
    <cellStyle name="Millares 2 2 4" xfId="117" xr:uid="{80666381-8332-490A-9E7E-1B20C1A85F1B}"/>
    <cellStyle name="Millares 2 3" xfId="58" xr:uid="{00000000-0005-0000-0000-000029000000}"/>
    <cellStyle name="Millares 2 4" xfId="116" xr:uid="{411F215F-31FB-453D-A29D-574255938692}"/>
    <cellStyle name="Millares 3" xfId="28" xr:uid="{00000000-0005-0000-0000-00002A000000}"/>
    <cellStyle name="Millares 3 2" xfId="39" xr:uid="{00000000-0005-0000-0000-00002B000000}"/>
    <cellStyle name="Millares 3 2 2" xfId="101" xr:uid="{00000000-0005-0000-0000-00002C000000}"/>
    <cellStyle name="Millares 3 2 3" xfId="121" xr:uid="{1765B622-3135-4281-A873-6F8B3A6677CF}"/>
    <cellStyle name="Millares 3 3" xfId="96" xr:uid="{00000000-0005-0000-0000-00002D000000}"/>
    <cellStyle name="Millares 3 3 2" xfId="122" xr:uid="{687074CB-44E4-4757-B612-7BDFE0A2AB54}"/>
    <cellStyle name="Millares 3 4" xfId="59" xr:uid="{00000000-0005-0000-0000-00002E000000}"/>
    <cellStyle name="Millares 3 5" xfId="120" xr:uid="{79679EA1-039A-4500-B967-FD6D78B5884D}"/>
    <cellStyle name="Millares 4" xfId="51" xr:uid="{00000000-0005-0000-0000-00002F000000}"/>
    <cellStyle name="Millares 4 2" xfId="123" xr:uid="{8118ED5F-A185-489D-9A44-34E49EFE2BAD}"/>
    <cellStyle name="Millares 5" xfId="41" xr:uid="{00000000-0005-0000-0000-000030000000}"/>
    <cellStyle name="Millares 5 2" xfId="124" xr:uid="{20368A44-094F-4FDE-9B7F-89590A1E28D7}"/>
    <cellStyle name="Millares 6" xfId="102" xr:uid="{00000000-0005-0000-0000-000031000000}"/>
    <cellStyle name="Millares 6 2" xfId="125" xr:uid="{05359B2C-81D8-4D04-9375-E7D48E13008F}"/>
    <cellStyle name="Millares 7" xfId="103" xr:uid="{00000000-0005-0000-0000-000032000000}"/>
    <cellStyle name="Millares 8" xfId="109" xr:uid="{00000000-0005-0000-0000-000033000000}"/>
    <cellStyle name="Millares 9" xfId="114" xr:uid="{00000000-0005-0000-0000-000034000000}"/>
    <cellStyle name="Moneda" xfId="1" builtinId="4"/>
    <cellStyle name="Moneda 2" xfId="3" xr:uid="{00000000-0005-0000-0000-000036000000}"/>
    <cellStyle name="Moneda 2 2" xfId="31" xr:uid="{00000000-0005-0000-0000-000037000000}"/>
    <cellStyle name="Moneda 2 2 2" xfId="98" xr:uid="{00000000-0005-0000-0000-000038000000}"/>
    <cellStyle name="Moneda 2 2 2 2" xfId="128" xr:uid="{C6343162-270F-4414-97F2-5E0FA5985AEB}"/>
    <cellStyle name="Moneda 2 2 3" xfId="129" xr:uid="{95D09876-7DF2-4039-954A-0D2E6B815166}"/>
    <cellStyle name="Moneda 2 2 4" xfId="127" xr:uid="{82F24427-0CCF-44AF-B768-5900EDFE26BB}"/>
    <cellStyle name="Moneda 2 3" xfId="81" xr:uid="{00000000-0005-0000-0000-000039000000}"/>
    <cellStyle name="Moneda 2 4" xfId="126" xr:uid="{6AC841B2-A014-44AE-B3EF-C55547F3B8BC}"/>
    <cellStyle name="Moneda 3" xfId="27" xr:uid="{00000000-0005-0000-0000-00003A000000}"/>
    <cellStyle name="Moneda 3 2" xfId="37" xr:uid="{00000000-0005-0000-0000-00003B000000}"/>
    <cellStyle name="Moneda 3 2 2" xfId="100" xr:uid="{00000000-0005-0000-0000-00003C000000}"/>
    <cellStyle name="Moneda 3 3" xfId="95" xr:uid="{00000000-0005-0000-0000-00003D000000}"/>
    <cellStyle name="Moneda 4" xfId="30" xr:uid="{00000000-0005-0000-0000-00003E000000}"/>
    <cellStyle name="Moneda 4 2" xfId="97" xr:uid="{00000000-0005-0000-0000-00003F000000}"/>
    <cellStyle name="Moneda 5" xfId="79" xr:uid="{00000000-0005-0000-0000-000040000000}"/>
    <cellStyle name="Moneda 6" xfId="139" xr:uid="{2CC50E8A-46B3-4414-841E-9F64154B376C}"/>
    <cellStyle name="Normal" xfId="0" builtinId="0"/>
    <cellStyle name="Normal 10 2" xfId="13" xr:uid="{00000000-0005-0000-0000-000042000000}"/>
    <cellStyle name="Normal 107" xfId="130" xr:uid="{887957AE-3662-42D7-B570-D8A9320C243A}"/>
    <cellStyle name="Normal 117" xfId="131" xr:uid="{14A68EC7-B61F-44BE-8FEA-B11249681C00}"/>
    <cellStyle name="Normal 119" xfId="132" xr:uid="{7E1489C8-CDF3-4C5A-999C-75C71D18C12D}"/>
    <cellStyle name="Normal 2" xfId="2" xr:uid="{00000000-0005-0000-0000-000043000000}"/>
    <cellStyle name="Normal 2 2" xfId="11" xr:uid="{00000000-0005-0000-0000-000044000000}"/>
    <cellStyle name="Normal 2 2 2" xfId="85" xr:uid="{00000000-0005-0000-0000-000045000000}"/>
    <cellStyle name="Normal 2 2 3" xfId="61" xr:uid="{00000000-0005-0000-0000-000046000000}"/>
    <cellStyle name="Normal 2 3" xfId="24" xr:uid="{00000000-0005-0000-0000-000047000000}"/>
    <cellStyle name="Normal 2 3 2" xfId="92" xr:uid="{00000000-0005-0000-0000-000048000000}"/>
    <cellStyle name="Normal 2 3 3" xfId="62" xr:uid="{00000000-0005-0000-0000-000049000000}"/>
    <cellStyle name="Normal 2 4" xfId="36" xr:uid="{00000000-0005-0000-0000-00004A000000}"/>
    <cellStyle name="Normal 2 4 2" xfId="99" xr:uid="{00000000-0005-0000-0000-00004B000000}"/>
    <cellStyle name="Normal 2 4 3" xfId="63" xr:uid="{00000000-0005-0000-0000-00004C000000}"/>
    <cellStyle name="Normal 2 5" xfId="60" xr:uid="{00000000-0005-0000-0000-00004D000000}"/>
    <cellStyle name="Normal 2 6" xfId="80" xr:uid="{00000000-0005-0000-0000-00004E000000}"/>
    <cellStyle name="Normal 2 7" xfId="47" xr:uid="{00000000-0005-0000-0000-00004F000000}"/>
    <cellStyle name="Normal 2 8" xfId="136" xr:uid="{B3084BC1-C40C-468D-8247-E2870F6836B5}"/>
    <cellStyle name="Normal 3" xfId="4" xr:uid="{00000000-0005-0000-0000-000050000000}"/>
    <cellStyle name="Normal 3 2" xfId="16" xr:uid="{00000000-0005-0000-0000-000051000000}"/>
    <cellStyle name="Normal 3 3" xfId="18" xr:uid="{00000000-0005-0000-0000-000052000000}"/>
    <cellStyle name="Normal 3 4" xfId="32" xr:uid="{00000000-0005-0000-0000-000053000000}"/>
    <cellStyle name="Normal 3 5" xfId="82" xr:uid="{00000000-0005-0000-0000-000054000000}"/>
    <cellStyle name="Normal 3 6" xfId="64" xr:uid="{00000000-0005-0000-0000-000055000000}"/>
    <cellStyle name="Normal 4" xfId="14" xr:uid="{00000000-0005-0000-0000-000056000000}"/>
    <cellStyle name="Normal 4 2" xfId="86" xr:uid="{00000000-0005-0000-0000-000057000000}"/>
    <cellStyle name="Normal 4 3" xfId="77" xr:uid="{00000000-0005-0000-0000-000058000000}"/>
    <cellStyle name="Normal 5" xfId="40" xr:uid="{00000000-0005-0000-0000-000059000000}"/>
    <cellStyle name="Normal 6" xfId="38" xr:uid="{00000000-0005-0000-0000-00005A000000}"/>
    <cellStyle name="Normal 62" xfId="133" xr:uid="{0AD174DC-02D7-4CBF-8CB9-2EFA85D6B217}"/>
    <cellStyle name="Normal 64" xfId="134" xr:uid="{A0CB0035-302E-4A9E-872E-6B259D368580}"/>
    <cellStyle name="Normal 7" xfId="78" xr:uid="{00000000-0005-0000-0000-00005B000000}"/>
    <cellStyle name="Percent" xfId="137" xr:uid="{71BA595D-C007-472F-B04D-D671B0C4ED7A}"/>
    <cellStyle name="Porcentaje" xfId="6" builtinId="5"/>
    <cellStyle name="Porcentaje 2" xfId="84" xr:uid="{00000000-0005-0000-0000-00005D000000}"/>
    <cellStyle name="Result" xfId="34" xr:uid="{00000000-0005-0000-0000-00005E000000}"/>
    <cellStyle name="Result 1" xfId="25" xr:uid="{00000000-0005-0000-0000-00005F000000}"/>
    <cellStyle name="Result 1 2" xfId="66" xr:uid="{00000000-0005-0000-0000-000060000000}"/>
    <cellStyle name="Result 1 3" xfId="67" xr:uid="{00000000-0005-0000-0000-000061000000}"/>
    <cellStyle name="Result 1 4" xfId="65" xr:uid="{00000000-0005-0000-0000-000062000000}"/>
    <cellStyle name="Result 1 5" xfId="93" xr:uid="{00000000-0005-0000-0000-000063000000}"/>
    <cellStyle name="Result 1 6" xfId="48" xr:uid="{00000000-0005-0000-0000-000064000000}"/>
    <cellStyle name="Result 2" xfId="68" xr:uid="{00000000-0005-0000-0000-000065000000}"/>
    <cellStyle name="Result2" xfId="29" xr:uid="{00000000-0005-0000-0000-000066000000}"/>
    <cellStyle name="Result2 1" xfId="26" xr:uid="{00000000-0005-0000-0000-000067000000}"/>
    <cellStyle name="Result2 1 2" xfId="70" xr:uid="{00000000-0005-0000-0000-000068000000}"/>
    <cellStyle name="Result2 1 3" xfId="71" xr:uid="{00000000-0005-0000-0000-000069000000}"/>
    <cellStyle name="Result2 1 4" xfId="69" xr:uid="{00000000-0005-0000-0000-00006A000000}"/>
    <cellStyle name="Result2 1 5" xfId="94" xr:uid="{00000000-0005-0000-0000-00006B000000}"/>
    <cellStyle name="Result2 1 6" xfId="49" xr:uid="{00000000-0005-0000-0000-00006C000000}"/>
    <cellStyle name="Result2 2" xfId="72" xr:uid="{00000000-0005-0000-0000-00006D000000}"/>
    <cellStyle name="Resultado" xfId="42" xr:uid="{00000000-0005-0000-0000-00006E000000}"/>
    <cellStyle name="Resultado2" xfId="43" xr:uid="{00000000-0005-0000-0000-00006F000000}"/>
    <cellStyle name="Título 4" xfId="44" xr:uid="{00000000-0005-0000-0000-000070000000}"/>
    <cellStyle name="Título1" xfId="45" xr:uid="{00000000-0005-0000-0000-000071000000}"/>
    <cellStyle name="Título1 2" xfId="73" xr:uid="{00000000-0005-0000-0000-000072000000}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781</xdr:row>
      <xdr:rowOff>0</xdr:rowOff>
    </xdr:from>
    <xdr:to>
      <xdr:col>16</xdr:col>
      <xdr:colOff>304800</xdr:colOff>
      <xdr:row>1010</xdr:row>
      <xdr:rowOff>114300</xdr:rowOff>
    </xdr:to>
    <xdr:sp macro="" textlink="">
      <xdr:nvSpPr>
        <xdr:cNvPr id="2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56B0E887-1B27-4785-8754-B9DB680BCBED}"/>
            </a:ext>
          </a:extLst>
        </xdr:cNvPr>
        <xdr:cNvSpPr>
          <a:spLocks noChangeAspect="1" noChangeArrowheads="1"/>
        </xdr:cNvSpPr>
      </xdr:nvSpPr>
      <xdr:spPr bwMode="auto">
        <a:xfrm>
          <a:off x="21727583" y="1543261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781</xdr:row>
      <xdr:rowOff>0</xdr:rowOff>
    </xdr:from>
    <xdr:ext cx="304800" cy="304800"/>
    <xdr:sp macro="" textlink="">
      <xdr:nvSpPr>
        <xdr:cNvPr id="3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90FB1695-A979-4723-805B-C50A90680E94}"/>
            </a:ext>
          </a:extLst>
        </xdr:cNvPr>
        <xdr:cNvSpPr>
          <a:spLocks noChangeAspect="1" noChangeArrowheads="1"/>
        </xdr:cNvSpPr>
      </xdr:nvSpPr>
      <xdr:spPr bwMode="auto">
        <a:xfrm>
          <a:off x="14795500" y="1543261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16</xdr:col>
      <xdr:colOff>0</xdr:colOff>
      <xdr:row>780</xdr:row>
      <xdr:rowOff>0</xdr:rowOff>
    </xdr:from>
    <xdr:to>
      <xdr:col>16</xdr:col>
      <xdr:colOff>304800</xdr:colOff>
      <xdr:row>1010</xdr:row>
      <xdr:rowOff>114300</xdr:rowOff>
    </xdr:to>
    <xdr:sp macro="" textlink="">
      <xdr:nvSpPr>
        <xdr:cNvPr id="4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A9416CF6-BA2E-47C8-815E-46522F92061B}"/>
            </a:ext>
          </a:extLst>
        </xdr:cNvPr>
        <xdr:cNvSpPr>
          <a:spLocks noChangeAspect="1" noChangeArrowheads="1"/>
        </xdr:cNvSpPr>
      </xdr:nvSpPr>
      <xdr:spPr bwMode="auto">
        <a:xfrm>
          <a:off x="21727583" y="1541356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780</xdr:row>
      <xdr:rowOff>0</xdr:rowOff>
    </xdr:from>
    <xdr:ext cx="304800" cy="304800"/>
    <xdr:sp macro="" textlink="">
      <xdr:nvSpPr>
        <xdr:cNvPr id="5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477A3718-BEC2-4B27-AA0B-744BF9CE8CD3}"/>
            </a:ext>
          </a:extLst>
        </xdr:cNvPr>
        <xdr:cNvSpPr>
          <a:spLocks noChangeAspect="1" noChangeArrowheads="1"/>
        </xdr:cNvSpPr>
      </xdr:nvSpPr>
      <xdr:spPr bwMode="auto">
        <a:xfrm>
          <a:off x="14795500" y="1541356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16</xdr:col>
      <xdr:colOff>0</xdr:colOff>
      <xdr:row>780</xdr:row>
      <xdr:rowOff>0</xdr:rowOff>
    </xdr:from>
    <xdr:to>
      <xdr:col>16</xdr:col>
      <xdr:colOff>304800</xdr:colOff>
      <xdr:row>1010</xdr:row>
      <xdr:rowOff>114300</xdr:rowOff>
    </xdr:to>
    <xdr:sp macro="" textlink="">
      <xdr:nvSpPr>
        <xdr:cNvPr id="6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0C3C87AA-5C9A-45D1-A9D3-3A2520D8C5AA}"/>
            </a:ext>
          </a:extLst>
        </xdr:cNvPr>
        <xdr:cNvSpPr>
          <a:spLocks noChangeAspect="1" noChangeArrowheads="1"/>
        </xdr:cNvSpPr>
      </xdr:nvSpPr>
      <xdr:spPr bwMode="auto">
        <a:xfrm>
          <a:off x="21727583" y="1541356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780</xdr:row>
      <xdr:rowOff>0</xdr:rowOff>
    </xdr:from>
    <xdr:ext cx="304800" cy="304800"/>
    <xdr:sp macro="" textlink="">
      <xdr:nvSpPr>
        <xdr:cNvPr id="7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0E79FAE2-2999-4DE2-AC5B-D597CCC89384}"/>
            </a:ext>
          </a:extLst>
        </xdr:cNvPr>
        <xdr:cNvSpPr>
          <a:spLocks noChangeAspect="1" noChangeArrowheads="1"/>
        </xdr:cNvSpPr>
      </xdr:nvSpPr>
      <xdr:spPr bwMode="auto">
        <a:xfrm>
          <a:off x="14795500" y="1541356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16</xdr:col>
      <xdr:colOff>0</xdr:colOff>
      <xdr:row>780</xdr:row>
      <xdr:rowOff>0</xdr:rowOff>
    </xdr:from>
    <xdr:to>
      <xdr:col>16</xdr:col>
      <xdr:colOff>304800</xdr:colOff>
      <xdr:row>1010</xdr:row>
      <xdr:rowOff>114300</xdr:rowOff>
    </xdr:to>
    <xdr:sp macro="" textlink="">
      <xdr:nvSpPr>
        <xdr:cNvPr id="8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C0EB4316-352D-4BF3-B8CD-832046210F09}"/>
            </a:ext>
          </a:extLst>
        </xdr:cNvPr>
        <xdr:cNvSpPr>
          <a:spLocks noChangeAspect="1" noChangeArrowheads="1"/>
        </xdr:cNvSpPr>
      </xdr:nvSpPr>
      <xdr:spPr bwMode="auto">
        <a:xfrm>
          <a:off x="21878925" y="154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780</xdr:row>
      <xdr:rowOff>0</xdr:rowOff>
    </xdr:from>
    <xdr:ext cx="304800" cy="304800"/>
    <xdr:sp macro="" textlink="">
      <xdr:nvSpPr>
        <xdr:cNvPr id="9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F8D7E4E9-FBDA-415A-87A7-5A5A713153D7}"/>
            </a:ext>
          </a:extLst>
        </xdr:cNvPr>
        <xdr:cNvSpPr>
          <a:spLocks noChangeAspect="1" noChangeArrowheads="1"/>
        </xdr:cNvSpPr>
      </xdr:nvSpPr>
      <xdr:spPr bwMode="auto">
        <a:xfrm>
          <a:off x="14954250" y="1541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16</xdr:col>
      <xdr:colOff>0</xdr:colOff>
      <xdr:row>779</xdr:row>
      <xdr:rowOff>0</xdr:rowOff>
    </xdr:from>
    <xdr:to>
      <xdr:col>16</xdr:col>
      <xdr:colOff>304800</xdr:colOff>
      <xdr:row>1010</xdr:row>
      <xdr:rowOff>114300</xdr:rowOff>
    </xdr:to>
    <xdr:sp macro="" textlink="">
      <xdr:nvSpPr>
        <xdr:cNvPr id="10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EF880CE1-820D-4D50-ACB9-8DF90E16A130}"/>
            </a:ext>
          </a:extLst>
        </xdr:cNvPr>
        <xdr:cNvSpPr>
          <a:spLocks noChangeAspect="1" noChangeArrowheads="1"/>
        </xdr:cNvSpPr>
      </xdr:nvSpPr>
      <xdr:spPr bwMode="auto">
        <a:xfrm>
          <a:off x="21878925" y="1539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779</xdr:row>
      <xdr:rowOff>0</xdr:rowOff>
    </xdr:from>
    <xdr:ext cx="304800" cy="304800"/>
    <xdr:sp macro="" textlink="">
      <xdr:nvSpPr>
        <xdr:cNvPr id="11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ED4FC550-EFFF-4D36-A20C-221CFCDA2CF9}"/>
            </a:ext>
          </a:extLst>
        </xdr:cNvPr>
        <xdr:cNvSpPr>
          <a:spLocks noChangeAspect="1" noChangeArrowheads="1"/>
        </xdr:cNvSpPr>
      </xdr:nvSpPr>
      <xdr:spPr bwMode="auto">
        <a:xfrm>
          <a:off x="14954250" y="1539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16</xdr:col>
      <xdr:colOff>0</xdr:colOff>
      <xdr:row>779</xdr:row>
      <xdr:rowOff>0</xdr:rowOff>
    </xdr:from>
    <xdr:to>
      <xdr:col>16</xdr:col>
      <xdr:colOff>304800</xdr:colOff>
      <xdr:row>1010</xdr:row>
      <xdr:rowOff>114300</xdr:rowOff>
    </xdr:to>
    <xdr:sp macro="" textlink="">
      <xdr:nvSpPr>
        <xdr:cNvPr id="12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33710F1C-D7E0-43CB-B54B-88BD86E2945F}"/>
            </a:ext>
          </a:extLst>
        </xdr:cNvPr>
        <xdr:cNvSpPr>
          <a:spLocks noChangeAspect="1" noChangeArrowheads="1"/>
        </xdr:cNvSpPr>
      </xdr:nvSpPr>
      <xdr:spPr bwMode="auto">
        <a:xfrm>
          <a:off x="21878925" y="1539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779</xdr:row>
      <xdr:rowOff>0</xdr:rowOff>
    </xdr:from>
    <xdr:ext cx="304800" cy="304800"/>
    <xdr:sp macro="" textlink="">
      <xdr:nvSpPr>
        <xdr:cNvPr id="13" name="AutoShape 1" descr="data:image/png;base64,iVBORw0KGgoAAAANSUhEUgAAAdYAAAHHCAYAAAACkHlkAAAAAXNSR0IArs4c6QAAIABJREFUeF7sXQdUF9fTvdKLSrFh7wpiATtgrwg2VOy9JjHRJKYnGktMTDQaEzX23rFirxR7F3tBVFRQioDS63fu4JKfSFVQ/5+75+Qk4bf7yuzbuXNn5r0pkJKSkoIcXvfu3UN0dBQsLa2gpaWVw6fy97YHDx7g7t27SEpKApCCAgW0ULRoUVSpUgUGBga57jw8PBw/TxiPpk2boYOTE4yNjXPdxrt8gOO/ffs2oqIiwTdbAIC+vj6KFS+OMmXKvJZMOJ/9+/fj2NGj6N6jB2rVqoUCBdjyf9fTp6Hw9/dHiRIWKF68OLS1tV8RQ3BwMAICAlCyZEl5R1mtIb7TZUuXwMbGFu0dHeXeZUuXAgUKoHPnzjKX173i4uLg5+eHoKAnSE5OXf5GRoYoW7YsihUrDl1d3ddtOsPnuDb37NmNE8ePo117RzRr1uwV+eVph2pjqgRUCbxTCRTIDbDOnTMHfnf98Ntv06Cnp/dOB650vnz5Msz+6y8kJibKn6jwzczM4ODQBJ+MHo1SpUrlygh4m8AaFhaG69evixGQHdDkVNhnz5zBr79Oxa1bt0QW/IcGBtuvbmmJrl27okGDhjAyMsppk3JfdsB6/fo1zJ49G7a2tujevYf0p3kRXFavXoVzZ8+iX/8BaNCgwTsD1idPnmDmzD+xZ/duJCcnyzgMDQ1RvkIFkU/79o4oUqRIruST1c2pwLoHJ04cR7t27VVgzTPJqg2pEng/JZArYF0wfz7u3b+HSZMmvzfAumzZUmECX3z5pbAlAgmV95w5c+DQxAEjR46CiYlJjqX/NoH16NGj2LZtKwYPGgyrGjUyZHk5HviLG8+ePYvFixfD2ckJDRs1kveUkJAAAt+WLVtw584d9O3bD87OzrmSS3bAGhsbi/n//guC1sBBg2BpafkSK+Pf//nnb5QoUQI9ergKa83qyk/GyrEsXLgQhoYG6Ny5C4oVKwYaOe7u23Hm9Gm4dHOBs3NHGBrmzvjIaj6JiQniVdHW1oGOjk5uX6t6vyoBVQL/QxL43wfWpUtx9uwZ/DR+PCwsSooyp3d73ty58Lnkg59//hmlSpXOsetNAdZmzZqjQ4cOMMpHV/CRI97Yvm0bBg8ZCisrqzwD1qVLlqBnz56ws7cXN7ByPXv2DPPn/4sb169j1KiPULdevRy7PbMDVvZx8MABbN26FZ27dEHz5s1fcjsfP34cGzash2N7R7Rs1Spbl3R+A+uiRQthbm6OHj16oHjxEiIihhWWLF6MQoUKoXefPihduvT/0KesDlWVgCqB90UCbwysiQkJEIDY7o67d/2go6sLe3t7UVjlypVPAzQq9Z07d+DA/v0ICQmReNann34mzEZLW1tYlcfhw9i8eRMCAgNRoXx59OzVG40bN85S+TPudubMafz4008vASjZ0a2bN+XvCpMNCgrCrp074OXlDcYEqVDJ3Fq1bo3ChQvLWAmsE3+eIDFWsqodO9xx48YNFC9RXObk4ND0JTdqcFAQtm/fBg9PT8RER6N+gwZwde2JihUrCjMJDQ0FmX6Dhg2lbd5bu1YtREQ8w4UL5xEREYGCBQtK/6NHf4rGdnYChjdv3oT79u1yT0xMDKpWqyaxxfr162fJpMhYCaw9XF3h4ODwErBy0dH1/OefM9CkSRNxe5qamok79MqVy8JoL1+6jIIFjdGufXu0a9cORYsWE7nkBFgDHj3C7Nl/iUuV7mCyU158txzTo0eP0LdfX1SoUBEnT5zAvn374Ot7m6FxNLa3h4uLCypUqCCu2ZwCK+V74MB+HDhwAOFhYahZq5aw0Jo1a74yd+WjI2MlsJqamsq7UsbJd0FgTUxKRM+eveT2A/v34eTJE/IeS5cuI21TrgULFZLww+7du8F516hRAzdv3YSHhwd0dXTQwckZbdu2TXMpHzt2DHw3fJbvMD4+HpcvX8a+vXtE9vHxCahZsxa6urhIDFuJUdMTcO7sOfl2bt26KaGN5i1agN8T8wmcnJwk9MH5U2bt27dH1apVZezR0dHYu2cP7vvfR8eOneTvbM/Hx0f+fu3aNSQnJ8HGxkb6tbKqkauwydtWYonJKTj5IBZzjofB3FALXzUzRyXz9yMk9bZl8f+xP6Y7PI9LQkF9bWi/nMLxPzfdNwJWKhYmmGzbtg1t2rZFhfIVEJ8QL8rlWUQEpv76qyhRKhEqc787fmjVuhUMDQwQGPhYQKROnTqiuBkr9fbyEkBjfIuxXLp4x4wZK/dlllBCYCVjnfDzzwKUbOvYsaOY888/oqg7de4i8TOykWm//SZjoXIzMTVFYGCgAH2Lli0xePBgcY1Suf48YYIoNjNzM5mToZEhLvlcEpD7+ONP0hgXgZrxXSbD2NjaiCI/efKkABWNBoJrcEgwpv/+u4Ah51CkaFFRwgTd06dP4dy5cwJyVNqMT1Jxct6LFy+CRcmSqF27Ngz0DXD16hVcu3oN/QYMQKtWrTJNqsoOWKmQf582DYVNCqN//wHCyry8PLF50yYxJCpXqYLnz57j2PFjsLOzExkSXHMCrHR1Eph87/hi0KBBsLauKR8EAXXevLmoXLkyunTpgrCnYTh48KAkItENyzF5e3vBytIKffr2FaMrJ8BK+a9etQoPHz4UmfKd+ly8IIZIr959UK9efWhrv5pkpwAr1xmNJSYs8aIxw9BC+XLlBWguXryIGzeuy+90G1/y8ZE1Q1c2jTGmPW1yc4PH4UMCbpUqVYKZmbm8KyaQde3qIsaQgaGhsHm6/tu0aYMmTZuKTDw9PPD06VNYlLSQdXnq1Ckx2gYMGCCy499ofDBcYGFhgTq16whYcpwEWRprlHORIkXlG7x58wa6uXSDdc1UuUdFRcHNzQ137viiT58+qFHDGvfv35f3ze+T64v3cM3QsBsyZAiqVEkF5fftIqgevx+DhafDERyVhKLG2nC2LIi+dQq/s6HGJaXg7tMEhEQlonE5Q+hovT9owMTF0OgkXAyMQ8MyBihsoIXohGRcfRwPIz0tWJd4vwwSfkshUUn45XAIqhfXwyeNzN7Ze82Ljt8IWC9euIDJkydh1EcfoXXrNmlWdtjTp/jhh+8lKWfM2M9FeYwe/QkG9B8AJ2dnARi6awlABBgfn4v4+++/MW7cOFSrVl3aEXfuvLkIevIE4776CiYmphnOd9WqlVi8aJGAJ9vS1tGBmakpHB07wLljR3HrUeGzLd/bt/H5F1+iXLlyYpmzDyq3pUuX4qOPP0bDhg1FKX/7zTfy+5fjxgmD4nji4uIxa9afeBbxDGPHjkXxEiWwYvlyBD5+jGHDhkkmLC/G6n6ZMkXAm9msZAg//fgjjIyNMGbMGJQtm9o3Lyaz0BU8bPgIkRX/TjZPA6B0mdISC1XaTUpMxKLFi3D71i2MGDkK1atXz5BdZAesNAL++usvJCclof+AAfIuFi5YgJo1rdGqdRsxLiiXw4cO4fDhw+jevTtsbG1x6NChLLOClZdDdrd27Vpxo7dsmeryJZvau3ePgKqdnX3ae6RcFdc945t0F7M/JlcRALLKCqYB4u7ujtu3bgo7JLCyrdDQEMkeJtjQJZ0+iYqdp8ZYF4j8mExEUCSQ79zpLnMfOHAQbG3rCiPlPUpMlAC+fNkyeSeuPXsKGG3cuBH79+2Dc0fnF3FZQzx+/BjLly2V8fTt11/W26GDBwVYWxNYmzSRtrn+KQNlPXD+e/fsRqNGjSUjnfFwus+LmJsLg6ZRxlRvn0uXsGLFcjFKhgwZKobo9u3bxUNDg8Da2joNWGkwsZ1evXsJsCr9ck5KZre3tzf2798nRi0Zb/qM77xQNG/SRlIycMI/BvNPhaGyuR6aVzLCoTvRAhhdahR8k6Zf+9n4pBQcvReNuSfDYFfOCGPszaD3ntAsgtSj8ETMPBqKkOhkzHAqDiO9Ath1IwpLz4ZjrL05nCzfv90OsYkpOHArCtO8QzHA1gSjGpnKrob/xeuNgJXutAvnL2D6jBmvMKiVK1cIA+VvBgaGmDjxZwQHBYsyT++iJFvd4e6Oli1bQl/fQPaI8OO+cvkyQkJD8fvvv2caJ2U/VB716zcQZsnEpYoVK+GzMWPEymc73OYx/qcfhS04OXd8yZVLhvrjD99Llmr3Hq4Cwj/++CMaNqgPl27dBZiVi8pn06ZN+OKLL1HSwgJTpkxGfEICLKtbQk8/1QJMSkwSNta0SRMMGDRI2iMDbtiwgbSnmUiV6kLfjiGDh8DyRYyVwLR69WoMHDhQlLsmUydoEhB69+6ToZuX/WcHrDQc6D2gYiVj5RaZpUsWi3zJXrVeMLzAgEBxgZPJN2veHFS+WW23UWQUEhIsRhJZrqurK8zMTMXtGhUZjZ69egmrUy66xgMCHskWnOPHjuG+v7+wNWZ0E8SyAlaCGpOl7t27i6pVq6FgoVQFy9DEufPnpR8aJjSM0l9kuv/8PRs7d+4UVmigr4+SJUsJA+zStasAkyJ3/s5tOQ8fPsIdX194enqgenVL9O2XavS4bdwo7LFLVxdxqfIiq1y7Zo2wW9eerrI9LT2wKmOKjIyU+8hgaajSPdymbRt069YdR48egaenp3goaKQoFw3VDRs2iBHYu3dvMR6yBFa/O+jVKxVYlev58+dpsueaIQtmNnS3bt3yJNafV8qQTPXEC6ZawUwXHzU2xSn/WBz2i8YnjU1Ro/h/OQR51Wd27SQQVO/HYObRp7AtqY+vmxVBIf33Y/shQfVhRAL+OhqGe2EJ+M2xGEoX1sHum5GYfyocg+uZop9NYbxH5PolccclpuDwnShMPBiKYQ1MMLJhxoQqu3f0rn/PFbBSkd29dxdTpvwi2aazZs4U6/yXqVNfcdXu27sXZJN/TJ8hLsYntOJXLMfpU6dR2MQEPXu6Csul+5RgsWXzZlFUWlr/7X9MQYooSLpfaZ1nZEmTnZw7dxYTJ02CuXkR2Z84ZfJkcc2OGDFS4pdU3ON/+kncYU2bNXsp9kbFSYZZqjQZYl9hLBPG/4TmzVvAkclLGttSTp08iWXLl0os1KKEBSZPnoxHjx6iYMFC/7HHF0YBlRTjX2SsdL3S3ZzehZsRsNJNt2vnTgwi2FpavqTkyDwYOyYbZHIVWXr6Kztgffw4UMZDcGAcloqcjD8hIR5GRi9bsUWKFkGvnr0EMDy9vHIErGRh69etFVZFYKP8CNx169YTBk9AJJBs3bJFksviYmOhb2CA58+eibdh+PDhsLd3yBZY2e7ff8/G+XPnUahwodT1J1tSU9Li/B06OGWYfUzGumDBfDF6+E4YQuC4mMxEhs11xrjw0WNHwXX8OPAxtHVSmSVj6mSc3DJUtFgxbHLbiPv37gs7JmvmRcAjsBIsKWP+PT2wEhxpqB09cgSRkVHQ1dOVkEJsTAy6de8OF5duOHToIM6eOSvrkN4U5YqICMcmt02IjIqUGHEasN66CZeuLqiRnrFqAGtQcJC4l48dOSprU09PV8ablJQs3gIy3oz2IL8LRZWUApzyj8G/p8JR3lQXnzuY4nl8CjZcegYDnQLCvNJtp873YRJUTz2IFfZcy0IfnzuYQ1/n/eFVjyLIVJ/ifngCfmlXDGVNdLDvdhRWnItAf1sTdK9Z6L0FVeXlEVwP+kZhqsdTDK1vguENcr6rI98XQA47yBWw0u0bGxOLSZMniyLjvlbGoAie6ZX8+nXrRDH8Nu13cVVRWVHpEmCZJLN79y4MHTZcYlAEx1u3b2H8+AkChJoXn8vqIIH0yUt8loxx8cIF+GzsWHGrMfGE7tiOHTuKctccKy338ePHw8amjsTOqGwJwkzA6tS580tMfPeuXdi1e5cwVirhSRMnSvyXAJrZuMmOCGTMhCUj1zxwgsDKBCW687jHlArtyJEj2LhhPQYPGYI6dWxe2ppBl/mC+QuECdpnkJjEuWcHrEye2uG+XVyUZIbHj5/Ajh3bhdGQIadXqpR9TpOXlPdGsKbLlOAfHx+HCxcuiNK2rVtXwGP58uW4d/euvI+6detKDJIu+b379koyWU4YK+VIFzbjqnQxKy5zZQxZrRslxqpkBTOGmt5oY+yb76F8+QqyRktYWCAs7ClWrlgBXV09cQXz0I1UYL0nSU0KoGUHrI0aNRLjia5hxltbtGgh64dy27plM6xqWKNbNxfJVWCSF400ZngrF9czxxYTGyveCwIrY6zcUkVAZlyeF+On4gp+Aaz05JCl0yvSulVr6ZsGCufKJD2ut/eFsSYmAyf9Y7DgdBjKCqiaobixDnwCCWrhSEpJQdOKRmJMaaEASpvooF5pg3xljlT43veiMdUjFAmJKeKuLGSghWSNM3YYZy1joos6JfVR+C2yWCb+3AuLx78nw/EwIhGT2hRFKRMd7LgRiSmHQ1C1iB5cazEenSIHx1BuhnpawvhrFH+/4q1cu5Q13f2TDoZgREOC6/8Wc80xsDLBZPQnn6B169YYMHCgKGC6qWbN/BPfff8DqCwUAIyOisKPP/6AMmXK4tPPPhN2qyguMkL+Q/Di37/59ltxA86Z8w9++PFHYTaayp0xoaz2/WWUFUzFxkMS6JL7+utvJPvzjz9+R+TzSImbMgtUGQ9ZKLegDB8xUtzBqTHWryUJhfeSKfOidf/H79PkuY8+/kTanDFjusSPP//8C0k6UtqkAcGL8sgOWBmjGzlypLjpOG+6Zqf99quwxB6uPQXAlYtxtStXrmDYsOGoVq1apjFWyoRJQHwnikuTcmQMj+7V2rXrCHtn8gqzcmfNmoUG9euLG5TzVi4aGa8DrJHPn2Pu3LnC+ghGFSpWFIXP05IYQ543b564aAmiNLqUwyO4DjguhyZNs2WsfIcrVyyXJKHeffqmuWE5dk35Z2RgZpYVrHkvT0rinlbG6uki5ru9dvWqJJWVLFVK3Oj/MdbcASvf7bp1a0GjjsYcY7AcM7ObaXQ2b9ZcTriiIbV582bJcGaWteI9ocuYSVYEexplNCoYwz7i7Q1HR0e0eOE2ZsIeY70MdwwfMUKSsJhsFR0Tg/79+8va5jvi4RXMlmcCIl3Qb5uxMrbGhCRmhFLpM8nm2P0YHPCNhm0pfYyxM0Pxgql7f2+FxGPuiTBRunovnFsEYbpi6eKkAs6vWGdkXDI2XnqOb/cGgRETAn7Si5O7lLXDL79AClC5iB6G1TeFYzXjt8KqOQ4mKv24P0RkNrVdMTyNTsLsY0/xh/dTlCysLTJMpBvgxUVZ62lroW5pfXzZ1FzA9326CK57b0dhmmcoRjU0xeB6/zvMNVtgPX36NB4HBuLUqZPw9fXFH39MR7nyqdtoCEKzZs0UBUQLvlzZcpIVzExbKq/xEyZIVjAtbCbDmBcxF+UQHByCjRs3CGOhwkh1x06WhBXGIQlSZDbMcuTWg8aNM88K5jYObrfhPlbN/arcUkCGzSxJl27dpO3ffv0VxYsXE/bIZChuk+A2BrbP2C/dgUrMNSg4GPXq1ROFzazcI0eP4PKlSxj7+ReyXYJGARnG9OnTYVGiuMQhCbZPQ5+Kq7Ntu3YoX768zJ3JSMwiTc9Yr169ij9nTJeYnm3devJvAg3Z/Lp162BrYyMsT09PX/oms6ALvVnzFplmBTPGTFCjG5nbKwisVKQXL16QmDVd4f369RcXKd8hAXf9+nWiXOvXqy9shy5ZKmVjIyO5nwpY3IdHj4prM6MjDdN/kJQr3aFkTR999JEoe3oKaHQxCevmjZsSJ6YLnnHWE8dPIOJZhCSCKYyV75aJUwQLAjz/n1qKDJUgza1DZK3cHsNjArmPmQbgkyePJSOYgJQRSCgHRDD+q7ndRnMOXO9r1qwRNti4UWPpg8DK76FBwwYvgLU4Nm3cKHHezl1SY7O8+F3w2UcPH0qMlUYTvSh0+xK8aPBwvy89OsyKp6uY+Qd8d1yndCvTHUzDcMP69Th+/BgaNmwkcn8a9lSYKePftWvVQb/+qe+SW2doeMXERKNVqzYwNjaSuCm3+fB7Gj58BMqXKyf9enl5iRHJ9UFZnDp9Sv7NDHAaQG8bWMlMp3s/xb2nCZLtS/cu2WnrqsbobGUMM0PN8BDAuOsL21XkHRKdBLfLz+AfnojxrYq8dH9eA8WTyESsvvAMHnei8am9GVpVMkqNQLy4CKyPnydi46VnOHwnGv1tC7+Iaea/u5gGChOq/jwahtaVUhOqnkQl4k/vp7gbnoBf2xVDtaJ6UGyBhOQU3AyOx7yTYQiISMS0DsWFab9PV2qSWAwmHQrFkHqF8x1caWw8fJYAUwPtV7wfMQkpCHiegAqmutBOF6QOikw9UlcxALMF1h9/+EFiQbTaGbOkItB0zTIBhYlHtJjJzuiiI1D16OmKShUryb0EK56ERAWREJ8g2wvIVhgDY3IQFTw/bO5h3bd3H6Kio2BuZiZKlZY1mW9m7uBVK1fi/Pnz+Obbb9IOiODCUDKBCX7ffvutADwVDV1jjMmSgdLipxuXmaEERY6DY/116lTUql1LrHnGxsiyyBCZfMMkKeUMYjLvS5d8sHHDBly4eFEybZkwRdcdXc7MNuWzM2fOlAMTqPw1Y7Y0Huia5fO8CNpKLI3uOmYM82hCXlWqVhV3I5VyVucXc4vIX7NmiVGiHNdHdkegIbDXsakjMWFN1yeZE5Ut+yNj1jfQR7WqVSXeRg8Cx8ysYLolufeVLs/sMkdphNELwffGdaN5EhPBg0ydyTk62joCNoUKFhSgdOzgKNt8Hj0KkBg9gb5Nm7bSDt81tS7XDsGC82Pi0PZt28W9SQOC7I2Mj3FJJmNlNE6uUybM8Z1zS0x6N7ICjl6ensIgGUfnPuImTZpKZjkT0CgbMtZtW7figf99ODk5SwKa8iyTmh4FBAhYce50dZ84cUJi7ZwfQyK7du3Cvn17xaVL8K5UubK8NwJ0p06dJReAMXEaPcw8ptFAkOY+VrqfCfY0DCgLGqc0vNgvwzNk1ZQD3y0NFjJRZpLTiNmxI3U/OeXHkAcz1bnOKGuGP942sHIbDeOmDcsaon1VY1FahroFoKtdIEf7Gcli1/o8g5mhFkY3NsvXbS8E0SfPE7HqwjNR+F82MZMsZc2L94THJGHbtUjsuxWFb5ubw7ZU7s8tfx2Ao/L3uhuNv46FCVsebWcKibseeSogSyZbRYOZEkgCnidi1tGniIpPxnSn4iiol/eJWM/jkrHyQgTOPoqFTi4C4zRHSLJPP4iR7UOzOpZAr9r/JZS+jowye4YGB/sZvuUx2lQxxvQOxWQNCp4kA9M8Q7DqTDj+7GoB5+r/hSyDohIxYH2gGFjrepdCERqH2Z0VTOubAEMwIfvJSFERxAgSvE85d1XZSqFMgr8RzHgvFQYZn+YHrGy/SU2k4NFv2tJn+nbSC4UKhayLbCj92Ngn2yMw0J3MPtg2x8GN8YyVZTQOPqO4r/nfVEAcC9tID/Bsk/2ntpksz/EfxYXK3/kbn9Xc4qDMg+NhH7xP2TLE39gWx8/58bfM+k8vD82xKL/p6GjLXDW3dqR/jv3JO4yPRwEtLXlHmvPlWDhWroGcKF6Ome3xUuSh9KnITPldOR2KY9fVpZx0Zf78XUdbW5KReFEWvDgG5T1otqWMT3mnmYG/Mjb+rhmmyFQmCQlyH/ulHPicMgaOiWPVlAvbT31v/Huq3Plc6vx0X1qLvI/jVsasbPFRvrXU74LfV+o6533czkaPD99Tnz5908IVmmuGfVKuyvYapX1FXsq4eY+WFpO1EmWc7+IMcALrlqvP0aKSETpa5m77DF2gBJIt1yLRzbqQMMj8vqhAyUpXX4gQcP3M3gwtKxm9wmLuhCZgydlwFDHUxhdNzaCVC0B5kzko4DrdOxTtqhJczcQtPM0rFGTcU9oWeymbmqBx6XEcfvMMlUxrvoe8vhRgPfMwFrq5TElmEuvpB7Ey9tmdSqB37fzZu0xgPfUwBsM2BaJtlYKY4fQysFI+K0+HYWZXi5fWaXBkIvpuCABSCmB9nxwCa14LWG1PlYAqgTeTAA+SYBY9GSZjsa9TxenNRpC3TxNYN78A1k65BNaI2GQB5ctP4jCuiblsLXkbF8E18Fkidt2IBF2qGcV2yVqZPETQ+rl10XxhgpnNlXFqgj6zaz9vYg6Lgjqy/Wbl+QjULW2AzlYvGzABzxLxh1coqhfTw8eN8+dwBhpB6ULS2b6qhGTIwSATD4ZgcH0TDKlnkiMvRrYNZ3ID2bF/WDxMDbVfCSnQOKCceNqXrkbxLmUt0BVcsrCu7L3NlrG+7gDV51QJqBJ4MwkwjHCeYYu4ODkelB4Evzt3JOxCN/bgwUNQrXr1N+vkPXj6TYBV3MAXn4ki/NTONF/dwOlFRYXKZCCCRUZbbqiI996KxPF7sZjYpihMDPPexZrV6yOQEfT1dLTAnun2ZXya4RTddEMhA+c2ndKFdTHWIX+ANbdLjfHVA7ej8Ksn46umEmNNH9vMbZs5uV/KbWYSEs/sNyXOrjymAmtOJK3eo0rgHUiAiV+p52dvlmQyupaZ3MatVk4dOkjcXXPf9zsYYp50+bquYCq5o/ej4XY5Eh0tjcXt+T5dBKt1Ps/AGNzE1kWhr/N2gTWnsiAo+IcnYOrhULStZgzXmvkTw8zpeHgfQZXJX5MOhUjC0vD6Jm8FVHMzxqzuVYE1rySptqNKIB8kwBgpty9FRkUJsBoZGkkBgKxiw/kwjHxtkpmsf3g9xbO4ZFQuoisu07ImuqhopgvrEvqoYK4rB0Kkv8gIt197jvMBcfiyiTnKmLwdN3BOhEG2ePphLP49GYbONQqiR838iQvmZCzZ3cOkpZ03IuF2+TlmdiyBcu9YjgTVQ77RmOoZioG2heWQiPfpHObs5MnfVWDNiZTUe1QJvGMJMOlIubLLyH7HQ81192RLzJ69HZqanEY3XHxiCu6GJUgcs6KZHioV0ZXtD4qCpTRCo5LknqYVDPFx47frBs5qkjy84uqTV0AZAAAgAElEQVSTeDlWkGf0TmlbNF+3AOVa4BoPMNGJcVieedyzVmGJYb6lHKsMh01Q9fSLlpgqD+Dg4RD/a6CqAuubrEj1WVUCqgTyRAK0GQhG6RNbouOT4fc0AcwkZbYmz8AloJK78hlWaWlZ0Qh9bAqjxIsDJPJkQK/ZCEHK53Estl55LmOuY6GPsU3MUd4sNaHlfbkou/DYJOy/HSVbgh6GJ6B3ndTDNd7l8Yzch3vINwq/e4XKeHhO8P8iqKrA+r6sdHUcqgRUCWQoAYKtgG4yXgFeMituM9TRLvBeABe3g2y7GonbIfFwqGCENlWMxK39LhlgRkKlm/p2aAIWnQ6HsZ4WnKoby3GQyp7Nd7EUxQMRnYTfPEJR0VxXTlp6l+N5UxmoruA3laD6vCoBVQKqBLj3PCU16YbslEcevs9si3tXmTHMLaUcZy63lubL++ZWl6fRiShsoA3996QE3+tOVAXW15Wc+pwqAVUCqgRUCeSpBBRXf542+g4aU4H1HQhd7VKVgCoBVQKqBP7/SiDHwMozRmOiY+Q807zMSuR2gtu3bkox8kKFC0tRaKWsGw9sZ/WS8IhwFDQuKGedGhcs+Er/PDKQ57WWLlM27WhDHtnG81h5HrByTFt8XDx879xGaEiI9MX2WIQ9/XxYseZZRARKlykjZwff9bsjR9SVKVtOzp/VrLbDAgU8hF1XT08KbitnH/MIO9aGDQ56AiNj49Ri3BmMnWfB8uScQoUKZ3tUYGBggLRhbFxQjvRjH/7370tNXB5LxyoyrGCSVTUgHuzOOfEcY/bLs55Z4YZ7JjUTLFgSjSXTNM82/v/7GagzUyWgSkCVQN5JIMfAunv3bjwODMCgQYOl+kleXDwj9dDBA6LYufE9MCBQzj3t1KWLAI3PxYtyoLi2ljYIKjzXtFsPV6k4ogmGly/5SIktVhhhsW4WmD64f5+AYe++/eSUGp6jyoPM/f3voXBhEzncnNVQnJw7SlUbzfZYMkxPVxdVqlSRw+d5Xi1dFMHBQWjRopUcJaenry/VTo4c8YKhoZEckM5+WGbMvEgReHoehu9tXwHCkJBgATLHDs4ydl4EOFblOXH8GFq3aSu1MJUzczVly20WBELexwo3zs4dpXYrz899+PAhzp05IzVPaXywYDYPrOfv6c98pQFz764fPDwOw0DfUIoEFC9RAkFPnkjlG/ahXLdv3ZIKRiwmQIBVL1UCqgRUCagSyLkEcgysPEYtMCAAAwcOyjNgpbIn4zMxNYG+voGA06qVy9GiRUvUql0nra4mQY9VOlYsWwJ7h6aoW69eWp1RgvPmTW5SAad+gwY4duwoLl28KAfXk7n16z9QQI2VQAjOrDdK0CEr3bB+rZQzY8UQpW5paGiIFAJv2bK1AG5cfJyUmOMB5azGcv/uPalsQmDbuHE9rCytULtOHWGPLCHGEmB169XH07AwYa8KK+QYOT7WQmUpub27d8lRdQRdR0cn1LHJGFjv+PpKyT2W4wsPD0OXLl2F1bN/yo/zp3z475073aGroytl5TTruEqtz/37cPeuHyIinqGkhQUcOzgJsCqFCZR9kjxGz9PjEGpY14KVldU7OZQ958tXvVOVgCoBVQLvnwRyBawEwQEDBwlzu3njBuzsHdIULxlV8eIlUKlSJam6cdfPT+o8xsXGomatWrCxsc3Q1ZmSnCz38yIALF60ADWsa6JRo8ZpYMff6O5lkW6WTatdxybN3cmSXvv27hHmyf4J/gTOe/fv4cL5c3B17SXAypx3pYwa20tMSEgt+l2nDmxt6woD5XX82FE8CXqCNm3aCdvkpbDZq1ev4OjRo1JDlhVGvL090cGpo9TD5MVxREZGSi1WsmLlOYLuurVrUbFiBQHXxMQkeV7fwAA7d7hLKb5atWrL/6e/WCicbtpUxr0Xdnb2qFbd8iXZKM+wLW0tLdg5OCA6OgY3blyDlVWNVLkEBoib/JLPRSllR/AtUcLipe4IrixvFh0dJfJnWTT1UiWgSkCVgCqB3EngtYD19u1b8PI4jIGDh6bFQ1cuXyZxxEZ2drhx/Tr2H9iHmtbW0Nc3lALOLA7d2M4+yzhiQEAA3DauR8eOnVGxUiWZib//fYQ9DcODh/7gbjUyTM1YJZlYQkI8WrZqI2MhABHQzp8/h3Nnz7wErJqi8b9/Dzt2uMPJ2RnlylWQccVER2Pr1i2wtq4pzJNxU+WiAbBnzy4B+LZt20uxabpMOzh3TGOHrDpy88Z1OHfsiCJFUl2+vFjwetfOHWjavIUUl2ZfBDGCsJvbBilYTfdyRsCayiRTEBQULEyatTw1gZVGDmvZsrh3RFg46tWvL+ydtUB9Ll4Qg4axYsVAOOLticePn0hNz/TAypj04cOHUKt2bVTPBLxzt7zUu1UJqBJQJfDhSeC1gJUxUS9PDwwYODgNWFetXIEqVauhfv16WLViBSpVqizMiSBCgLt06RL69e8vMdCMLoLD9q1bUL5CBTRv0VJcqHRvstg0XZhMsqlcubLEIxVgpXt444b1AhIVK1Z6CbRZzDwzYGUiFtld5cpV5UBzJVmKRbNPnTyJDk5OAowK4yRYk5FfuXJZiqKXK18BR7y9JWGqY+cuqYwYkJjp9WtX4OzcGUVexFKDgp5gz+7dUkzboUlTcS8rF13f2QGrci/b2b49FVg1Qe/KlUu45HMJwUFBMDEzFTc6C1cr7uH0NVi9vTwyBdZjR4+Im5qF6ukmVi9VAqoEVAmoEsi9BHIFrBJjHTRYko28vTzRf8CgNFBas2olKletitq1auOvWTOFkTF7lWyLLK9goYISny2k4SLlcEnIrl69DCp1uoAbNGggmbrKRTcqgY0gtGP7VpQuW07Ag4k+p0+fEtAlwzU2fhmwMwJWtnPpko8k/FjVqAEb27ppWcT8bYe7O8zNzVC/QcO0eRG8GXN89uw57B2aoGzZsuKGPnn8uGQYOzt3gpm5uQz31KmTuON7W5KUCLbXrl3F6VOnxMioW7euHJ6umSSVF8BK40Mp3s74ckR4OFq2avUKG1XkmRmwRkVFYtfOnZIJTPe4YmzkfkmpT6gSUCWgSuDDlkDOgXXPbmEzvfv0he/tWzhwYD+GjxiVWmQ5JQVLlyyGlbU16tSug/n/zkNjOztUqJjqzuXF5CCCTfqtIBfOnxe3bfPmLSQTNX02q/I8gdrLwwMPHj5AD9ee0s7GjRtkywwzapXkI+X+jIA1lVFeFYBkfUvNvugG3b17l8RHS5UqLdtZIiOfY9+ePbJdhrHNwiYm8ndeBM3jR4+iU+cuwu4ImGSmdEvTXX3v3j2JZ9rWrSdMm4ZA+m09eQGsmsuXBs9Rb29h/GT+ylg178kMWH19b+H06dMyzwoVKubplqoP+xNTZ69KQJXAhyaBbIGVbDM2Jgbr1q2VJCQHhyYIePQIy5ctgWuv3uKCffjwAVYuX472jh3QoGFDrF2zWkCLCUV02zJ2yeQh7olMz9jWr1sHe3t72SKiAIFyD9kigZsgyizeLZvcULlyFTRr0QIPHzyAl5enABu36qQHrfTAyu0omza6wb5JE4lzavbF//Y4fAhRUdFo0bJlWtLSyZMnwFhs6zbtZCuNcvF+guLGDeskrlyvfgMp7bVr1w40bNgIZcuVE1czM5uZwauAPseoCXZvCqyy97QABLRjYmIl7v08MhKtWrWGiakpuA+YTF5JzOL4MwJWGi30QDDm26hxYxQtqiYtfWiKQJ2vKgFVAnkngWyBdcP6dfC74yuHL7h06y5bSOie3b1rFy5ePI+SFiUle5TbQhyaNpX4HA8scN+2VfZqyh5RrQJo0LARalrXhJa2dtro/f39sWD+PHFbiusxJQVJScmwrGElAEUX7P37/tDS1hJwLl2qNFq3bSfMd/eunQLezZo1zzDph+z07JnT6N27r9x/x+8OVixfJqCh9EX3r3XNmpI5y8Qk27r1Ua1atVQgTEnBJreNso+WzzBWmZycIs82a94cZcqUwa1bt+DhcUhc1clJyahuZSWGB5n9urWrZX+rGBNyjmgKqlSpisaNG8shF7wIrOvXrYWNjY1kOgv7z+RictLWrVvhYO8ASysrMTbOnj0D7uFNSEhEXFwcjI2M0LR5czF2/PzuwNvLS+TDgtgcPy/KNDDwMVq2ag0Li9SsYD67besWlChRAvXrNxCXtXqpElAloEpAlcDrSSBbYH3g74/YuFhxj2oyTipjbnVJiI9HCYuSopwNDVNPEErNeH2OJ4+fSPzPyNhIlDb3qmpeZMNkuwRqOfUnJRWATM3MROkzXhgSGiL7Ncm8uG2E7IyZsFu3bJG9mIx5ZuTyJNvlGHjghI6OroA8Y8R01TKuK6WnkCL7WjmGmzdvwsnJWfpW2C8PTwgLDwMzgjk23s/DMUqWLCWsloBKEA0LC4OBvr64hAmOnBcPoIiLjRNZKH3Rlcw5KAyWsmHSEedGsM1oHoq8OG5uk+E2HuU9kJEGBQeJR0FXT18On+C4CKKcLxO+yLRpDChz4t/YFvfmKq5wjoNtp54AVSjLcbzeMlOfUiWgSkCVwIcjgWyBleDBKyOlz98IHJq/KQqcf1f+Se8CVcSreY+myJX7U39nH6l7SZV+CIQBjwIyPVRBMPrFNpUCBVJjoln1xf2pBDsmGWnGXTX71xwfx6E5T2WLjzK+7Oal2ZZyMENOjolMf296GbMNzXGJNcBNShp1qzLrLzfj+HA+D3WmqgRUCagSyL0EsgXW3DeZ/0+I6zU5OcszcXMzCjJigo/iLs3Ns+q9qgRUCagSUCWgSuAlcpiiUBVVLqoEVAmoElAloEpAlcAbS+B/krG+8azVBlQJqBJQJaBKQJVAPklABdZ8EqzarCoBVQKqBFQJfJgSUIH1w3zv6qxVCagSUCWgSiCfJKACaz4JVm1WlYAqAVUCqgQ+TAmowPphvnd11qoEVAmoElAlkE8SUIE1nwSrNqtKQJWAKgFVAh+mBFRg/TDfuzprVQKqBFQJqBLIJwmowJpPglWbVSWgSkCVgCqBD1MCKrB+mO9dnbUqAVUCqgRUCeSTBFRgzSfBqs2qElAloEpAlcCHKQEVWD/M967OWpWAKgFVAqoE8kkCOQJWlkFjUW1WmuGlp6cvdVbf14sl7Fg2TTmon2XWlFJtWY2Z8+RzmpVeWO2Gz6ev7nPu3DmwEHrbtu1QqVKlPCsIcPfuXezftxc2tnVRp04dGc/69etRqGBBODk7S1H3/LhY+m7vnj1SZs7Ozk7K573Ni2X+3Ldvl/m2b98e5cqXz1X3fNd8Nj4uTmr6pL9Yvzan60DzWa6Jo0eOSFm9xnaNUaFCxVyN623ezHUbFxuLmNhYWcNc8ywZyLnzio+Pl5KG/DtLBGpWQuLf+TvvT1/hib/xH5Zs1CxB+DbnpvalSuB/SQI5AtYd7u5YuHCBFBwvgAJS87NJ06bo1au3KOKclDx7G0Khcj5+7BgOHTqEa9euICqKhdZN0KhRI/Tq3RsVKlTIsoINFfuyZUsQHh4hoEwFU7p0aSlP17x5C9SsWTNN6axatQprVq/Cl+PGyW9UOpldrJ4TGBggys7CouRLiiv9M56envjnn7+lNmz37t0FLCZO/BnmZub49LPPpMB6flx+d+7gt99+lTq4I0aOQrly5fKjm0zbfPr0KWb++SciIiIw6qOPRNa5uUJCgrF40SIcPHhI6s0SPLgukxITpRC8dU1rjBg5EnXr1svVeuW4Fi1cCL+7fhg8eIgUqs9uvXPtEIj57pQaubmZy+vcGxgYKAaA9xFv+N6+LTWOixcvLoXuaZDxfdIQ3LJ5M2pY10SPHj3kO+bFce7Y4Y4Tx0+gS9euaNmyZdoQWMN4/fp18PLyQtt27dC3bz+YvWWj63XkoT6jSuBdSiBHwLpu7VocPXoUPXv1hLa2jhQQJ9jWrFULw4YNzxIo3tbkqADn/ztPQLVECQvUq19PwOjRo0dSxHzo0KFwaNIky7GuX7cOS5YsRvPmzVG9enXExMTi+o3rOHf2nBRrHzFiJFq1aiVW++PHj6VtslUTE5Msi4OHBIdgzpy/UaFiRXTt6iLGSGYXgcXPz08AjkXanzx5gsmTJkpB9vwEVrJ8X19fmRuNiawMhfx4p28KrDEx0bhy5QoePXyIZ88j4enpISDdpEkTlClTFkXMzWW9EmxycxGYHzx8gOjoGJEL33V2Fw28jRs3gl4AF5euqFy5SnaPvNHvV69exepVK3HhwgWULVsWNWvWgqGRIe74+grAdu/hCgcHB3h7e2HN6tViKA4YMFCK2vOiN8pt40Z4eXmiV+8+cHR0TBvP6dOnsXLFClkb1tbWGDhokHhS1EuVgCqBzCWQI2Bdu2aNfFjffPutMD5a5CeOH8fq1aswecovKFmyJMLDwnDj5k35SMmqqlatmsYOCUKhoaGoXLkybty4IZYyAYkM7vbt26BVrKevjxpWVuKCJCOgUqSSrFixIgwMDbNkCXRhkVFv2bwJjo5O6Nmrl7hMOVayRYIT3YAEq6xqrhJYV65cgS++HCfMhC40tn358mX8/fdsFADw40/jUaNGDWnz4cOHMidzc3MB1vCwcPj53UFkZKSAZ5WqVfHs2TNhApRVxUoV0aJ5C9SqXVvGd/36dVHUpqYmeOD/AKVKl5Y+/f39BQAo16CgIEyaOFHuJ5MjAAY9eYIiRYumysbAAElJSbh165b8xvFQYVK29+7dQ3BwkPyNwKy4szl2f//7YjiQUbEdXnw3hgYGKF+hggAsr5iYGNy/dw9BwcEwMNAX1l+kSFGRI/t48OCB9FGuXHkZB8euo62NylWqSLggK3YXEBAg95NdmpmaYtmyZfLeR44alcZYCQzsg4yMY+JYM/KScCx81xwDgW3+v//KM4MGDxYg4Nz5D5nkQwHKaJlH+fLlZT1yTQcEPEJwcIjIni7V2Lg4lChRAuHh4bKuCVoKW+O64PtnH1xblAt/43dw0ccHbhs3iOxatmolLJm/c/z8Dh4+eJC6RsxMUb58hZfCKgTj+/fv4/mzZ/ItkGlmBea8d8WK5bh44QI6dHCCY4cOMg7OlXPk+uP8aKQdOeKdK2DlnLdu3YLTp06jWPHisu6aNm0Kl27dchRaURWvKoEPVQK5AtYffvwxLV5z7dpVcd1NmjxFZEc33PPI59DW0hJL3cnJCR07dZb7d+3cCW9vb1GWmzZvRts2rcXdSNZ7/MRx6Ovp4dnz5zA3M8NHH3+MUqVK4djRY5g7dw6+++57YRpZAeK1a9cw/qcfBZi+/fY7eV4zJkqlySt9nDT9S1eAddxXXwvTUVgblfuqVSvFch816iN07tIFu3btxLq1azBm7Bewt7cXVkxmf+XyJVGaFiVL4ceffsIDf3/Mnz9flDZlwfj08OHD0bBhQ0yZMgUlShSXfsi2ho8YIUpw+fLlaNeuHTp37iJtTZ48UZR3lcpVcObMGdy7dx+FTQqhe7ce6NS5szz/x++/C2h8NmYMqlWrJkCxePFiHD58CJ+O/kzigzQMPL08sX3bNjFoCB7VqlfH2LGfo2ChQpgyebKwsmHDhwuI3PXzw5Ytm3HixEmEhoaIMq1Spaq41Rs0bCD9cs4H9u9HTeuaCA4JxqVLlyUW79yxI1xde4pxkP7i2I4ePSIsScDc0BDVq1sK4BHsuAa4VsLCnmLPnj3Yt3eveAfomm/c2E76p+GW2fskEM755x9xvw8bPgJ169YVeZw+dUqAgrIm6BCg6Sbt1KmzGC6bNrnh4IEDYoARAAubmKBLl64ga6MsBgwciAYNGoic9+3bi/379uHRowCRg529PXr27ImoyEgsWbIEZ86clmnzndOFSjcyQXfTpk3w8fFBVFSkGEBt2raDi4uLyOnSpUvYtnULzp8/L++9atVqGDRokLSd0VxpSDAuvmbtGtSuXRsDBw6Sta8ZO1XyBfh8bhnrnTt3sHrVKhTQKoAmDk2wf/9+MeQ+/uQTMTjUS5WAKoGMJZBjYGVSzXfffy8Ax0SGRYsWCsua8PPPogSo+MqXLwctLW1RYPv278P333+PYsWKY/euXVi8aCE6ODnD3sFBFJepiQku+lxE0aLFxGInA/hr1iwBAMYX7929iz1796JH9+4omQ4o00+FAD179l8YNGgweri6pjEDMjYymJTkZJSwsBAmrSRyZCSO/4D1KzRp0vQld+jx48cx9ZdfxBVM4Nm9ezdWrliOr7/5VmK4s2b+iWvXrmPw4MGoWKmSMAWCE5Xu1StXxUiwtKwuxgZZF5X/d999i9CQUHTr3k36I3u6ePGi3EvDxMWlmzClKVMm4Y7vHVHC7J/yX7NmFYKeBGPcV+PE9ff7tGnCbseNG4fqlpYCJPPn/ytA8fnnX4hyppeB740Mu6NzR5QqU0YAs1q16sJ2J4z/SdymBDYCPF3rZOsE+Xr1Gwg727hhA3R0dfDJJ6PFNbhmzWphQVWqVEFXFxeYFDYR8CAjHj58BJo1b/6KW5lgOm/uXERFR6Fzp87CkE+fPoVtW7aiTNmyGDt2rAD+5s2bsGf3bjS2sxP50LW5bdtW1KtXX7wSmSl3GnZz5vyDx4GBacDKdUDZPosIR8mSpYACBeC+fRtu3LiJfv36SZiA/XEuBCfKvnadOtDT1cWKFStAkGE4oY6tDbZu2SKg2rBhIzRt1gy3bt7Ert27YGNjI0BM1r1q5UoBb8YsCXoEcRpf9BawfRopBOfz584LsBKw165bi+vXrolRQkMlNi5W3hXHmxGwsp81a9aIkdKrVy84O3cUUGUffFd0Y7MfgnbxEiXkvpy6ggnajPfTC9SocWNJKNuyeYuAPw0MupbVS5WAKoE3AFYCztatVGh1oa2jIwo8IjxcWKetra24BKnsCb5UqLTIz545g19/mybMgiC0ZPEiTP1tGqq9cBGTPcUnJCA4OBj37t0VtyWVaIOGjTBq1CgBQLZJNpMVW+W0qNyXLF4sANLe0VEU+YEDBzBr5kw8e/5MMkUZOxo5cqSwBIXB8lkqIsXCzwpYz549i8mTJokCZjt79+4RBvv119+gYaNGArpk8Z99NkbuoUKjMmTb9+7ew5Qpk2Fja4N+/fqLsqQL9OuvxgmAffPtdwJMnCdj2QSFDh06pAHrxJ8nIC4+Hl988aWAGa9DBw9gwfz56Nqtmxgis2fPFlcdk6kYH+YcFyyYL8DK5wgSBLMbN66LS5nuSY6RgMN+6dYcP/4nlC1TBqM++hh00/47by5sbevCtWdPMYZ477atWwWAund3FfDfvGWzKF8CHRU757Nzxw64uW2Es7OzGBKaGeQc1+bNm7F1y2Z07NRJxs53QsNs1qyZAvAEbcqI748JczRWCP5kimT/XHsEOXoyMroyAlbeR+ONYMS50mXPZB/Gs/v26y9z2eG+HW5ubpLpTaAyL1IEzyIisHDhQgHWIUOGiIFGuQMpEm/kuJ48fiwslW2TYRLw+QwNzkGDB8HS0krWAT0fz55FIOBRAO74+eHEiWO4dfMWunTpIglw69avEzbdp08ftG7dGvr6BjI9xe2usE9l3ZJVcw36+FyUmGnrNm3EEGOC0rp1a2U8dPX37tMH3bp1F+Mlp8D6NDQUGzduEMOK8mnUqLF4P/iN0EPTr3//tHCBqlxVCagSeFkCOWKsG9avx9q1a2FpZQmLEhbCMGxtbIRdUDkTSNevWytAUrRYcSQnJeH48WOY8PNE1KpVS1zBe/bsxi9Tf5X4D5VMTHS0WOjXrl6V+B9donQ5EhTGjB2bq492w4b1ouyokKms6a4KZSzt0UMxAsiEySz4O8H616lTJW6XlJSI0mXK4vPPP5eYL12TjLGO++pVxnrE+wh+/XUqnJydxOW2e/cuUWpfff2NuI3pol2+fJmwJMYXXbq6CODShXvX7y5++WWyJI307z9AQIOxsXFffins8rPPPhPg4nXkyJFXgHXSxJ9hamomyUtkwbzOnT2LGTOmS8yrW/cemDtnjjCVDIH1y3ESZ532228CYoxhkh1rXhxPKrCWFeC95OMDytWlW3dhrEoGKd2iC+b/KwySDNXd3R17du/CkKFD0bJlK3HXHjx4QBhb69ZtxG2umawVFx+HpUuX4uzp0/KMnZ29AAdBaC5Z5uMnGDpsGHR1dSTU4Hf3LooVLQpdPT0kJSXjyZPHKF+uPD799FPY1q2bY2AlqDKzlQYR3bXGxsZi1DFpipmuZIk7d+7A3r170b17DwFazoUgrgmshkZGwuRv37qNosVejCsxSeLMXEM0NvmOFi5Y8AJYB8PKykpA9dTJk9IH++R74L8Z0+3cuTO69+ghhhm/Nbr66c6nYcI1RPnQWNm+fZsAZ6FChWW8ZI00eOkhItCRVRJ8uea5Fi6cPyfriWu/d+8+4tKmEUpm/UrykpsbvDw9JNOfcVoC/MIF84V106XPEAHj+O473CUG/dFHH8t81UuVgCqBVyWQI2Bl8hLddwQ8KhuCKVkhgZRA9fu03yS+STcY/05G8Mfv00TJ16pVGzt37oSHxyFMmjQljb0wa5OASzZSslRpaZOMiqDLOKGSPJOTl0aF8fOE8eIi/Orrr0WRU8GQHdGq/+zTT1G3Xl18/PEn0j4ZdNjTp/I7E0jatGkrlj3dnBkBK++bM2cOdrhvw7ivv5EEJDKulStXSn8EGbZLsKbyZGYy44MjR30kGcZM3vqFjNXGBv1eAtYvZOvD6NGj09yaGQHrRCYvmZsLmJR+sd2GynTGn9OFXTEW+8/ffwtQUOZKjPXfecySPogvx30lSnDq1F9gZmomwJl+O016YKWxRCXPLT/t2rcXIOJFdzKZcPMWLSTDmcBKsCKba9Gi5UvA2qp1G2FjLwFrXBwWL14kHg26igmsZKVMOKI7n3MYMWKErK1Zs2ZJXLhRY7sX6yYFKSkQWZCBMyEnp4yVoECg4PolcDJD++DBg9i5w128HAjTuJUAACAASURBVIyzErz2H9gvW1EcHTvImkwPrPoGBgKaNMroIiUbT2WSBWQNKR4FAdaoSFnfZKz05tDwinweKa5/xpRPnDguwMh4O4GPa57vgcySRkB0VJR4C1q1ai3uZrqyyegNDA3Evcw2GGN12+QmjLd///4ia65XjunY0aPCwLn22T5jt8uXLUW1qtUknEFGzothC37jJ0+eFBZOY41xbYYS6FKmocr3QY8FE7oqV6oka7tNmzbZbj3Kyfer3qNK4P+bBHIMrMwK1kxeUgRB4CLTGThwoMSc+AEePnQIf/01C1N++UUDWA9j0qTJacDKTEb/+/dF6VNpk7F89913KFO6NMZ+/rlY6XRlkeFmFRflOKiUZ0z/Q2JCtMTJWlO3VRSQ/Yd0uTIOSsZKpsBsTc2EJma7Mjac6gpeKdnPdHeJYo2IgIeHBxYvXggbG1uMHv2pxKzI0BVgJXPgNiTOnYrv3Lmz4sbkXl8mrVA5T5o0CdWqV5MtOwSEVMaaU2D9WZQfXbpMxOG1fNkyuLtvlzmxHzJWugTJvuvVr4+QkFBhtIzZff/9D+I5+Oeff3DlyiUBND5jYGAo41VcwRMmjE9jrIy9kulXrFhJ3K5ly5UTI4qGh8fhwxg8ZChatGghrJYsL6fASuW8yc1NFD7d3XRRmpmb4eLFCwKkBvoGGDNmDIoULYKZM2ciOipaGCxZn3LRiGHsU0tbO8fASg/KvHnzJHRBjwMBdsXy5WJ49OzZS9ZMToCV8X62wy1nBE1r69T9tgQyJu6RWdM4IMvl3lqJy9axAQ8UYTiEcX6uCSZG0ZDj/tH27R3Fla5k//KdEBRXr16NGtY1MHToMPmNrJf9cP5cm/yHmeVs19//gSRPtWnbVu6lnPme6KpnhjuBlWuOnp3UcQ2TuDvbOn/unGQWc+w0PulRoRHAMXPrjZWllRy6wTa5xgj6TRwcMOTFuP6/KUV1PqoE3lQCOQJWZgYyi3T8hAmvgBxBimyR2a6dOnUSAPDwOCzW8e9//CHASlZDxjplytQ0YKW7kK5UujEZk6JLmAy2QcOG+PyLL3Dpko+4DMeOGSvu0qzirFQ2d+/6CRDQquf9VatUFaXhe8cXZ06fFsXCbEZl715GgmOGK7ftkEEwAYluMDId31u3UbdePQwZOkQyNQn0a9esluzdb7/7HvXq1cPePbvx/HmkKDvG486fPyeKlzFEZjz/PGGCMFcyWFr6RsbG+Obrr2Bds6bEZZVEHCqt1AMinIRZMXuUjPX+vfuwqmElbJRgf8TbGzVqWAvbpWteOcSDTJTJTFT8jAvzXmYnM5uW+xwZN42OiZExMwubStyxg5PMiZnVTF76ZPRoYV88AIPsnvFfzjsoOEiYJuPgAwYMEPfgipUrsHf3bmFAiiuY2aNM7KIngO7i9Pt2eYDBnLlzxLDiOLit5HHgYxkv3agEVksrK3G3r1u3TowrJvNw2xVjntw+w3WiuKfTv0vGWP+ePVuygumaZR83rl+XpDCCHg0PPV09ScQJCAyQ5CUyVsZY9+7bJ65Pyj8jxmpjaythDe5TJYDRYKExQMOQ26howNEAWbZ0qRh6zG6mi5Yy2LBhA3x9b0l8m1nYNHoIdvQ4EBCZ3f7o0UPx+vB74zri+iGDVjwG6edKFze9JKtWr5K2+K7oKo9PiJf2mInMLGq6eJmQxGx2slMagdw2xn8zqYqgrRgYdAMzZ4FrgGEDJfzAvq9fvyZGAzPKx4wZK3NWL1UCqgRelkCOgJXbM/jRUuGmZ48ENX6IjE+GMMO0ajUBNmZNjhw1UtxVhw8fxsmTx/H551+mKUMq/u3btuPEiROiNBinvHnrFgoXKiTuKCodKi9uQWEWbXZbZWhN021FFykTgB488Edycooof7rC6K7lXsKs2C9d1qtXrUBsbJxIycjIWBRVo8aNJImHLFh5nqc0ceuGksC1fdtW2Y5AIGPWJ12ldM9xG4ewBw8PSfKh0mdMj4k3jCFyrytBikqMF2O1zEIlG6RCJrhzDy2VN8dy6tQpiZ9xTh07dpTDB8i+GK+jYUIGRiOkXbv2ePzksSjXoUOGyf3J8q4uyzivXL6MlOQUmVuPHq7SNzObeTJU3379hJWzTWaSenp4iHufe2cd7B1kbsqWJsrA28sLPVx7CjMiGFH+3DZiZ++Atm3bvnL8JRU8x8H3f/PmDdkDS/ZE9zMzuJm8w6xgeiIIGgcO7JckI7pKKTeCHtdVZsdU8h3QmxAcFCRJSDReCHYMGTAT+ElQkBgahgaGuHr1isQgmSxETwtd8R2cOsi747uOiEiNsfrd8cPgIUMEONn+qVMnJTGMLl5DQyNxzTI2aWlpKQYdY9RbtmyRZDFmRjOOSuOBcVKGDOrXbwAzc3NcvXJZjq+kwUXXMF27yhpq2rSZJMLR6MpqPzCNIyb/8Vui4fP4cSB0dHTlu2G2Mf9hCIFtcP3R0DzscVhkSpbNBEO68WmAcD85XeQ0fB0cmogrn65g5WKIg4YyWS4NAu7Tze7bVJWuKoEPTQI5AlbGehISEzPdqE5FSaaamJggzJUfYmqSRSFR+mS1VGyaJxQRkAkabLuAlpYk+dBq5sfP5xLi4xEZFSVKOTtXsPLSlOxktsu2GJCTc1ENDWVM2WUX8zkq8zQ3MV2OL85HJYvQVG68V5kjf+N/cy5JycnSJ40FJQ7N8XH+ZDWUlSIXKlDeS+aljI1KkmMgiPAfzon3UXnxXsqS2yh4sg6BX5GNIk+Ogxf7J6CT0Sj9KZmpHDvHw2fYB/tX+uHhDmRTSiZq6vnJUUiIT5CMcL4nPqMoU/bHe5T5sg/lbGnKXPNezY+L74fPxsXFCgiwXc6d4+B4OFf+N8fP+5jZzXVCmbKvrM5+5vuLfP5c3gXvVc6+Zfv0APCIQ2VcbJdxU/6/sk45FuUsXTLcOf/8LUYGjTy6deVM3hfnUWc2Ls6P71tiogYGaYdQMHGK2fD8G2XNbG+Oj/0rcuN74/yUceQEuCT+yXOCY2LkO+TRo2yXa5//VtbXS2OPj+euI/lm2ZciJ64PtsMx8e+a6145k5l98Tf+o16qBFQJvAZjVYWmSuBDkwD3GfMfxss3b9oksVSe4pRfZzV/aPJV56tK4P+zBHLEWP8/C0CdmyqBjCTArS9LlyyRmD3dz3369JXEsZxUSVIlqkpAlcCHLQEVWD/s96/OPhMJ0P1+88YNPI+MlFglmapmOTVVcKoEVAmoEshMAiqwqmtDlUAGEkg91J/bW1LP+81JnFMVpCoBVQKqBCgBFVjVdaBKQJWAKgFVAqoE8lACKrDmoTDVplQJqBJQJaBKQJWACqzqGlAloEpAlYAqAVUCeSgBFVjzUJhqU6oEVAmoElAloEpABVZ1DagSUCWgSkCVgCqBPJSACqx5KEy1KVUCqgRUCagSUCWgAqu6BlQJqBJQJaBKQJVAHkpABdY8FKbalCoBVQKqBFQJqBL4oIGVB41fOH8erLHJ0lg5Pez/bSwbHlDAyjQ8tJ/VR9TDzt+G1F+/Dx7Sf//+PZiamkkReRZSYEUg1jZlpaCAgACwdjGrAimVjF6/tw/vSX4PLIjAUnosKlG9evX39nhJFipgiUjWruW7ZuEG9dSuD2vN5gpYg4KC4O3thcuXryAmOlrKWbG2KM9SVapnsDLGyZMnpfzZ09BQGBsbobGdHZo1a/5S+amciPmOry88PD3h4uIiCopVNgiGGzdugJmZOdq1a5frNjX7pTL8d948NGzUCE2l8Pd/5bFyMj7ew4+INUtZ8kuq86CAVJVhgWoXl25SS/R1ruSkJKxbv14qlrDkGIujv+uL87tx44aU5mOZshSkwNLSCs2aNZPyfNlVD8qr8V+9elXKmrF0HMsNZlSXNSQkRMrj6erqyNpT6t3m1RjSt8P6qYcOHULlypVFHiwnx3KJ1tbWsrZYZ5f1X1kezsbGJr+G8VK7rArEPlkmjoXqW7Zs+Upt3LcykDzohIbK/v37pJYsyz+OGDlS1t77eLGs44YN60X2/fr2k7KE75PR/j7K7P/bmHIMrMeOHcUmt00wLmiMokWKQktbS8pisYDz4MFDhFFRmaxauQKRkVFSu1RXT0/Kv8XHx6FP374oX75Cro6Go0JYtnwZfvjhR1HcVOzr1q7BjRs3pdIImdybKHMCYGhICAyNjEQ5Z1XzMrMXzzZYYN3X97YUR9fXN0BycpJ8/K1atc601F62CyklBWHh4VKiLDel87Jt9zVvCA8Pw44dO6SOa6HChVGwYCGkpCQjOioa9vb2WRYef80uM32MILV40UKUKl0aw4YNl+Lvmhdlxjqyy5ctQ5myZTFo0GBUqlQpr4fxUnssD8fvgcyEa+n69esC7CyETkAj6F68eEHWBOue5ufFmqvnzp2Dp6cHLl64iOfPn6FDhw4YPGQoLCws8rPrfGubZQD37t2DZcuWyXf26aefSe3b9+1iRSQa2gf274Nzx47o0MHpldJ779uY1fHkvQRyBKxXr1zBP//8LcWfW7RsIeBBEEpKSkR0dCxKlSoprq8Z06cLCHTv3l2Ympa2tjA6pRYra2NSAdF6y4kFR2BdsnQJxo+fIC40FolmEW0Wr65du47U5lQutks2q/+iBiXHx1qedKWyrqQmaPLvHBeVIJ9jxRKOR6nnqrRLRckzYmk0ZHZWLIF1xowZMDU1gaNjhxdFvVOkxijny36VPvjfZBH8t2abHAvHxPHwv2lA8L859gKAGCjpa8HyfhbY1tHRTrufY2RfvJdzUp7hvZwb/6Y5j5iYaOmX7zN9vVnNpcb3t9nNDbd8b8sasLKySpM9++OzfO/sg+NnP1IPFxDDh/PQfOdKTVD+xr+zDdZlTa2DW0DGzX8oA82atsqYPDwOY8vmzbLmevXqLUXhaRwpFw/QZ6k3GoPVLS3Ro0cPVKpUWX6WuqUxMVJf2MDQAPp6/9XZ5Zg5No6JcuE/9GKkd+PxPqWeLX9Xasfy70rdXLrxDxw4gFo1a6JFy5Y4fJjAehGtWrVC3bqpwMqxpNZPTV2jmuuZv7N/5X1K/VYdHXmO/fDv7IvPpDcur1y5gsWLFuHs2bPiVWDx+I4dO2Lo0GGwKFkyQy2SUZvK3/gu2I/SP8fL/pV3Tfko75R/472UCf+b9/F+PT1dqfvKtpT1zvY5dj6vtK35jPLuU+VaAE+eBOH6tWsobGIiheX5ffFS6vZSXopM0usXzXbT96kpEGVu/JviweK75jPK/3M8JAv8xjXfmVLTmPKnMcNi9uk9TZrjyGysea/m1RbftgSyBVYu1j9+/x3GBQti2NChsqg1Ly4ULpCtW7fiyBFvfP75F1IJRFOBc8HxoiL8e/ZfqGNjC0dHx2xjJMJYly3D+AkTQFfbzh3u6Nylq1j8VETKR0W3M12DwUFBstDbO3YQFkXltmf3LvQfMDBtTGSTK5Yvh3mRIrC3d8DaNavRsFFjaZNu7FWrVqJa1Wp4GhYm7IwF3Mk42rZrJ7Gd9BeV458zZqB4ieLi+mUxd82L4Ez3FRk327985QrCnoZK35SBqZkZAh8/xtatW2BZ3RLnz58TF/rQYcOlf37ordu0EVc4n6eCPnnihPx36TJlYG5mLmDdpWtXMT42bdoksqH7UXFDH9i/X2I+nAMZC5U526CREhoaIrJo395RlJUiV805XLxwQd4v3a529vZpBoMif/6bCpMs8e7dezAxKYwTx4+jSpWq4vb0uXRJ/s32qfBo1W/a5IaKFSqgsZ09Tp8+JW5TAiIVmBgfALr3cJV5pB8TAevUyROIioqW2HgHJyepQKNcXDepc2NMs6SsB7pog4KewMPDA5d8LknBc8a/KBMbG1tR7ocPHYK/vz+KFC2KBw/8cevmTZSwsICzkzOsa9aUsd296ydt3Lx5E/Fx8bCta4v27dojNi4OR48ckXE0atwYt27dyhJYGX/19PQEjVa+D7JvhlXIcBVQOnv2jLgU6QHq0cNVDAiutwMH9mOH+w7UsLaGq6urrC3Ni3M4e+aMAPOt27fEDd2qZSsMG5YxsPI+hnhojJQrVx69+/SROPHx48exZs1qGBkaoW+/fjK2Gy+YuI+PD6Kjo+Rvrj17wcjQEOvXrxf50ZDhmn308KGsxwsXLkjYpquLC8im9+/bh5MnTyAkJBSFCxeCnZ2dvCN6eRiLptFEI6RBgwYiC8qcTJ8g7ebmhuqW1TFgwABYWJSUd0wD6siRI3jg/0C8BSzvx/4VTwbbpDF27OhR+dZKFC8h3wu/P02jhLLlN7dixXIx8Lg2AgIe4dixYyhpURKdu3SRtU8Dn5WPqlSpgm7de6BmzZrireA63rtnD/z87orXimEAzqtRo0bSD79Bfr8cK/+7eLFi6NLVBU5OTrny5L1tkFD7y70EsgXWhw8eYPKUyRg1apRY2hm5S/lhTpo4URY861ZmVrOSinPypIlo1KgxXLp1yx5Yz5zG0qVL5QM4ffq0AJy9nb2wE2UcBKINGzagXt16KFe+vCSMULFSEVBx0ijo3KUzmjRpKqDLj2zmzD/l469WrTqm//EHWrVuLQqcYDV16i/Q0daBQ5Mm4s6mhXz8+DGMGDkKtra2r4xZAVZTM1N07tzlBbCmskNtbR0xJqZPn46Y6CgBpVKlSsPvji+8vL0l/kIlzNj1/H/nQU9fX4CPYGHX2A7b3bcjIT5BYsxU9jt37sSJEydga2MjMTMC8P4D+4EUYMyYMShfoQIWL14EYyNjARslSYbKje+xe48eooQZq6KrsIaVFUqUsMD1GzdkDF06dxaGp6lsaBRt2bxJFCaNGrpUM3OZ79u7VwCS4QGCvHVNa5EB+3NwaCIKhnKhMly0cCGqVa+Gtm3bCnBQ0QhbiI3F3n17YaBvANeePcXdn95bQGC5eNFHQPPRo0do2KAh7B0cBBwZ+9+8eROSU1IQGxsHxqrbtG0rSpBASQONytHI2BgELhqGdJOS0W7ftk3kSYVMsE1IiMcRb29hHV1dusn72eHuDjL9mjVrCfjzb7yf8fo9u3fD0spSQID9ZMZY2TZj1b6+vrJeuC75PrQKFJD3RoDhxUQdMk+uP5du3QVM+K0tWbxYgJBsvVfv3q/EmBWmybVHg23Lli1o2aKFuM0zYqwErF27dso7obxHj/4UlatUEQD/e/ZsaX/MmLEoVrw4li1dIjkWNERprGjr6KBOnTryXufNnStzGjFihHzfDA2xTQIfDYPBQ4bg/v37YoBwznxfNH6vX78mrH7AgIHyvfCbZ99cv8lJyTAxNRG9QoOLc69dpzY++2yMeH3ct2+Hm9tGAWyuW8UzQ7Y4ZMgQMVgoA34D5cuVk3wK5kGULVdWYu+ajJPrj0b6zD9ngDH6ihUr4cmTx5I0xfsok4LGxmCMn0DK/ts7Ooq8+F4I3o8DH8OipIU8c8T7CAoWNMZnY8aiXLmy2LplC9av34Dy5cvD3t4OySmQ77F169bZ6sLcq3b1iXcpgWyBlZltc+bMwYQJPwvry0ipRoSH4+uvv0Kv3n3Eqs4s7kklFvDoEQoWKiQKJbuY5rlzZzH9j+lISk6ShBB+eJrPUSH89dcslClTVsCXjJILfOGCBcIECZ6rVq4U5cmYLN2Ve/fuFcvyo48+lo9l2m+/pQErmcOECeNhZWklIETGxw+d4Fy3Xj04Ozu/osQIrLNmzRIFTOtbR1dXAMK1h6tYzeybYE3l3LNnL0miIYDPmjUTlSpWQpcuXaTm5++/T0P1atVTE5WKFxe3Ey1nBVgTk5IEfMn2KQvOhQp08+bNwnqYzEGFTGDlB+/k5PwfsLq5icFBFz3Ht3LlCtSpXUdAnSDDOfI5WtgtmreQ96NcnMuK5cvEguf8M3Ml8n7GlgguZCc0Ivg+yDa2bdsubPclYF20ENWqVhVWYGxcUJgYL7IDJr/xfjKW9O5R3iPAeuGiGEtUygW0tOT9M/v28uXLOHzooCj+J0HBYjAQvAmsXC+pbrx4hEeEC4MhADo7d5S+CKwEMccOTuLx4PqkJ+TqlasyJ8aWKe/KlSqhvWN7cW0qipyAsnfPbkmooaGWFbDSQKV7MTEhEfEJcXj6NAyeHh5ivHTs1AkNGzYUWcTExmLb1i0SK2YW7MefjBZ2O3fOHMTGxuCT0aPF85HZd0SwWbdubQ6BdZfErSmn/4D1gHiYuB4IZLxmz/4LcbFxGDp0qMyTRg8BkiCaCqy3MWLEyFRg9fPDokWLXgBrDwweOhR6unqy/vld0NDm+3bbuBElS1rg08/GyPe9bOlSAXphhN26w7ZuXVnT3l5eWLp0iQD5J6M/RWBgoIyPzJeu7uYtWqSx5Hv37orhQS8AvV5eXp7o1Kmz6AGu+YxCPAqwzpj+B5iAxNAOk824Hrds2SyhF7JLrmN6Adzdt6NW7dr4/vsf5NujFySB7zQ+XoyijRs24OrVKxg+YiSaN2sm7+2wx2F06dIVQ4cNlfY4DiVk9C6BQO07byWQLbDSJcMFMXHSRGFbGX3EdO19/dVX6Nu3L5o1b55lQhEVUXaAqkyR7qz5C+ajapWq8Pe/L2BI95cC3MHBQfj+u+9hZm6WmpWqpU39j3Nnzwp7+/LLcWC8gx8FFQPvmT17tjBCfoj8kDSBlRbx79OmoWWrlmjRoqW4IKmIacGSIfLDTO8OJiDM/PNPBIcES9yXCoBKgyBFi54K9M8/Z4gyaNs21Z3MZ+bOnYtCBQuKSyoy8jn++ecfUQJNmzZL21qzbNnSNGB9FPBIXHU9XF1hbV0zLSZFhkgXbN++/XIErE/DnuLff/8VFzJBnh82x3Pm7BlRIlRkmttBKCOOg7J1IrBmkfxCYKUx1LWri7jH+J7pMlXcyJkBa6FCheWVM9OYQEJ3JN8BM78zugis589fgGP79oiOicHxY8fE2KCSc3d3x7OICLRt1xY+F33w8NEjAUUqaXorGK4g6PEdhYaESmyXrs8mTZthh/t2ceESaDl+XmybirVps6aShcz2L/n4oErVquLlYLtka5xnboCV65nu6ju+dwScyYx49erTB82aNpP/5t+Z8ETAIiMePmKEuL8ZrrCpU0cUNtdyZldugHX3rl1YJMBaFaM//VTWLhn333+nMlZ+PwS9f/+dJ98Xf2cIxcHBQda2Aqx37vjKuOhleQlYXV0xZOhQSXYjY73ocxEhwcEIDHwsc/8/9s4ETMfq/ePfmbFLyL4LSWi3ZknWtIoUiSiFIiRZWv6/Nq1aiYREtCkpWtBCJFpRiLJlp+y7Mf/rc5450+Ntxkyaat7pfq5rrpl53+c55z7fc5/7e9/3WR4yJTfffIvTydGjRrmUabNmzVymiMwREeLUKVMCYj3rLIcFDuXwYcNctqF7jx5u7h+ciE6Z4qlbr546dOig6dNnaPzL41wmpXr1Gs6hxHEqUKDAUdB5Yh382KOOHCFv7BnZAewCY7d379tc1IsjROaLYGPAwDtd6nzRwoWaOWumCx6IeNetW+sc0mvaXasrrmjhpoTGjRvnHHacpxo1ajoZmeaxK3MhkCqxEuncfffd6tatq1PKY6WCy1corw4drkvTwqS0wBjMsY7Wrb16acb06Vq+bLm6deumUypWdOSKbHcOHOgGOekXnzKEDFH0Ro0aO++YOVDSgXz28rixat36KlU89VQ3WBkwPhUMsXJv02ZNVbv2eS5aoqynnnxCJUqW0qWXXpossfLMSQVOcgYZ44NB9AsymKPFyyciIvWEdwqRYaD4G++ViBGjRpRJpOWjNEesh0gFt9SyH5dpxoxpbnU1xs+3ddasWW7gt23TNuVUcChiXbd+vcaMeVElS5Rw84f0J/IiU9UqVXXW2WcfFZXzHak25o1at75S5ctXSLHrINYff1yqSy651KUUuSCct99mfraeMyZJqeBQxAqx0hcT33hDe/bucZECc5UpLRgLiPUbd1+ZMqX1+uuvO2OFbDgZrBbFQWFu2RMrGQMiUgwvEVCJ4sUdiX4xb55bkAeZvfvuOy5VSWoYEuVirnjuF3Od/NWqVROro9lGMW/ePGc8a9WqpQsuaOhSf2kl1lKlSmvKlHfdXDNjCmeFMt2q4UaNXNbAX8j78rhxLp3OFAr6sHjxDy5Nju4ca4vYnyXWESOeTyJWHAaidRxR0p+kM9Fh9n0zJbFo4QLt2LlDZcqcrGvbt3cE8/zwYVq2jIj1RrVs1eooYkXeli1butXRpG/RYUhr65bNzvHyUXFArCPdPCTPsOMAB5dVwdTriZW0Ntk0xg1z9z179nYpVqLgtydNchkYCJQ1HzhPU6dOdU4Sc6y5c+Vy2Ze217Q7itSSiPXxx9y46H1bH9fnjLFBDz6gvHnzqX///m6MIN9jjz7isiT9+vV32RAye0wTENUydYPNYgqLTBtOBRkJnAMcqo0bNzgHmtQ/NhPStyvzIJAqsaIwpCmZjO/Tp2+yC3gwvgwWjAVKxlxEWqPSY0EJsY5+cbRbFRwTI+e5xx85optvvtlFz5DW//7vHjenxSAKr95kFWKuXLkdaZAKYtsPi3Q2bdyga65t7wYUKezkibWZW1DxZ4i1SNEiLlKLXLzEQMc4BcRaP0VixRB4YvXtCEesGzdtck7Bla2vcguB/Dw280es/uzU6Xo3/4lxZI6YlHLhIkVc+4kAIAFIGQKjnMaNm7gIz6+e9Cs/k1uFS9aClCJpR1a1JreIi36EWJct+9ERK4aZi8UzpMQgJqIE2oZDRNqR/c8smiIiYmvI/Hnz3apj0u70X0pXmFhZPMPcFguSDh466PBHHyB25kM9sTIfSrTJ/mL6gZXQGEfK4n4+S41YcQz86ld0j8VHLGIhDZ03X75gjrVSpVRTwaRDiQYrnXaaw5O+hMQw4DiAYWLF4SGNSXp022/bXEaGbAwLkc4++5xjjrO0EivRGX03fPgw5c+XT126dnOLktCtsWPGuPQ/aVowwh6g0zglOELfjr3VUwAAIABJREFUfPuNWrVspfMbnO8WBTJHSVblug7XuXuee26ofl6xQm3atHEOCIuhvv7qa3Xs2FFNmzXTzE8/dSRYsGAhF3VCrMyjMi/L6v8O13V0zsNRxHrmWerarZuWL1+mp556yq0pYCoELCEv5qXJTJBhokz3/O5dLmMxfdp05+jhON3Wp89RW7WOItbYWBedQqwzZ87SQ4Mg1rzq339ABLEW1219bnPZFjJX3N+r923OWR465FnnMEGsRNhkSficFDb9DX5kPgYOGOhspl2ZB4FUiRVDsnTpEpcSgsxQVr+EnJTb5i2bVatWbTf38+wzT7s5rVatrlS58uXccnS8RZSduScMMvN7VSpXcXNwqW258cR65513Oc+QciAOVil26drVkeP4l192ewZZxEGUg0fPwRIlSpZw8hLZ4mUT1bDFolmzpi6aYbARMSRLrIlzhGkm1sGDlSNHdjVt2iyJdKgX+cAlINZqx4xYUyPWrNmyuvRx1ixZXeRMtImhYF8v6cEePXqoXPnybqERURgkz7wcmDFHhyw3dO6sfHnzusUhGBEMG6nEvXv2aO26tW6fMX0bGSnSBvawskqUhVM1atbQiSfmdc7W+vUbXJksHGO1bCSxEskRVZD2ZoUkc8OkAokgml/U3Hn369atdwuOiDiI6r1z4he4RDppYWIlDYmhYi59wcIFbh6ZfiAbECZWdO2VCRNUrHgxNW7UWAcOHnQRLLpNKhhCZ87sWBErqcZt235zc6voz+zPZrlFVJAh+KaVWJlbY3qCqQlkxdjSfupu166dwyB8sUJ5zJgxIl2LXrFamoVMqZ3glFZixeATRT03dIhWrFjh+pKpAtq6evUa57B16dpFxYoVd+lNUrM7tu/QxDff1KJFC9Su3bUuOzRhwng3XUGKlQgWpwAnijFJ9Mk9OGisnOV7HL89u3frl1/WqkzZMm5uNy3EypQLhIlDgG4x98pz4Ml6BXAkIwH5QqAsQMT2ZM+Rw90L9sxz9+rVy+1z9tfxEmuf2/vol19+0UODBjkniQwaHhAp7p07d7mFlC1atBArqdHtnDnRndluxTcL2e7o188t9rMr8yCQKrHSVBRu0aKFbuEPizTYB8ge1Xx586lO3TouVUkkgnKRDmN7BdEgBpE0zmmVK7vBlzVLFvXr18/NV7GwILVjvjjhZ+SokW7hFIMGkodEhzz7jIsMSEExuJhTIU2MUkNAkAPkzkq82Ng4N+f20EODtH37DvXr38/N4UEeEOugQYPc3CbeOKlgVgkzt8MqU0+szLGSCmahUUpzrERcpLMw4BgqluczV4XxY4EVqxRZ2OVTwUOHDtEJuU9wA25nYiqYVHI4FTxq1Eg3x0pajXKYU5r09iRt3rTJbX8qVrSo2MlEupBFGQxoVsm+9uor+unnnx35lSpZ0q3ChQiYA8egLVu+3BHb6lUr3WISFjSVL1/OLdoB55Tm0TG+pEY3bFifuP81m4qXKOkiVAiONN+ypUt1yWWXJaWCMa6cSjXl3SnatXuXM8oY6MU/fO9SgUTBGGNW4xYsUMBlFbiyxMWpabML3UKRyOMc/apmSJnj4tBPSJTomA35RFtckydPdoad/qRdbKchumWBiTdkW7du0UUXX+L6n/s5lpDMgT98gPTh53M/TzxdqqRbVMOKXnQN/SB7gKNGH0B8kC+L1ojWOCDiDA6IaNhQH300w207gVxYRcx3GPmY2BgnC2MKUuBQgXDESjvQcbZ4sMIWLFhrwKKv1A5HgRjHjx/vFlw1vOACN/eJg5rcxWIdMIR0iEjPrVZNJ51UQJ/NmunS7Ogy45V5QsiXi613NWvUcKvFcdCIVnFwFi5kxXYJhw1OASt/mX4hY0IKn8iWMsgekNlgzjZHjpzq2auXI0iyGegaDg+pYHQX5wP5GBNnnHmmI0W223z//SKXSibbgZ5zgA17h9FJ9AvHDsJHbyF4MhXgz7hjrjS8gwE9InVLijcmJlZ9br/dZZo+/XSmHnzgPkeKHFbDVAJ9RyYPPAfeeZeyZ8+mUaNG6ZOPP3b3cdocWQ22tZHqpV/HvjRGn8+dq8NOjuxujLAFicAktSAj81DOf6MlaSJWoEAp8YAxVAw8jO9J+fM7j4+B5zd+8x2Gl9QjS+VJx7K03UW5CQn6YfFiFSpU0A2KlObQPPTUR4oFI+f3MqL8GC0iYbxRIsVt27a7yIzBx/8YbgaoJ26IjgUrbJ845ZSKSXOYtIk5QIw9xEXZ3Mf/eN3Ix7NEwDly5nSDKHIAQPY4GyxYOJIQHHBAO3PlzqXKlas4o8AKQTCiDr8lAMMCeXBOMfXSTubamGvxuOB5Uz+G15M8czNEiUSLYAgWX86f54wQc4zcz35N+glS4x5OSOLvEsVLuK1KtJv+QWYW/3DsJJghX0pbpWgn89VkJPhhLgl8Cxcu4lKFzFthnEk1047wMYNEvDhdLFYBF55BTzBA/NBODCDpWjfnK7kDAcqWPdmVFYk59eMU0cc+uuUErX379zky8ERMJEvd3MdnENcva9a4Z4kwcXLYi1mgQEHXdu7n/0D+YGU0W5ogTebMKAPHhXaCc4GTTnJtJwoHG7YM4Xih6zhpOEB8V7BQIdc+6kW3kJn2gwk6SzlEU6z0RQ7SouELTNlSRgqfhTusM/BzwMcyUxDy2rW/uMwGZbJyNaU5WfQDIl6z5heHGRigC+gROovTxmEkRLDbfvvNVcviMnSTxYPcw3Ps+wQf8KMt27dt06+//eYcG9Y4eF2gDDAFH+TjgmTRc8YCuLNPm2f8ISPoPt+BH7pOf9BGp8vr1wfjP3HLGhkdvqc+2rBxwwaXsUJPGcdEy5FYoOPYHFLMjGPkYdxSPnYCPCBlxiifLV+2zJXBeg1+0//YIcYFEfPuPbvd9hsyAODJljd0DDmQDTnQzeM5SvW/QU/R28o0E2s4XRKckBOcqpOc18wg9dsn/ClA4echjtRIlfuph3IwrOEoypcfPl0IcuJz9gISgUVGXYE8CW5fZfjiubA8kf9zLydMMdBSihC8PP4gDJ6BGEiFI0fyZQbbSzwOTvYIXDyGfO7bQx2U508IYl6OlKQnVr8YKXwP9XB/cuX4Az4iMU5JpdkfGp9YP/Pe4OnbQFmR9fhyPEbI56N6/uaH7/yz4Xq5LznMuZcfvgvj4lec+8+Sk8fL4bH2z3gnKlJ+XwZl+hXUvl/C+s9z3Ovvi/zfyxyu17fbtwMHiEjJ40kExoEMbCFinpVDS8j8sAgoufORI/vMy+B1K4xXcv3rF7Hx2+Mebmu4r/z4D+tUeMz6dobb6J3KSCzQVV9euI5I+xLuu8i+9/XwPN95DD0GYV2IYzzFxiar4t7mhNvHZ8gYLtvdh9yJ+hwed/4+X5aXx7fb61hq/RG9tGKS/2liNcgyFgJst5n56Sdqd217l1pKj0VjGauF/11pWDRG+nfevC9cxob0L3OwbC+xfv7v6oW1POMjYMSa8fvomBJyCgwrU5kTJq1kBjfKOzQkPntDmU/mqD7mblnwx1xmSun6zNNya4khEN0IGLFGd/8lHmB/wM3Z2AKIKO/MCPGZP2SuljlxIlb6OLUFS5kLAWuNIRCdCBixRme/mdSGgCFgCBgCGRQBI9YM2jEmliFgCBgChkB0ImDEGp39ZlIbAoaAIWAIZFAEjFgzaMeYWIaAIWAIGALRiYARa3T2m0ltCBgChoAhkEERMGLNoB1jYhkChoAhYAhEJwJGrNHZbya1IWAIGAKGQAZFwIg1g3aMiWUIGAKGgCEQnQgYsUZnv5nUhoAhYAgYAhkUASPWDNoxJpYhYAgYAoZAdCJgxBqd/WZSGwKGgCFgCGRQBIxYM2jHmFiGgCFgCBgC0YmAEWt09ptJbQgYAoaAIZBBETBizaAdY2IZAoaAIWAIRCcCRqzR2W8mtSFgCBgChkAGRcCINYN2jIllCBgChoAhEJ0IGLFGZ7+Z1IaAIWAIGAIZFAEj1nTumISEBK1Zs0ZxcXEqUqSIsmbNms41WHGGgCFgCBgCGRmBNBMrhMEPV2xsbEZu078q26FDh/TQQw8pb968uvbaa1WgQIF/VR6r3BAwBAwBQ+CfRSBNxDpnzhwNGzZMBw8edNLlypVLtWvXVqtWrRxxxMTE/LNSH2dthw8f1rp165QvXz7lyZPnb3EQwKh3797Knz+/evTo4aJWuwwBQ8AQMAT+OwikiVhffPFFPfHEE2rZsqVy586tbdu2adasWWrYsKHuuOMOR1LRcG3fvl0DBgzQFVdcofPPP1/Zs2dPd7GJWG+77TZH3t27dzdiTXeErUBDwBAwBDI2Amki1ueff16vvvqqRo4cqRNPPNFFrvz99ttvu88rVqzoWrlp0yZly5bNRWs+it2xY4e7n8g2nEL+9ddfxQ/kVqxYMfecv3bv3q39+/frpJNOEs9D5KRWKTcyDU0ZfJ8jRw4VLlz4qHLC0O/du1c//PCDevXq5SLtxo0bq0SJEkllIuOWLVtcvZBiuC4iXS8D5ezcudPJhpNBO/fs2aOtW7e6+VSe7d+/v5M3TKyk0Tdv3uzaw3PIavOvGXtwmHSGgCFgCBwPAmkm1jfffFOvvfaaIxyu8ePH67777hOfV6lSRURqRK8VKlRQly5dkkhjwoQJ+umnn9S3b1/lzJlT8fHx+uCDD/T+++8LAuX/U089VR06dFDJkiUdcU6fPl2zZ8/Waaed5n4vW7ZMBQsW1E033aQ6deq4sn/77TdNmjRJpKnXr1/vCK5Ro0ZuXhPSiiTgL7/8UoMGDdJnn32m4sWLu/KuueYatWnTxsn31ltvaenSpY5Aeb59+/YuqkVm0scvvPCCa9tXX32ln3/+2ckCOa9du1ajR4/WwoULHWEiH3UgO6lgyqKd77zzjpOVv5H13HPPdRkAnAqbsz4e1bVnDAFDwBDImAikiVhHjBjhIlN+E3kSsT399NOOJB5++GFHtgcOHNCVV16pqlWrOsL1EehTTz2lRYsWuftPOOEEffTRR3rllVd0wQUXqGzZsq6MiRMn6uSTT3ZERFqZ/++9916dffbZjryIRiE+Vto+9thjjoyIPv1zPLNq1Sr3f7du3ZwcEGL42rhxoz755BM9+uijru4aNWo4h4Bom+c2bNigUqVKOZKbNm2aI1jaAelDnjfffLNzAiBvHACIkaj1kUce0erVq9WkSRMXpS5YsMDJ2qJFC5cSBi/aO2/ePEe6RMlErkT7DRo0cORKlGuXIWAIGAKGQOZAIE3EOmrUKP3f//2fTj/9dJe6JeVLxDhw4EAX9RFBkkJt3bq1I6vkiPXZZ59VlixZXHqU68Ybb3QkSor0jTfe0McffyzqgWD5n5W1kGu9evUcsRLlQs6PP/64I9x9+/a5VDKkjkykYyHVU045Rf369XMp6/B15MgRR56dOnVy0fHFF1/siB6ZIF0unoFY586d6xwG2nfeeee55yj7zDPPVOfOnVW0aFHnOMyfP1933323OnbsqIsuusiROVttiNzPOOMM9ezZ07XvrrvucmR84YUXOvIluicC9lE+Dka0LADLHGpvrTAEDAFD4O9DIE3ECglAahASZER0SmRGChYSIwJkjvJYxDpkyBAxP8k9RKkQIGTCD8QFyTBvW758eZdyJjpm0VSZMmXcPV9//bWLAO+55x7Vr1/fkTlkunz5cq1cudLVDzFDfhAZBBZ54RDQBoiQiNJHtZAf5Prjjz+6uVIi0HfffdeRZt26dZ18kOVVV13lCJRV0T4dTkr8/vvvd/VC0mDDqmAiVSJwyu3atasjYlLQEDftQeZKlSo58saZMGL9+5TcSjYEDAFD4J9EIE3EyuKl119/3c0lEtVBAkSLpEchBUiXi0VBkangZ555xpEwxLpr1y5HaGzV4bdfvAOxEZVCNJAdqVNIEmIl0qO+b775xhEWpEkKldTv8OHDXZlErJTBSuVmzZqlSKyQHMRK1OqJlYVJU6ZM0dSpUx35QXxE4xA2UTPEigMBAbZr186lgj0hIx9zzMzdEqmTqqa8Pn36OGK/5ZZbXBqZBVNEyLVq1XLt5EJeom2iVf/ZP9nxVpchYAgYAobA34NAmomVeUPINRwJtm3b1qVkWaAEuV199dUuTTp48GD3PyTDCllW20KCzFFyT7ly5Vyq1Ud+nmj8Ih5PrBA5855hYiWKZFERqWXmQomY2SvKPQ888ICbw7zzzjuTjVghVhY33XDDDUnEysIkUrYQo08Pk86lfAiSeVFPrKS9mfP1xAohM+dLmhwChphxOEh300bKJarGAYGQIXTmZf0Fufo2gxX44GzYYqa/R9mtVEPAEDAE/gkE0kysL730UtJCJQjg+++/d/OdkA2RJGlQiI3Vr6RrIdgvvvhCL7/8slsABLESmfGbaJR0LJErUR5pUS7SrNwDUfuINSVihdBYWQxBk2JlMdODDz7oiBDyTS4VDOldd911LspmgRNpZkgMoq1evbpbCcxcLITJ4iJSvMzxQqzsfyViDRMrKWPIk7QvTgbOBCuCSWU3b97cpa6ZRyaiZd6WVPI555zj2spK5EKFCqlmzZpuNTF1sgKaOipXruzwtMsQMAQMAUMg+hBIE7FCdKRCSVsSUUGGRJusjIUI/Dzo4sWLHdlCGmwzYQEPERs/rJ6FQIgaIenPP//cfU70BzFdfvnljlghJyLjcePGudOeiECJRr/77ju3ZQc5iA6pa+jQoW6FMulpotYlS5a4yJNIM3LxEl3DPCx1Q/bUA8lSJ84AJA2ZEVFCyjgOpHBJ3zLHirPA1hzmk33Eyrwwi6rAh5W+tBlM2HrDHDJzq2zrYe6WVdXME7PICxyQl/lmFkdRHun2yZMnu/ZRp+1xjb7BZBIbAoaAIQACaSJWIjbIgmiOiyjPzw8SdfnUJURDFLdixQqXFoWI+Q7yY18nhEz6k9Qwc6TMZfIZ5FO6dGlHapAo9TE3ySpkT2IcrABxspeU+0idkrLlPp4hQuYzCIk0bEoRH4uT2K9KChvyYw6XeVr2plIHi7NoEzITLdNOyBBy9PtfkdlfLMSiLcgMYeJkUB718zc4EOGzcApsqIPPqIPy/UpkyuAeZAofsGFqaggYAoaAIRBdCKSJWCFDyMEfwg+RQS4prWTlXi5PpOG5RA+PL9PfFy6L7yDxMIH5z/yqWl8OZMoFkfkXBaQ2R0nZvnxfL/8jN89SL//7VcuU779Lrs2+LTzLT9gBCauDr5cyItvhZQ/XGV2qZNIaAoaAIWAIpDliNagMAUPAEDAEDAFDIG0IpCliTVtRdpchYA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GGgCFgCBgChoARq+mAIWAIGAKGgCGQjggYsaYjmFaUIWAIGAKGgCFgxGo6YAgYAoaAIWAIpCMCRqzpCKYVZQgYAoaAIWAIGLGaDhgChoAhYAgYAumIgBFrOoJpRRkChoAhYAgYAkaspgOGgCFgCBgChkA6ImDEmo5gWlHph8CqVau0Y8cOlSlTRvny5Uu/gq0kQ8AQcAjEx8dr06ZNWr58uc455xzlyZPHkEknBP40se7cuVP8xMTEuI448cQTj0uU3bt36+eff1bJkiV10kknufJSuvbv369ly5apcOHC7ic2Nva46rSHogeBSZMmuT6/7LLLdNppp0WP4P8hSRmXGzduVEJCgkqUKKFs2bL9h1r/e1M9DhAVjmCWLFmiAocDBw5o9uzZmjBhgu666y6dfPLJUSF3NAiZZmLdtm2bPvjgA33++ef67bffnLdTsGBB1atXTxdeeKHy5s37p9r73Xff6f7779dNN92kRo0aHVMZf/rpJw0cOFBXXnmlLr/8cmXPnv1P1WU3Rx8CL730kr7//ntdc801Ovvss6OvARlY4l9//VXr169X/vz5nWN7vBdZhVdffVVHjhzRDTfcoCJFihxvUVH93C+//KKXX35ZBw8e1K233upwTY8LhwW7SwACYRNUpOe1b98+TZ8+Xc8995yefvppnXrqqelZ/D9eFnjt2bNHCxYsUMWKFVWoUKF/XAZfYZqIlZTck08+qa+//lrnnnuuihYt6gbTunXr9NVXX6lZs2a68cYb/1QqgWc//PBDnXfeeQ6EY0WhW7du1bvvvuvSFVWqVIkaj/Bf69VMUPG4ceMcsbZt21ZnnXVWJmhRxmnCN99845zkM888UxdffPFxC4aDTVlcNWvW/FPj/7grzYAPQn7YQWxi/fr1lTNnznSRkvIWL16sUaNG6aqrrlLt2rXTpVxfCMT60UcfadiwYXriiScyBbFu2LBBffv2Va9evVS9evV0xevPFJYqseIFvP7663rsscd08803q0mTJklzXgwsvuPnkUce0fnnn6+4uDinDES0kKAnzM2bN4tGV6pUyUWceBYQNWk+Il9SwXyGMcWjxuvDg+I3KYuFCxeqVKlSziv2ZVL/0qVLXWqaVBT3+3QU3iORbrFixbR9+3atWbNGFSpUcE4BbcLb5jPkPeWUU1y5/J3ShQzUtWXLFuc9Us7atWtd+aTDDx065NpNW/jMp4NWrFjh6kN2LxupI2TDuSCdDibMIybnXHhZeZZ7KY/2lC1b1rU5a9asR4nMnAke7q5du5yMtC1XrlxJ99AvK1eu1OrVq91nlEPUklIWAKeG+3GuwKh8+fKuPFKAfMezZCt8Kh9MkQ+MwITIqHjx4ipQoIC7h8HMPWCGR+lxoi+Z66HfypUr5zxp8G7Tpk0SsWLA6Df0g+kD+tNPRWCE6A8wpB+JInLnzu3aB3bIQZvBk8/oI98flIcO0Qfgxn0nnHCCkyO1TAwy+T6h72m3xwOswQn86HNw4Hvk4qKtfI+8GGPqpf7SpUsn27fhjuZZ2gseYIistMnrMO1EV8GUcUXfUTdTMG+//bbef/99N/aaN2/u8PApTOqnPYxX8ADjlCIw+hKcwR69oH9pD2MFLNBvykEu0ozhVDG6gT0AG2Sl/nA6GZnBg37LkSOHe57v/UV/0T6wBgtkRoe9vPQL9aN31M9FPfQ19TI20L/Dhw87GRmPyIQc/DCuuB+9p03cS7u4D3mwNV436Ft0mucZy74PaAP4eywJIPx6AcqiXOqnb5j2oC76kf5Hd+hf+gr7Sj/VqVPH4Yx8XNTLWKed6Cvlg3tKF+2hfxlX9B148vfw4cM1ePDgJGKlHfQrmNIWMMV+JXdR5t69e50ecg/69eOPPzobgf1HLi5vP7FhtJHLtxFZwsEVn1MebaMf+C7c9+gb8oEZ9YMXdg48p02bpocffljXXXedC8ToD74HS/qDcohokeuMM85w7aMP6Ff0DR2lrL+SyaFtqRIrje7cubMDZsSIEc6ghS8aiDdFOveee+5xgt13332u0//v//4vyWBjKN977z0NGDDAKSkNvfPOO3XLLbeoWrVqLr08duxYByhgMkhbtWqlGjVqOKM3aNAgp1x4hHxP57322msuVQK41IfX3KJFC6e8GHe8MNIngIZyX3311U4533nnHUfqKDKKAIhE3ChCJFHRVjqEuj7++GM3iCmTDkPWa6+91j1HfbS3bt26uvTSSx0JItfzzz/vDA91M8iRl/nDH374wX2O3Ax80tx0aGT93PPiiy86g4DCgTfGhsHYvn17hx0DnfvmzZvnBiL30F+URUbgiiuucArF83ion376qauXZ4gGL7nkkj+kmZD9iy++cAaY8sCJ8kj7E+WAKWlAshUNGjRwMjAgR48e7WSlvQz4yZMnu/Q9ckAA9Dtps9NPP909B8lgXN944w19++23jhgZCJRBmaQYGQCLFi1y+oOhwjhwoQv0N/1HeyiD8ukjBiV1NG3a1D3DXBKG2OONbtWqVcsRGu387LPPHB70I/Lwd+PGjd0cL0Y4uQsdBG+cPtqOMeEZ9JS/qZPIEBz898h80UUXuf5AF9BFjDLYYsiQkfYzptDn5Obr0NuZM2e6aRnag2HAyFO3xxn9om7vbEDqjFHah06i/xhhMEIeZKZunuFZxh8yYwTRj+TShIwp2o+uYcjoO/Rl/vz5TqfpA0gMm9GyZUtXP+SHLs2ZM8dloTCGPIdR5h6iMvR7ypQpmjt3riMA75gyrmgfZSAj2PEs4xPskIPnyXKALWMWp4FxAo4QAGOYvmbcQhhE3MiMTlEP9osy0HN0g7595ZVXXBuwQ9SDfjEF1q5dO2fLwAE9B9sePXo4+WgD8uFsUzd95NtIvTilPINeI6MPKOgn5EXnkRMbRhk4Ftgc9J3+wl4i95dffplEUvQnY51nIy/0GZmYTwVXxh16DX7IQCoYAgNL7AP2Gh3AZtAedIA2Rzr/lMt4IepFRmwFdhG9ZHx37NjR2WN068EHH3TOXJcuXZx49Mebb77p9P/222939fAcmUzslCc9+gTdoO/BETuHs4Es/IBZ165dnf149NFHXfuwydgFHHP6El1A59BjxjuYwz+0cfz48Q5r+pX20tetW7d2QeSx1v6k6MGkhVhRGjoSQ3THHXf8IaqjoR06dHACQQAYFEiKAfHCCy8kpUUwejRg6NChDggMM8r9wAMP6IILLnAdyf10BKTBoKajGKDI0K1bN6fIDC6NKfs9AAAgAElEQVQ6HwCJVhgEDAA6l0HeqVMnVx6Dl8FO56FsXjG5lwGNF06He0KHcCH5SO+cwYaxQXHo2KpVq7pBOGPGDDe4ieQx0CgOsoOVVyaUjnlkMKJsFB/FRpGpD8VGzrfeessZMHCMnEehDDBC0agfY4sCMNgZaN27d3dGGlkYHAwYMIHYMfyffPKJGxT0H7hRFh4vMqPIYAA24agWhUFm+gTDiNwYfowShhrjQR/hQKGoYE4/MagYPHjV9C3pMYiW7zHclIGxZVqBdkC4DJ6RI0c6A4FM4IDniNGhjttuu81hzmCBIJEXwuV+cKQeBg440X4GJc4YUxaUhWeKcQQzHBuM39SpUx15QdrISl8yzwQeDCb6AFJkwNMnEFYkwdHf6PuSJUuc3JRH2egPc8LIir7TH3yPzKwroJ/AAkOBERkyZIgb1DhkODnoI30Nrowjxkr4ol8wfPQFxgFsKAd5aSOkgj7g9BCNYNzAEePknSuwxShXrlzZYYc+gBOOC1EA+PEMDgG48z3GPnJsoAv0HWO9X79+DiMwQcdpD/qKbMjLuOvZs6fTNfRizJgxTibk89kqCIf+QD4wIJUHDpAkTgTEiR0gEsG4kiVjfKLfyIthRSewE5ALsvEsC3PAEXmpFzLHwec7DDRjhTGDDhHNQGSUgfzUe++99zp80Fd0CDJGp+gf8KNc0rWQJTLRZrDEeUF3MNSMo1mzZjlypQ2QNDaFtuJU0/c8j/7Sr/3793f6hE2bOHFiUsTKd8gAPkRnOCuMPdpC+YwxSCoy04IzRjkQGY4x/YDcODB8B1b0M20jwMFhhwTpWxwlyBLMfLTsdRK7zxjAJtBOHFHsBTgyriCvhg0buvbTbsbG//73P/c4dhSbj85hE9AfdIPPeAZdAEvGB7qIvcFOeZsK+aE72BCmNcAPTOAGxi1tQKfAB6yJyvmcvsaOIAvtJ2Ckb9E1dIwy4Ke/Mu+casRKg1AectYYyOTSlZAGnhxeAWSHR0KH4Bn7+QY6FEPz7LPPOiXHwNJIwGJw4d099dRTbpFSeJ7Cp5eog4UsDCI6H5KHLPC4AZZOwqhDbL1793ZGBmLFC+N/jApl0VFEQygnxo77iLQZbKQQfNrIKw5AIxMGD8XynU3UyQIbolRIAkOLocZo0i46zpMiyodSISeyYKAw4GCFYQAXBgby07lhL4ln+ZyOBleUhe9RHow0RgMDiTIymEnXgx9to50oIc4Fgw1DBm4QMjIyuOjP5LwyZKdNDFTkROkhaZQQ443zQv9ivP2AYbBjVDEUDHgGFoYWRwMd8sSKwmK8GYTgTjaCAcB96AYDBAeM+lncxqABf2TCYFAORpTBiAFHHj575plnHCaQAN41RIkeohsMSIwj/U/qC0eM+jDSOBBE0chEpI2BYDDTPqY3IG+fvvV6gbHhe4wP5aBP1IVDSJ/hUGDkkYX+AD/6EBnpB/SZtjDgMXCUgTOAowXJ46SAa+T8MjhQNhEOxgdCBxeIFQMHIeC0YSjBgnI9saNr9DUGGMeM+7ifz8CTZ9BRdJhxi2HHqeRCbyOjVmwDz4Ap81o8i1GGSCEdsEM2yAvdIPOF/vI/unH99dcnESs6yoUdQccYPxCxT8HiCNBHyMZzECtYosveIaYNEBy6RF04UNgVZAErjDbygintpkzGHmUyhpAVDDGsfMZzECsGmTGOLtJn1INDhFODXUSHfaYGGwIJoZvoJE49fQ+WlAuJMXbBijGLTDi76BH3sLaAyIo6sVnoGVEr7WEMcaEvjCF+Y+PoKx9pYhsZO5F9hbNKPYwJ7AnOBHLTfsgcPQRr6kdOr9M4cuga9g5bg90KX55YcawY8/QNZUOWOMVkjMAIYqWfIDPsLRe6Tn9wL22kLHQf/SECpRzqh6ThFvobnNA1dPnuu+9OSlGjw/QfYwxMcIaomwsbzpjHFoE544z7sbnYS8Y72PAbGXDa6Wvkpj3Hc6VKrKQPvDITHUXOQ9IYCJeOZVBhwI6HWKkHhUBZ8Oow3HiMGEPmDcPESoQHYTBIvWcG0HQQngdKgZEDNIw30UE4IqOTMXoMAEBnkENEDIbICAFDBmHSGeGIlgGBdwr4GOS0ECsDB2PJQPBzWnQw8hAl9enTx5FdcsRKhzPQfe4fRYEQUC4GOMpKZI+Ck1L2F44MJMHnGCEcHIwc7QU/cPZzSpEKRJ+CKZEvODA4UXKUnhQwgx45MB4MOIwaMoA/AwDDlhqxEsUxYOg3HCXfTzgtEAPOFIbQzydB5H6+HqNH32IkMWLoDwaaZzwG6AVEjcH0c8/ITT20A2LFkGBk0XMiDJwNIhL0AVJHvyMjAJwY9JBnkD0c0WKwaBNjg7HgtzFgSOgPyAM9gBQxLNyHMcCQ0k4+Axf0LnLBCg7B448/7pxL0l3eccVgQ/6kvniGNhKh4FxxH84rURzt9sTK+MJp4GIM4NhiyHBGudA5dBYs6dPI7RjJESvkR8THuOA5yoPc0DucFkgeEqIviMpwVP0FDjhv6AxGmjr9WCD6w+hyP84h7aMcyBvnhQs95TNsBmMJQsCQ0n4MJASCo8A4gny5Fz1j/PqpG/QH54jMGPqIjuFAkYLlf18P/Qv5E31hnzyxPvTQQ454ISFIDCzRQbD0a0FwUviMduJAkfVCZhxAdAoSgVjBDwcCPfTEynNkQ3DysTmMDT4DO3QAp426/Twm8nqHARsBrthFLr8qmPZRBw40hESqFN3wQRSYcC/2D2csOWLFHqOvkBnyYM8hVgieMtNCrNSDM4X+UL+/+BxsaDN9ST/iwKPvtB/b43FOiVhxHLCXYAvWyMhYwilnLKJr/sLWERzgEPvo+s+Sa6rEijJgODDeDLxIYqUzMawMGISgYzEmPjLwAx+PB28opYiVTsTgMGAwahhQBiKGk8FNpwICEStpZWRhgJECChMRJAH54I2QnmBAQK5eDsgBRUJR8FBoD94+AyslYvVePx3g02EYPgYRy+tJWWG8GbykWRjoDDo6D08I48KzdBjtwBigOJCbv/xCkciULAOSiI6yUFw/iU8bUDCIlaidqJo2Q6AYjTCx0j6wwltEBsiRwU8bMJa0j4EYxhF8SFORCkQR/YIliJa2QKwoO+3DKWDA4v1ivDFARHCkWTAeEBP3Q34oM30HZvQLcmCk6Gd+fD9hoHF+6HOiCciP9KdfxOVXYqIjECllY3hxlHjGGxb6G6OOAYMcIUD0C7zDxIrBJdtBZBMmVtpDv0YSK9MJ6DT66FPaHnOMCLoEnmBF+o4LRwXyBwM8YhxInBH6lgwCTl2YWKk3bGAogzFC2ZA0OIf3kaPD6D967Z0iCIl+xrgyTiFY+pRUMWXjlHCBLySEISQyQiYusPCLsiJXu6ZErDgxECt66ImVMQvpYydoM+0gTRgma2TE6UNn0BecDX/RDowjZRKxQDjc5zMK3IduUja6yj3oCM6+zwigP3zGWPBTVzgU2Kvw1gzGpV8oCbESQYMdP55YiRjRCUgDR88TK2MVp4ffOK7hCA9bg/3AOWAcIj8YEsFCEp5Y6RuIFbLwxIozACb0Cw4EJEm/gKm//NkCPBe2I351MbaCMtB7LnQNTBg3RIzoDwSJY0j/hcul75E7cjrAR6zYAcgfx9QTK84NzgFZSU+sOLLIwYUOgxu2nvohUOpFLoK4cP1+wRgyghNjGK7ARoCrj15xOrBn1Omxxyb4SJhMDdggI84daxlwdLxzRp1wGrYI3fLRdboTK8AhJB46wvlUJBXh2aEEpEUAFqNEI/FE8RbxKhj4AEV0h5LgjfuFDeFUMCCjXH61IIOO/zEiPI+X5YkVw0CnASbGMLzaFuXifzx1OgdixfB5o0AainkWDB5GBHkxdigTkUBkxErd1IWBoD4/T0W7KYdUMMaCzob48KD8fCpeG4RHe1EYFJzvIAo/TwmOYExKGg83MtXuiZVnUdzkiJWoioHOIIFYSVtBNDhF9B2YUp9Pc/vUFMSAIQNbUqrhhVNE8zhKGBgwxvAQQeLxoYwMUHAGAxScQY7nTgSEV0tZRB+QJuRHHzA4SPOgRzggEIOflwU3DCkkjZPCc3jkGD3kxonx5IBMECZGlJRvmFjpL/TER0I4B/Q57YNUkBmixaChf2QiIBWIlegTByEtxIqzQrTO8zgOEDV9BdaQGt8xyJHfR50QKmMFHPicAU4bfMSaFmIFE58q9qk1dIgyqBvZMRroE7rNbyIQiA19p16IFicIYvXkRR9CIETRjBu/SNGntunPSKf6zxAr0TN6QIYEu4AeMAYxXt6WgB+GEuzoYyIe7AdtoI+QGV1Ex7ABGGX61EfdPmL1xIotwPkkCoSQsQlEp5CRXzjDGMA5pt/DOPI3bfbEih3B2KZGrKSCiZqIQnFyIHF/ohHtw8hji7A3aSVW7BK2BSeOC933c7nUgxPr7Qj6T/lhO4I+MJ6xVYxTxpK3kWAIRmBOOegAus34884pukW54BG5uDJMrMgImUUSK2SN84EdRa+wVZSJ/pCW5n4+Q9doK6lYnDxv6/zKY8YN9dF36AV2Ak6hXdTB+GXModMQIrrClRKxMpZwXiF/8AQT5PLZIngMnT2eK9WIlUIhSQiCgYU3S4MhGhQZDwAFIoLy0SODGKLFC0Ch6VTCcIDDEGMoIxcvofx4lnQmQGBwMFqkNSBdDAIDiBQNHgUKC7BEPRgkjBnP07EQl8+fMxgYFJ5YqYdOxBiSGsWwo+B876PpMJAAzeCDfBnElE29zIPQiX7xko9OMVDIBBGR0qDdGFbmOPH2UBiMPUaNSJMBgIKBIUYm8iQrFAmloXyiHK9seO+QAQpEJIoyIguKC4lQDv2Gp48hQemIEhg0kABRKClB752CddhwgiV9TjkMaAYU99NuiNjPw6GE1Avp4q1iLD2p4RFC7Bg42kZbSaETpTIIIVbaBdkgJ4TsSZNVr2BIaog2EwGQuQBb5KccUs0sYEAvkI9yMAAQrY/aiSzRORxCSBjjCrHiXEBMtBvDguMI2ftUMFE9UQNOCw5NZMSKB45O0MeUS1RK2ciG8eZz0oz0uXdaaCO4Evkw6P0cEzqGl+1TwRg3oh6ilMjUGySDrET0jDfKRnfRSRxR7qdtEBd4eSeWutFfnAn6Ctm5wJNxQD/jLDJtAFak3BjjlEvbSItFzjPTFvSZ7AZGyM+x0nZI0aeC0XccMvqF8YsOYS8wlB5vZIX4+UEOnETaRvRFdIcB9el75KUMnHSImjZ5wuMz7sPBBBfGACTBuCRaIpJlDDOuwAQcsEs4ivQVdoP/fd3UA+lgR3wqmAiLrAuYYecgDeoFK8YC/YrzgH4iH9MiYIkhR79Jl6Ir2DgwRM98xIoDwrOUTzvRQ8YQ/cg4ZGxh77BJPE+/oMNcfvsR9i5y+5yP3rHNtAV7gz3wB/7Qj3yGfYBkGD9+tT+yoqP0XeTiSnCkv5ERfQ2nghm79B9jl8ADhxBdYOwznugbxjl6gk1Gb7ExOPT0lV8ngcOOncChB1t0n4WfjDXqpkwCMAIcFhwyligTvPyCOGwDOkX7fTTveQb7T9ngDY9gV9FpSD6lbUapkW2aiBVFQzGZh8Jb8l4RIPv9oqT2MBYYIgYJnY6xB0AIhI5GISECngMAPBgGIBEWCgzpYegBmE7GaPIsSoFXghFAUfkew4NyIQ/yoeR0IsrPs0RrdBAdjTfq065EkaSkUSoGHh2E4nAx6JI73YQBg7Lj+ft9XRATHUXe32+LQFH8liFIAePk508xKn5vHyv9IBdkpJORAaICw8hUMAqNQnrF8qfbeCMIyWEo8OJQSr+SFzJD8ZANZ8Pvu6VuyBClAjPwBB/v9XqF8avjaCP9zfd43jgBDFyfymbA4KWT9iXSQUHD+/uQx688JBqib3C0MAjUTXtJHdKXDBL6BEPEgOUi0sXZwgBAgOgC7cII0vcMfr/imAGH3BgA6uKivyFXDBR6A34MHgwZBAd2GBMGOGXRLrDDaWTAYeiZb4k8RxVDSToKkkNu+gmMKIN24URAbvxgeKmb/qd8nAz0jHFCNE3fIguyIT8kBCboPwYm8qI8yqW/0U2cCsrDgaNudJRsAdkI8GLsMS7BCYODvvuVwX6LBkSCkQdjdNOPcfqLTBTOQqSxZqxCBMiM80GbKRenGceVZ/0WL4wVjgu65lewEoXSFsqFMJCP9jI2sTVeDvoKuXmWzAb3M/5xkNBv7AKX37aFDmHk/QI+8MSgYmhx/PwYQ3cZ07TZb0uiD0n/Y8sgM+phrGFH/GIY5GOcoxNEu95Zo1040PQ1sqD36B1YUic6iSNBP+EsIJNfoewXIHknz88/Q5a0EzyY4mJ8QTjYFcrHxkI2PI9jxrhK7iQ79BW5CYTQW2RHt7EBZAlwRHCg0EnS44x7ZPS6Bc5gEjkO6F8caBwUZPOOIGRINEqqn1Qr9WP/iZCRA2wZe4xF9If2EjESNNFWxiN48pkfN/QfhIctpt3gih3AbjJWaAtYkNlADxkTOF3oNp+R5YDAfZDFuMOeoR/YRMpG1yBTdBWdP9bZBsci1zQRKwVgODBSGEUUkgYDDoIgMJ3BPZAlhhFgARLh/aECKAOdycCACOhgBgxRFo1iQKJodCYdgiKhpJA3xov6ICwGMB0KKBhXyvKA4M3xvD+wAWMVPl/YpylQfL85m7bQSXg3KR2U4Dfbcx91oHR4lXhldCxlIBPl4jT4Te0oDbjQlvCBBP6gA6+4DDrIOnKFLvKiiFwMHO8gYAgwqpCOj3KRjXLpJ2QBKwYL30di5jfxgzODJbnV3igp7fHREDjST5SLQqN01ENEQAQJyeM1hpXRnwntD3WgD3EoqJMB4/f4hQ9wAAtwoT3Uyb3US1+jV+BIv/I9JOv7F9yRhzq88QQ/+g5c0BPq9AOLdoANsnEP/3sHwx8UQd3gntx+UnQMfaVs5AMTZKcOv1IdmbiHfkVOvqdM/kev0WFkpA50D12hb8EInUnpBQRePvDgYgxhEHwK1y82wzgxNvyReLTDr/jGIIKXP1wCOcDCvwABnHHI0PfkdBP8kZ/y0DPaRD/S5/zv57IgT+T045d6MKjUg01AJuqhvX4lKDrn5UB+cON5n4qEAKib9vopDsrkM7Cnfr8PkjroBzD2893eKNIGslZgjj0Ab+6jr3ieeviO/71TSz2Uh9zYNvqRdvMbe+bHhceSMuhbnqePaA/jD1mp309J+cMq0Bc+4z76Byxw9Lj4nHL8YiU/Pr0dofyUzm+nfMqm33kenQBvZMf2UZ9Pu1Iu93rd8nP3ydkn8PDnvvvxQ/twDr1TRDmMF3DDnqEb6B1yoOu0y09jME65x48b+ph+Y3xxvz8Eh/uoD9n9OPE6TFYG7CBv+o4+pj9wMMP2ifv94TSMFWwDdYHj8ZIqbU0zsR6LnWkgHU9qFI/cb21JLVyO5u/xZInU8FjxbP6rB5D7jd9EqcxXRO5zi+Y+NtkNAUPAEDgeBNKFWMPpQ7y4v8L0x9OIf+MZ5mdYBOC32/xXiZWUDfMXpGz5sVdP/RvaaHUaAoZARkIgXYk1IzXs75aF9BJzc6Q+SZX9F5yJ5DAl5cIPCyj8gRN/N/ZWviFgCBgCGRkBI9bj7B3mK5gfYc4zWt6/eJxNPeZjYAAW/3Uc/g5srUxDwBCITgSMWKOz30xqQ8AQMAQMgQyKgBFrBu0YE8sQMAQMAUMgOhEwYo3OfjOpDQFDwBAwBDIoAkasGbRjTCxDwBAwBAyB6ETgLxMrG+PZcsFGXDbVHu+LYaMTPpPaEDAEDAFDwBA4GoG/TKycCsJpSxwdxXFunK7BHk+2oHBYQHIn+lgnGAKGgCFgCBgCmRWBv0ysHDvF2wQ40JzzFTluirMhOa+Vw9/TcysKdXEeL0cIcmyXRceZVS2tXYaAIWAIRC8Cf5lYIVIO3OZwa//GDt7qQGqYw6zTM2Ll4GXO5+UoQc4VNWKNXsUzyQ0BQ8AQyKwIpJlYeesA5+P6w8p58TmHjXPAdphYOSQZAoT4wnOu3MebHjjwmAO1IV3/Giqe4TsOQeewav7m/GHu4V7ImUiVtzzwlgJInPJ5kwKHd/M9ByjzHPXwGW/F4WBmI9/MqrrWLkPAEDAEMiYCaSJW3u7AOyJ5+wxH9/FGAI7y4/2gEFqYWFnMxEvKeVUZ724lFcybaXg9Fm9BgAR5+wVvM+BVarydgJN7eGcf3/k3ZJD2hWh5QTdvy+G1YrxyiPlbDr2HPLt27ereVsAbEyif+V7kox7meHlPJwScnlFzxuxGk8oQMAQMAUMgoyCQKrFCeryIl/fzsUCJKJVXVrFIiXefRhIrpMmcK++wZI4VkuO9fESnvCuQ109B1LwEmvt4xx4XL7/l7Tg8A+kS2ULmvGuRCJVneK8m78jkHa5Ew0S0vH6IQ+CRg/dG8mohXg/EO1d5fyLvCIx8x2lGAd/kMAQMAUPAEMh8CKRKrKRWISde0MtLfDkTltQt7xgk1UpqOHKOldeHQbo8R3qWlw7zIlpe/E30yHsLmSflpcy8jJyotn379u7Va/fff78jTQidl+9C1LzRnnfyQe688Jy33fNSc8oiimbh1Nlnn530+jbk4x7K4c32OAN2GQKGgCFgCBgC/wQCqRIr71lt27atI7zmzZv/Ia2a3OKlMLHylnterUZqmHd2cpHu5UW2ECukC0G2a9fOzYtC3v5F1JAvL0N/8skn3ctqP/roI0fERLKVKlVyz82aNculhCFW0sOU7dPJpIm7dOmSVO8/AajVYQgYAoaAIfDfRiBVYl26dKmuvvpql85l1W/kfGVqxEr6dsCAAbr33nvdvKcnPn7zQnSiSt70DrFChKR5j0WslAOx+jfOQ6zMw0KurET2r29DziJFiri9tOm55ee/rS7WekPAEDAEDIHUEEiVWCFO0rpEl/fcc4+yZs3qymShEPOZ/D5WKvi7775z86d33HGHSw3755mnhfyY/yTtC7EyZ8phE55YeZH4okWLkiJWUsF33XWXnn/+eZdWhkRJBRMht2jRwi2mYg6Xi0VUzAPzvy1eSk0N7HtDwBAwBAyB9EIgVWKFnB5//HFNnjzZzZMSdbJQCDLs3LmzW8jE/Gj37t3dARHMibLIiXtZiMT/d999t5YtW+ZSyaRreYcnLwpn1TBkypwoUfFZZ52lvn37JhErUTJztM8884yLPiFpIlNInufOO+88N3+KfHPmzFGjRo2SImDKr1mzpmrXru228NhlCBgChoAhYAj8EwikSqwIsWrVKr3yyitu2wwXpx6x5YW5V4iTBUUQad26dV2kyP+QHPOqRJU899Zbb2nlypWOkHmeFC0rh/kNsRKJnnLKKW6LjCdCVgCzUph5V6LjnTt3ujTwvHnzHIESCTPXunr1akf81MPCKKLUYsWKuSiWrTqWCv4nVMnqMAQMAUPAEACBNBGrT/0y38r2GUiuXLlybg8qEe0PP/zgiI7/mS/lfyJMfvwBDaSUf/75ZxfhQqzcD/n5fbEcAJEnT56kAyE8oXM/86msGOZifyty8D/pYH+0IdtzIGEOsiC9zPwte1h96tm62xAwBAwBQ8AQ+CcQSDOx/hPCWB2GgCFgCBgChkC0I2DEGu09aPIbAoaAIWAIZCgEjFgzVHeYMIaAIWAIGALRjoARa7T3oMlvCBgChoAhkKEQMGLNUN1hwhgChoAhYAhEOwJGrNHegya/IWAIGAKGQIZCwIg1Q3WHCWMIGAKGgCEQ7QgYsUZ7D5r8hoAhYAgYAhkKASPWDNUdJowhYAgYAoZAtCOQJmLlbGDO+uWUJS5/QhLvY/UnK+3du9edrMQRhXzP5xw1yIlLHFUYvjchIcHdy6lInMDEIfk8Tx2c7MQRh75czgIuX778UScocWzhmjVrxLtieYH6ySefnFQnRyZyMD8nMVGOvziNieMPOeCfsqmHIxY52Yk6kIN3zUZetIEXpyODP+UpuU6nvHXr1rl7OUKRk5941V3kcYqcDIXsHAVJvaVLl/7DWcZgwT3gzqv2wBT5PSacPvXLL7/owIEDSaIge4UKFdz9/r5oV06T3xAwBAyBaEQgTcQ6Y8YMdxA+hMkRhBAhxwXytpqqVau6/zlOkEPzefcqB+Rj3J966ilNnz5dV1xxhTuY358BzLGHvLkGouKNNJACpMpLySFvfx8EfM4557gzgbmXC8J577333HtaITOeLVu2rHulHUcc8hly8L5XT6I8x/GJvBAdudevX69Jkya5oxd5IQD11a9fX5dccslR5AnBPfHEE5o/f75uvvlmNWjQ4A/kC3nzcoBPPvnEOQs8Q9shzVq1arlneEk7n/H9O++8445k5D7kO//8893LCTgmkntwRDj3mDIhfZyP6tWr69JLL3UvQADrN998U7yOD6z8kZC077rrrnPOg391XjQqpMlsCBgChkC0I5AmYn3hhRccsXbr1s1FRByG/+GHHzrCgMR4Y823337r3lDDIfmQFBdkNHPmTEdqjz32mHsZOUYfQoAEKGvw4MEuGvviiy/cZxzm79+1CrES+fGGGgiUCPXpp592JMxLAKgXYuNl7NTRsWNH9xIADvInEqxTp07SGcM4BfXq1XMR7rBhw9zbcPieNmzZssWRKy8FIMr0ER/kxvtfIWIIknfFhr9HPsoZM2aMi0x5HywEyedEr5TLG354aw9EiuxEmvyPPBA7P+DUsGFDVy9lff755845gZxxJCB2ZOOlAkT+OCy89efcc89Nqg8sIWDks9fkRfuwNPkNAUMgmhFIE7Hy/tOJEydq/PjxKlSokHuDzOuvv677778/iUghoWuuuUbDhw93BAa53HrrrQ4bUq5EtrzBBgKAWHmHKlEohOuJ9cYbb3TP87q3cNQF4UCgr776qvue19XxijpPYkSCEBavkSPVSoTbsmVLR2qU7S/K2b59u4uSiXJ59yvtIcrlvbIQNQTu68NJ4I05kPTs2bPd6w+r4KYAACAASURBVO94GbtP70Ke//vf/9wbe3AKIDqImwtSJaomjUtdX375pcOLNwJBkBArUTXvqeUNPLysnQj1zjvvdE4D76flJQbIRSRPZM29pNWfffZZVyftw6EIty+aldFkNwQMAUMgMyDwp4mViIgLouA9rLwLlVQmEVQksRKJMf9J1Ak5Q0K8SxXSTY5YIUzIx0e2PqVKNMmcJBEzpPbII48cFTkij0/pkkqFWKnn8ssvT0rdEunxOjlItGfPno7EiEBJNfs354Q7FGLs16+fI2uIjpe8Q+aQGaTI9fbbb7soFAeCd8v6F7T7cnAgaCvp3JEjR2rKlCkOA6JRHAfIEdIkKoW0ibwhTQgf58SnxCF40sM4JkSlQ4cOdQ4CqWucAeSxF7pnhuFobTAEDIHMgMCfItYJEyYkRXhEjkSwo0ePdkQRGbECTqdOnVzU1bt3b/Xv39+lKB999FH3ejnStuGIlXesEvWRBvavm4OQIFPmDdeuXetSzUR7RHc+MozsBIiV+Vyial5tBxFTL/O8zGdSJvOczz33nEsDk7YmJUwaN/yKOeZMhwwZ4kiO1C3ECpnxm4VOECZOAO2G6Fk4xGKiuXPnupQ1ETYyVqtWzZEfDgjESUSKXD7dDEkyh01ZX3/9td544w33PlsI30ftvMsWeYlYSUmTyn7//fddqhgMiVpJl+MA+LnozKCc1gZDwBAwBKIRgTQRK3OsRGZEpERGrFaFQCAkoj+M+TfffHNUxAoYEBzR1JNPPulSqURrkCLkSDqW78KpYIgY4iD1ChlCiqR0SadCSiyW4jki28jo0IMPsULQyAThQ5aUBalCkESnzBEz9/vxxx+7BUXcS/RH5M3fLK56+OGHXToXMmPREIuFIDccBKJYiBGHgdXHECtkC/GCFYuTqIO0dN++fV30ySIo0tWUR2rYEyuRPMTJYi7mqSF9cCLl7OdKiXR5ngi7cePGDmscEYgcWUm1Ux8ZBOZqU3I6olFBTWZDwBAwBKINgTQRK2lMFilBEBAa5EpkSfoTQoEkkiNWCI57WWwDAbAQiK0wENEDDzzgvoucY4VAiLyI1iiXOU/+hgBZ2AS5k2IOz52GQWcrCqlgVglDxH5lMIQKUXtCQx6IjhQ2xEX5AwcOdG1kXrNr166O0CFciIr5VGSlzC5dujingOiThVR8ThRKlLxo0SJHtqtWrdJLL73kyBdZwADngJQvW3e8HESfH330kcOGRUrMZUOs4YiVlDOkDknjIBAt+61PpJOXLFmiQYMGuagZ8qVP7DIEDAFDwBD4dxBIE7Eyx8dqVYw3ZMgCJLathKPG1IgVgiTVefvtt7u0LCtfSQlHEitEwzaVyP2fkBURMNEj0R3Phi+/9YQ0LBEtUTEknBIB+2chKeaLSTkzfwppzpo1y0WmzCeTZoXYIc2vvvrKpaUhf8iRxVREnNxLpBjeB8uiJz4n5Y0DQiQ7bdo056CcfvrprkzInf8h7QEDBjh8IFBP8H7ud9SoUS6S5XNSy5HbaZANQmUeGrJngZNdhoAhYAgYAv8OAmkiVsiDvZOvvfaaW4mb3JUWYiV1yeIc5gdJJ5NSZc41uVXBkcRKZEY6mnleCIuFRJ40WfwDkZGaZnESxAp5swI3klhJ11I3C6o8cRG1QqgQMatxSQOzYpe0K46Ev0i5Et1CgpAl23D4GweDFDWk5xcckdaFCH30TOqZcomE2ZNKuUTvLEgiZY3MlEfbKBsngjlgomeiWS72CDOvypYivvPys4cYQiViZa8ubbPLEDAEDAFD4N9BIE3EShTJ9hoitPA+zrDIRFt+HyvpSi5IijlL9sD6aA5yYp6VqJBUMWlhT6zMEZLuJeIiVUo0CZEw7woRka4lhQwxslgHWVgkRJn8TXTI6mD2sZIOJfL15EP9rBRm3hNyJpXLSmGiRrbFEOkSTXMf0R9tgZjDxLphwwYX2RKtMlcKubGfd+zYse4+DqjA8UAmUsRgQvoW+SF0FigRebOyl6ifPazMCUPqbDEi8mQ+2u9RpU04DaR6If0mTZq4+3FMkJs24HBQDilw2g/2qUXp/46qWa2GgCFgCPw3EEgTsbJwh1WyzA+mFLESNUF6RFUsvOEidQyBQBye4CAdTj1i/pHIzZ/IxPwjkRlk6kmYv5m7ZE6V1C//M4fJaU5ElJCoP/IP8oLYOIgBAuMoQuZG/VwmJAop8ps5SyJcttyQVmUvK6RLBE3kTXTOdiD2l4YjZ8iM+WbKRiYiQ2QglcwBF5Ag0SRlIhfPQ4b+xCTKnjp1qpvb5YKYkbtu3bpJW3ggZPAGD+rDMcFBINWMkwExUwYRMfIjH9ggOz/hoyP/GypsrTQEDAFDIGMhkCZiJRpihSzzi+EtKeGmML8HKfgzdfmO/yFUFgGFTwOCEIjCmL+EnPiOFC5kRzkQqL8gFg6XCM9fEv1BbpAMBMYqWwiFcojgWJVLCjV8VjApWojXnxzF9h3uoT3MF0N+kBRtpVz23ya38ph0LVjQzjBxc0YwZSIb5RBtUq4/cIL20C6iXgiYOWHqJLKO3EeLXCx+wkmA9GlfWBbqgJyRk3ZRDlim1DcZS+VMGkPAEDAEMjcCaSLWzA2Btc4QMAQMAUPAEEg/BIxY0w9LK8kQMAQMAUPAEJARqymBIWAIGAKGgCGQjgikTqyH35USdqRjlf9QUXG1pdiykuL+oQr/bDVHpMMzpIQtzL7+2Ycz+P1xUtx5UmxpSTGBrPFzpSOr+CODy34c4sWcKMWeldje43jeHjEEDIFMhUDqxLq3mRS/OvoaneNBKevFkv748vKM0ZhD0r72UvwCVjVlDJHSS4qYOCnHY1KWZomOTYK0f4B0eIqUcDi9ask45eBAZO8tZWmecWQySQwBQ+BfQyB1Yt19qnRkeXRFVfBUrtFS1jaScv5r4B674oPSnguk+C8kHcmgMh6vWFmlnOOkrK0kZQl0Z18n6dArkg4eb6EZ8zl0La6ClGOQlKV1xpTRpDIEDIF/FIE0EGsV6ciSKCTWF6WsV2dsYt3bRDo8J/OlR2NySDnGSlmvCBFrZ+nQBF7w948q+N9emSPWihIZkixX/u3VWQWGgCGQ8REwYv3X+uigZMT6r6GfbhUbsaYblFaQIZBZEPhzxMo6FNYCxSYGsKxDCWcxyfrxXfjC8DCt5qcRKYP7+M2zlJHcFCP18MOzyWVK/fe+Lsrw8rhUcJRErEfmSHHxSWt8HBaRuIIpP2GsfD94DMOYJ2ZfHW6UF8Y8fF8Yf8qnzMS1Ru62Y/UP33t94PdRfZyGiNW3yesSdXl5I0eXl99jE6kvkbLz/bHKC98f2UYvl38+LItvL5/5vjBizSy20NphCKQbAmkn1rgE7d0jLV8lbdwinZBLOvVkiZfMYG/iD0uLlkmbf5WOhIgwd07pnCpS7tyBId6+Q/pxhbRzl1S4gFShrJQr59H2nPtWr5N+Xi1VrSgVLPBHvl62UlqzQTqcuBYm/4lSxXJSvrxSDMYuZ3QQ6+bNc/Tjinjt2SvFxAS4nlxKKlxQyoKRj5F+/U1au1EqXTxoH9dPq6XNW6VypYN74+iEGCk+Xlq+UsqaVSpRTMqRPcD6x5+lbTukIyFSKlpQOqVs0Ddbt0nLVki7dgdczPNFCkhlSki8h8DxbZjQYqQDB6SlK4L+rlBGykMfO8I9BrHGBKngLb8Gfbx9p5QzR9C2IoWlbN4p8CoeE8iE3mXPJpUtJaFTYVk2/SqtWC3tTJQ9V2J5xYpK2bMe7dQhKzq6eq20Z1+gg2VpY0g/12+W8ueVihSUYr2jEROUj05mzRL0Ue5ciQRuqeB0M0hWkCGQGRBIG7FqiVasTtDkd6VlP0n79wdGrkRxqXkz6ZwzpX17pAH3Sqt/kfLlCwwxi10LFZR63yIVLymtXi298Zb008/SocOBEa1dS2p5WaLxTjTch+KlZ4dJUz+Urm8vXdlSyo7BTYySIPEnhkiz50p5IZqYgEwrniJdcblUsbyUJXcUEOv+JvrgvTkaMz7ekWr27AG5Fi0iXXyhdO5ZUs7c0pzZ0pvvSO2uks48SzpyWBr2gjTjU6nJBVKb1gG5gsO+fQF2kOWVrQKy+n6R9Mwwadt2KWeugCzoG8q/soVUvIQ06zPphTHS/gMBYfA9JF/uZOmC86XKlQKSTiK0OGnpUunZ56Xdu6VunaVqZ0tZXNSbArHGT9CuXfs17yvpi/nSuvUBOWfJEjhotWtKdWpKBcIvUIqVPv9CGjU2IL8brpOqVj7a0frwI2nCG9LevVKuXAHRFy4kNbpAOq+mlO/EQHX27pPmfy3N/ExavyFwQnAazjxduqCeVLqM9N1CacpUqdo5UuOGUrZEYk6Ikb6YJ704PnAEOl4rnXV6osMRa3OsmcEYWhsMgfRCIHVi3VtFmzYt0WNPJmj5CqlBPaloMSn+kLRkaWAEu90o7d8ntbxWKldGatg4iKAwzhjp88+Tcp0gPTNE+nSOdHFTKW8BaeuGwE5fc1Vi5OvSatLKFdJtAwMiKFVCeuR+iejDRaIx0qFDUteeQSTX4nIpWw5p83pp8ntS/fOk23pIeQtHB7GOGDFHr78Vr+ZNpOKlpJ07pBkfS3lPDNpxamVpyrvS0Oelfr2l+vWlQwekO/8nfTqbg/ylfr2kevUCg797l9RngJT7BKlnD6lMaWnWp9I9D0jVz5XOODOIRhOOBBHtmVWkvPmk1ydKz70gnV9XqnRa4Phs2iB9/a1U4KSASCAgTzQkJV6dKL05WVq7TurUTrrqSumkfKhmMsS6v7P27pqgKe/v13sfBpF3pVODumnPipWBvlxxqXR6FSkucfvxvv3SqJckyJOovnMH6bJLAtL3JD96nPTaJKlGNalyZWnXDmnO3KCMGztKNasHJAqhvjFJissinV41qPu3X6XNm6W6NaW69QPCHzlaatIw0EscSC7qHveKNOV96eAh6dqrpVYtEqPWGCPW9DJIVo4hkBkQSJVYE/ZW0csvL9HTwxKcYb+4uZSLtNmRIDr9ablUp3YQLbS5Xmp9udSxi4Sj767EOaw9u6VrOweG/sF7pdx5pIO7JdJ4hQokRkPcHyu9+rr07nvSRU2l0S9Ld/UNjJ4rM5FYb+4dRMMD7pDynBgQe6++0spV0uihUvFyLyomWwZfFbyviZ4fMUdzvojXgNukSpWl+ATp9dekYaOk22+VmjaXpn8YRKh39AxwOLhPuvehINpbuVqqVFG6+SapTBlp7y6p711BxNqju1S6VECsjzwh3XKT1PhCKRtk4ee+6Z9Y6bU3pFfflHrfLNWpK8XFBqnPT2dKL7wo1aoudWovFS8a9MHWrdLgZ6WT8ksbNkgxsdL110mVT+Xr5In1yy8m6Jnh+52T1PbqIAp2xHVE2rBR+mlF4EiVKplIrDFBduP5UUHkTVuJRNu3Cxw4P/cOsX7ymdT5Ook3FsYfCdrz2kSpTSup5RXSxg3SU0MDPeV5IlIicP7/cZmUgzRz+YBYR4+RGpMJuDJRvljpx+XS2JeDiJi258kjXddeKs8ZJDJizQzG0NpgCKQXAqkS694tVdTxpiXKkiVBI4YkzkX5OdRY6dBBKUtWadtvUptOUt3aUqurEs87SgjmsPLnC0jg1tul9Rul/n2lc88M0pLu8gtBYqU9e4KIq0wpqUM76bb+gQHu0zMxSlEQsUKsGNn+/QJi3bFN6t03iNieeVwqUuZFxWT07Tb7mmjEC3P02dx4DegdRIqx2QIivHeQ1PV66aLLpY+m/ZFY775PKlpUyptHen9GkCZufpEUEy/1vfOPxPrg41LLS6Xz6gRRJ8TJHCKRX0yW34m1Z1epXp3fiQ3ieWhwQHB9ekjnnC3FZpFmz5bGvhKk8ZkamPi2dFVLqWljCCuHlP3o7TYHdnTWkKET9OVX+3XjDVL9ulJWvwArND/MIig3tRwbzAe/M1X6eKbU4rLAaZr7hdTuaqm+lzFBgliJ3m/oGBArujbhFem9D4Ko8+KLpI8+lkaOkS5sHJC6m1NFj2OCeojgY7NKn86SRr8UItbsQWoZR2/m7KB9GzdJn8+VWreUGp0vxdoca3rZIyvHEMgUCKRKrOt/qqLmLZaodYsEDRgQLGA96ko0ihDrle0D0jvVRS3BXB6Gt+EFQfpt2rQgyjkxTxDl1q4tnV0lmFt0EVQWacF30h13S3f0kuo3kJ5+WvpkljRksFSmbGB0PbFu/VVq2kzKll3atE5a8L10SbMgRZcrfxSkghOJddacePW9VTr1NGn3XumFUdJnc+Si2Fp1pfffO5pYD+2Xbh8YLOrCuDP/CAH2vCVYbNTvniCy8hHr7FnSnfcGnzEvDqkS0V7TWjqD9G72FIg1MTX/0vhgbrxHl6AvuYaNkFatkW7oJLFY6IGHpfLlpI4dpOJF/kisv67vrLvvmaC4uP3qfrN0agVpyxbpqwXSpi1BGpj2nHu6VKxwQPY7tktPPxfoxrXtpV+3BPPHtatLba4KFhjx3Zjx0uuTpDPOkCqeGqSCFy8Opg+IOk8pH5DqhzOCqPbCJlKsX42cmAVxjYqTPpkZQaw5pO3bpOEjJdLS7dsH6eMRI6UzqkodrpHy5a8oZbd9rJnCIlojDIF0QCBVYl3xfRVdePkSdeucoFtvTYZYE9O3EGvrDsHcWY0aAQFCrEQWZ58VGHMM06w5wRzi8p+lHDmCdC9zZswpwsZDhkmfz5MGPyoVKyV9M1fq1U/q3V265GIpW9zvxPrNAum0StKuXUFERcTUpXMQicVEw6rgfU00cuQcjXstXtXPkYoUkXbslBYvCVKv7dtKRUtI7777R2LtdYd04olyffLTj8HiJOauL7lQeuDxYKW1J9bPZgZzrCeXDRZ4scCI+djGDQIyzJLtGMSaGM2OeVm6+UapWTNp80bp4cFB2rd128BReuYZaemPwSKmc87KodicR0esG1Z11sC7JqhQgf3q1lU6uYz000/SxEnSsp+lTZuCtCvkXa9uINO330kvjA6yIJddIcUfkB4dHOhR507SaRWDeXci5xFjpDwnBHoE4VN+185SrRqB7g0ZLn32eSAf7U72glgjI9ac0jffSi+9LJ19ptT6KunA/mC9wPbtUueOUlWWrmczYk0He2RFGAKZAoFUiXXtj1V0YYslanNlggb0TzlixYtnjrXFRdL110tZE7cpsMo1vGUB1NiuAymy+vLbBdK9d0oNG0l7dkqdupJakzq0l7LnlPZuk+59WKp3nnTfPUGUQvqZVPDBg1Kba6SDB6TJk4NtEHf0kU4uLcVGC7GOmqMXxsSrbJlgIRiRZNXTpAbnSyWLSXHZpXfekYaN/H2OlYgVZwNC63mrxFajJ54JnIsbOkivTAy+637L73OspHNv6pSYqk1ckEO/0D9Ean6O9ahUcGLEyuKhyVMkvjv/AmnGR9JTQ6Sa1aTqNYOId/Zn0sefBunrKy7PodwnjZWy/H7y0ta1nXXX/01Q1iy/R6w7diRuk9kbPP/551KX66XmFwY6MG6CNPGtIG185plBdDr1/WBlOvPFzRoHae0Xx0nvvCc1aCBVqiTNmyct/ylIfTdtIuXMLj0/Upr2sXRTxyBiJdV81N7q5CLW1kFKfMJr0ptvSzWqS9WqSQnx0gfTpWXLgwj40ksqKusJD0pxdvJSprCK1ghD4C8ikCqx7t5YRW07LlHu3AkaMVQ68YTQgQ1EofuCVC7pMoi15SXSDTf8TqxOPn9IAcYscV4LY/7DwuCZtldKvftI386XOncPFqqwgMVvC2ELBAtuRg6Rqp4uHYmcY80jke7sf0+wHYPtJznzRkkqeOQcTZsR77YVnVwhmPsrnD8gK7cKOmsqxNpdKlVK+vor6fGnpSqVpIWLpbKljybWh58ISK9p02ChjusTvy81RKy9ukl1mb9M3ENLNmDQ48HK2Z7dpQrlpCeHSJPeCbYFuX3MMRIk+f1i6fKLpB635FCZCkcT6/7tnfXskAma//V+R/Dn10tcYUw9WYKonHnRtq0DYiUN/OCjQZSJLriMhqTNW6TVa4JVudd3CrITzImG51hXr5QefyrYxnNTZ+m0U+W2io0eG0T117Q5eo71cLx0JF7Kkj2YR01avHRVEJUOfkr6eJZUokRi+llB+nrdOql1C+mmmyqqSKkHpVgj1r9oj+xxQyBTIJAqsR7ZU0XDhi/RkBEJuuuO37c6sNiDTfnffx9sTWDBSFsi1oulzp0TiTV02hJbZ9h4X7ZkkKYkV7xwodSpm9SxndT5RumJJ4NUHItL2L/ppr9ipe1bgpWht9wodeggxSUEEStzcgNvl/LklfbtDRZHsQ/z4fuk4idHz+Kl2XPjdeftUsXKiWQaPvUnLcRaIlhA9OJYaeoH0so1UtOGUu9ev0esECvRYLMmIWL1KpwMseLUbNspTWeP6OtB+rRNW2nbVumBR4KU/5msrA0d1kDUuWWz1KNbDtVpMFZZcoTOCt7fWXPnTNCzw/e7fqOP2epDSpo9oszhvvam1PGaYBHW/C+DaQHmhM9gKsHvJz0sTZsREP8tXYK9uLSbVcE3tJca1A9WVo8bL01h8dLVwRTCqlUB2YITq5eJtnEwdu0JHAIOkmCO+8uvA2Jlf/DVVwX/jxgVZBPOqRYs3OLCufvk02DRU7cuFVX9vAcVY2cFZwqjaI0wBP4qAqkSq/ZW0ZrVS/TAownOQz+vdrDNhWiHyIGIBYNNerZluyCKOb/+729BJdK8sGlwiAApReYFWSXMlogfFgcn8AzswwIQ6abuUqMGUo8egcH11/7dUpdbA9J8+lGpIPf2DIgVsiftCVGzF3PwEOl//aRGF7+obDkz/nab4c/PEYuXwIA9mJEnQhKxkuYeOuLofay39g2iuF49pFLFgvnplSulex6U3psWrBK+o69UsoTEHOtd90lVqwSHK5AyZ6UrfVW7hlSwsPTGm8E8ZI1zpYoVg/7dslVavDRYoU2Ux/wsGE+eKt14ndSAAxQS08rUP2um9NiTkFIOtes4VgUKH02se3YG+1jZC8r+ZuZ3aQMR44JFwQlLRNXnniONeFFauCiYw6zNq109MAnSxDelsROkKy+XWl0hvfJGQHKkZTnMgmzIggVBBM9c6003SAULStOmB/tYkZkoFl1EL7dtk+rUkurVDwided1mjYKVyOxd/eY76bp2wR5il0J2zCq9NUl6+VVWHVdU22sfVK48FrH+VYNkzxsCmQGB1Il1dxVJS7R0eYLeez/YawjBsc2DxTCNGgZGav9e6f5HpBWrEtNsiehwss2tXaX8BYL5sh+WBFtqmEPjtKAmjYPTcZYvl4aPClZZusVOYXRjpUmTg3Rfn+5BFMOJPxAqqz5Z7QojrVsbrDquV1tq3uJF5cid8Yn1vffm6Psf4nV1S6l06YijHcEgLpgzhIxY7UwqPP6gNGK0dEIe6dKLA0cDIiRSe3+a9NY7Ut1aweEZHCCxdLH0/OjgCER3uhO8wElVFQL8ypYNThVi9S/kxqIy5i4hPU6xqls36GvIhL2hWzmY49Ig3ZyUTo4NiJi0bP78OXRZq7EqWiLi7TbxE7Rz13599U1AYGvWSgcOBnXhJNHvLFRiEdOrbwSpXE72cntnQ2lr5pJfeU2qUD74fv5X0oKFwZzrGahrbLDtChIllX3JRcEJUrSNe+d8Lq3bEDgj1MsJSuhg8eLSoh+kD6cHkfBZZ0hvTwkOl7jowkDvks6tjg0W4LH4qmTJirr0igeVr4ARa2YwitYGQ+CvIpA2YuW1cbEJbkvHLxuCFCHnwpYpHhwJh9EjAvppTXAebfi93URHFcsGJEC6lnTwb9uDqIltFZAr0QhzWRt/DcpksclRF2cM75TWbpLKFg/Oil29PjC8xQolzgeyHZb09C/B88XKvKi47BmcWPc20ZYtc7R7T7yKFkqm3S4XLu3YFZxvy3wiuIMvZwfT/kInJe4HTbyXE4I4QzlfnuA77uEoP87l3bnn6L5J6sPcQR1r1gfn59KfkBvpT+r026EgmHWbgrlvDvVw5/CGLsh6LUcFJuRQ0ZJjlTNPMq+NSzwrGD3ZsDnYXkT5hU8KTniCZFmMhp6QquUzt9/VX4kHhKCH6BD6Qzp39x6pQL7fzyuGh8GMtoODO6mJs5SPSL9tkzZsCU6Xwimhje64RgVl4TjkPSGIqjdtDU6qKpiMHJzAtB484iqqSMkHlT2XEetfNUj2vCGQGRBIO7FibcNvSUnuLSypvd0m8u044Tez+O9SetuNfyOJf4uKN7aR+2qRgXKzR8HiJV4blzAnONUhpXajZSm93YbvIt8I43EKv90lpbfbhN88FHlPSm+I8bin9CYaf1ZwtqMXL2lfxPtYj/V2G7cJOnF4JVeP1xUvo78/EsPkZPX3hssP1+HL9p+lJodrR0Upq223yQwG0dpgCKQHAn+OWNOjxn+ijGh6bZy96Pyf0Ii/rw57bdzfh62VbAhEKQJpINZK0pFlKbw0NYO22hHraClrG94fl0GF5EXnDaXDc1N44WwGFTstYsVkk3JwQESrxJfvJkj7WOE2QdLBtJQQPfc4Yj1FykHE2jp65DZJDQFD4G9DIHViPTBAOrL5bxPgbys4WycproYkv2z1b6vpOAs+LB14VDqyIrqclrS0lqWzWW+U4qol5nQTpIOjpfh5iQdDp6WQKLonplDgRMRVjyKhTVRDwBD4uxBInVgTNksJh/6u+v++cmPyc65hsGIlQ16c/P6rlHAgQ0r314TiSCePf2JJCdulhL2Zz4mgeRxsHMMJFhk1O/LXetOeNgQMgT+HQOrE+ufKs7sNAUPAEDAEDIH/NAJGrP/p7rfGGwKGgCFgCKQ3Akas6Y2olWcIGAKGgCHwn0bAiPU/3f3WeEPAEDAEDIH0RiBNxLp27VotWLBAh3jDeOKVJUsW1alTR/ny5VOMe/fY79euXbs0f/58xcXFqUaNGsrljHSJPgAAIABJREFUzhwMrm3btmnx4sX69df/Z+8uoGw5qjUAN+7u7u7uBHd3CwSCBQiEAAECIQQIISTBkgDBLSHBgru7u7u7Ozzkra/e+++qVPqc02fu3Llz71SvNWtmzumu2rXt33tXddVvhlOe8pTDxS9+8eF0pzvdsdr4z3/+M3zjG98o91/60pc+Rhva+dvf/jZ8/etfH37yk58MJzzhCYcLXehCw9nPfvbSpwutn/vc54Zf/OIXw79tGfT/1znOcY7hEpe4RHkm933nO98Zvv/97w//+te/hrOe9azDBS94weFkJzvZsWhy/9e+9rXhBz/4wXCBC1xgONe5zjXgQ66f//znwze/+c3hj3/843D6059+uPCFLzyc6lSnOlY7vscD95zznOfcREva+fWvf13awaPTnOY0ZWynPe1pN42t5vWvfvWr4ctf/vJw8pOffLjIRS5SfreXdtxjzBe96EUL3yOzP//5z8N3v/vdwkcXes573vMOJznJ/y3EIYdf/vKXw/e+973ht7/9bXkWPWQWXmvjS1/60oAW97t8p526rWMR1j/oHOgc6BzYDjkwCVhf//rXD8997nOHM57xjMUh//e//y2Od4899iiOswZWjvWNb3xjuf9EJzrR8MxnPrMAkHt++MMfDq961asKYP79738vTvhiF7vYcJe73KU49OP+/07rwPQjH/nIoN+//vWvwwEHHFAAL/38/ve/L3184hOfGIA44Dzzmc9c2rnkJS85nOAEJxj+8Ic/DI973OOGn/70p8OJT3zi0rb+rn71q5f7TnGKUxRwfuc73zl86EMfKgAOjIGPe25xi1sUUKvHpi3jQds97nGP4Y53vGMBGvwA8ugFutrV3+Uud7nhVre6VaHd/4AbgL/nPe8Z3vKWtww3velNhzvc4Q6ln1wAzNi095e//KU8BwxvfetbD+c5z3mOAeT6efWrX1146rvddtvtWPLAZ+0dfvjhpZ+HP/zhpT3tAsK3ve1tw2c/+9kSDKAPMN/oRjcadthhhzI2dKD329/+dgFW91zmMpcp4yJ7AOq7gw46qAQxnsczAcf1r3/94QY3uEEJCvrVOdA50DmwUTgwCViBJCAAJhwpIAFAYxnrt771rQKEnKysi+PnyIHfIYccMrz97W8fbn7zmxcglAn7HkDd9773LQAINF/zmtcUZ68tztz/5z73uTeB+pve9Kbh2c9+dulfdgl8tSOTetSjHlUCAFnfrrvuWvqWyXH0gBXIA1/0y+L23HPP8hywcM/HPvax4Ytf/OLw5Cc/ebjsZS9bQNoFoF7+8pcXEJaN3+lOdxoe/OAHF9BA84EHHlgCB6AMwGSk73//+4d73/vewy1vecsCOJ///OeHN7/5zcOPfvSj8t2d73zn4YEPfOBwhjOcofQBSPHa2K985SsPZzrTmQpQv/vd7y5t6LMGqY9//OPDy172shKoyIz33nvvko0nQNHmZz7zmeGII44oFQdye+ITnzhc6UpXKnLEx5e+9KUluMEnoPmOd7yj8PmhD31oaeujH/3opowYz7Sn37vd7W7D7W9/+zJW49p3330Ln/FW29o43/nON5z//OfflP1uFKPq4+wc6BzY2ByYDKxAEmCm/DfGNtnjs571rJKxyWYOPfTQ4rg5bUAnU7zGNa4xPOIRjyil3X/84x/DYx7zmFKKfM5znlMAEdjKwJRaZUuyLYAWYPWMzEyG9dSnPnVTJqufF77whQXgACJABpo77rjjcJWrXOVY5Vb0CxaAkXEBacDxgQ98oICzz6997WuXrNsFcPUhk3vlK185XOEKVyigCOh89/jHP37YaaedSqarjKz8+pCHPKQA3qMf/ejhbGc7WwFIYwLkeKON+93vfpuAFRjjx/Wud73CK6CFp/vss08px2rHs4DzZz/72fD85z+/ADZeAGB8qYEVz91jXEBbwPCwhz2slOe18YxnPKNk39rFM2D4ohe9qGSxggZ80zaZ68dvwYhKBZm6R6VByV2gA/ivda1rzdWRjW1uffSdA50DG4EDk4GVAwYUsjoZloyzBVkOGfhwvMqmSrEyKk4YeCofPvKRjywOOJng6173ugJsL3jBC0rGI/sEJrK1F7/4xcNLXvKS0kaA1XdAB8BoX7nSBZR22WWXQqMSK0DYfffdh2te85pljhYwKMnW84syw7322quA5W1ve9uSMaNHVqZkih5jVDJV6gT8xgB4AViAFY3KwE94whNK9he+7LfffsOnPvWpkv3KrIEtkJM5P+ABDyjzyzL1ZKxveMMbSsaKR1e96lU3BQP4INgAujJZmedRRx1V6BQ4KInrx9gDrLJP7cmw8dscqGwUT5KxGuuRRx453PCGNywlWwGR7Nazd7/73Utw086fqyKQr3He//73L/PaMlYBjeAEaCuz0w88r7PnjWBQfYydA50DnQOTgBWwPe95z9sENBbdXOpSlyqZVRYvAVLAohS48847l7lLWV+AVWnYfCJgkOnI5GSfnP/+++9f5gDNSdZgLdvyfA2sSrIATflVJmcxEqDi3GVeAEuJEkjI4CyssdBGhgwEgCjaZaJA/Oijjy5ZceZBtQs8r3Od65TM07zra1/72gJQsktt+G2c6JBVyvz0b7zmOgNGgoUArj4zNtl0gLXOWAG0srfsV2k692vj4IMPLpm+LFr1QHYOIG9yk5sUkFWerYFVZox/6FR6x2dlaBlrgNViK4ANmGXUslqBk/ncdtEZU1HOxytZLR67D4h+5StfKbIgTwERQFVyV50QnGQhVDe3zoHOgc6BjcCBScAq23nve99bHKtsyQIcQAIcgKUMB4hw+DI94KPMKqMEmLJL9ygTv+td7yrAllWu2v7gBz9YAKUGE8wfA1b9A0PfKTef5SxnKZkmYH/rW99asrrb3e52BdzQYD4T8AJac6MCAQAsG9MWUDnssMMKUAMWdCnpKmkCVuVTQcV1r3vdktkZh3lTgGX8gFU2C1wAaxZqoV9AAPR8rtSaFcSzgBVYAkDAKstOtmcu9OlPf3rhrXZe8YpXFFmYm1aK9RxgNS8qk5TVA2kLuNxjnhMtgBU4K0FrW9ChPC1rxR9ZPr7c9a53LffUq7lTFRBEAEoBgVXP2lFyJlcywHftyKbJp75vIxhUH2PnQOdA58AkYAVAdUlQWVc2qKyp9GteVJaqfOlHpvXpT3+6gKrSo+xPKdS8IJAwT8chA0WrcS2QAQ6cel06HANWIuO4lTXNbcpglVKBq2zKvKqyZuZGI2LAIfOzyEb511yorE72JVuVxf3zn/8c3ve+95XxKNECF4CmDC5Dk6lrR/aoNA20ZGVoN14ZuwU74RX6gb1sTtk3Y5uXscogAWudvSvZAn8laDQKUGSU2iQDvLCA6Ta3uc1w4xvfuNCvNCtbBMR4IzBSLhZ0KJXL9C2gAoiCAW0BYiuAXRaqCYDyWpKFWXglqAK8FmnNykTJB7ADcuV5WXUrj256nQOdA50D2ysHJgHr2OBlT+YoZY+c+mMf+9iSvXHiebXGSlTzbve85z1LOVLGplwITGVcyoictezXPCvgqgFcFgy4LV6qM8GUJbUDWGVWslELgoCYbLJ+vzT0m4cFGLIoK3Kf9rSnFUA0Byr7EhAkaABcMlNtok+mCxgBG0A3Vq+TPOhBDypZH0B80pOeVDLNrEAGtN6RRVNdIg6wmg+t51gBP9A0xypjDhiZd1Vax2P0yVh9h9culQLzwNqzElqJW4YqIErWiQ6AizfGrzqgBA840SCrdb/qwVOe8pRS5hU4GLesX1arH3JUjia7eRd68U4bVjTL/vvVOdA50DmwETiwEFiVR71baQ6Ok+Z8Ofe8w8o5KykCqLybinFWiloIY04vGatMxqIlztzcpcyVEzdXK+MFFNpXbvXboh2g6reSp2eBm1Kn74FLStOcuHaBkgxWhuU7fwM6YCPz05bSrLlWYwAWgDWrbW2UIGjIHCpQ8Rl6tQdY9SVjVQYHgMahBO1/i6AskMIzmbF2ZG3oEEz4ERAAQFmicVsUhUblZFmprN/rLD6X5VsEZU4aiLvyjqu/0STLNA4AdrOb3awECNmoIvdY7UxG6AOOZIlmpW8BhExbW+4RIGhL8JEFTUri2ibLLADLq1cA29+CDeNQVhcQCXYscMLrLFbbCEbVx9g50DmwsTmwEFhlQkqaAE2WYr7ShgBe7wCaKf22bDS/KcMyxygbcpk/BDhKiEAYQABTIGM+Th/KkUqb5u0+/OEPl+zQnKd5Wxmi3+YTlTWzuActVtwCCOVbTlzG5D4gAHCBugxbudmiI2Voi5JkzMrUMkrtAWQrX+9zn/sUEElWmPEJNGS9SqxAAzABSvOswAyQAkHj9Ll2lHUFAYAT2BibV3aUoJVUZZpKyvpX8kW3DFoGb94ScAFaK5zbeU90kY9nlN2twG5X8rpHaZZMBBOXv/zlC/9VBGSoQFXglI0uBCEA3xi9HyyLxi+0Gpv7ZLL+t/qXvFQDjBHvZeR2qJK9A2dBUb86BzoHOgc2CgcWAisnCxA5bpmpjMTKT5kaMJiViQAQoGouFhhyxkqd5vo4dWAH0MwJ1nOr3tf0TqRMUd/uBY4cOpACHLIqoAhM9W++UHkyoEp4ytMyVEAp2wSQnrUASbYJxGRW5hjN8QJegBTA0F79ak4NrIBGsID2bCEIjM3xAldZqWzTXG+9ulbWqHSu3/ASGAFeACSrBaLmJpXRZceyQLwGqnm1qFVOwKZ/mSgQGwNW5WpVBJko2gUxeOxzfakC4Elki260qTrIiLWJ1+ToB6Ci2TyuBWj4KJjI7k0CDDwkm7Gy/EYxsD7OzoHOgY3HgYXAiiWACeABBM4VAIztEVyzD3AAPplOFsAAShmwrE/WmhW99XPAhMNXgqwBAhBw0nkFRtYXeoCBbLoFFNmv+8zrAkD3oaW+DwhmbOiQgcoUZ22EIWOXRaIfD+r7gJO28MsrPu3+vjJYrx0Bn9AApAAmoAqf8Ec7ggrAip554IQP7tVf2mhVGS+y6rnOwj2HRwFWdAtiMk9MhtnKEK25gG7eVfW59t1r7GRBR/qCpY3nUPqIOwc6B4ZhErB2RnUOdA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0AH1ml86nd1DnQOdA50DnQOTOJAB9ZJbOo3dQ50DnQOdA50DkzjQAfWaXzqd3UOdA50DnQOdA5M4kAH1kls6jd1DnQOdA50DnQOTONAB9ZpfOp3dQ50DnQOdA50DkziQAfWSWzqN3UOdA50DnQOdA5M48CqAesf//jH4XjHO95wspOdbFrP1V3/+te/hj//+c/l2ROc4ARLP98f6BzYWhygu3/729+G4x//+MOJT3zi4TjHOc7WIqX3u0oc+O9//zv8/e9/H8j2pCc9afFrU67/+Z//Gf76178WPTjRiU5UHklb//znP4eTn/zkk9ua19+///3v0g+dO8lJTjKFtGPd85///Ke0gb5TnOIUK2qjPzSbA6sCrAT9hje8YTjtaU87XOMa11haeX7xi18Mb3nLW4brXve6wznOcY7inDgrINuBtqvveubAT3/60+GTn/zkcPazn3249KUvXZxdv7ZtDgDVr3zlK8OPf/zj4VrXutZwqlOdauGAANQPf/jD4WMf+9hwyUtecrjoRS9anpFwfOYznykgdu1rX7sA9eZev/3tb4ePfOQjwxnPeMbhSle60oqak8h89KMfLX72Zje72dI+e0WdbqCHJgErBfvsZz87AND6ushFLjJc6EIXGkRqD3zgA4fznve8w8Mf/vClwZASP/ShDx0e97jHDVe+8pWHv/zlL8Mb3/jGopyXutSlVtVZoZXhLBOJbiB9WLOh0iVySPC0rWZ67OKwww4bLn/5yw877rhjyVbW68X5y5zwXkY1NRObMh7tyvBOeMITrqq9Tul7te/5/e9/P7z+9a8vAdOjH/3oEuwvuvAUqB588MHDne985+FWt7pV4fXnPve54dWvfvVwsYtdbLjTne604gyz7v+73/3u8PSnP734x1122WURaaPfS2ae9axnDUD6mc98ZpFbv1aPA5OA9VWvetXwxCc+sQAnATBQP3e84x2H2972tsVQd9111/L97rvvviJgfcQjHjE85jGPKRHYz372s6LQN73pTYfb3OY2m8oqqzHs733veyXau+ENbzic/vSn76W71WDqCtr49a9/PXzqU58azn3ucw/nP//5l9aZFXS5RR7hOJ/3vOcNl7vc5Ya73e1u6xpY2ekXv/jF4ec///lw2ctedjjTmc60KjxRVvzWt741/OAHPygAcraznW1V2t1ajQBWFbhPf/rTwx577DEZWD/+8Y8PhxxySAHQW97yloN23v/+9w+qGne4wx2Kv1mNiw97xjOeUYD1fve734qaBKxoRePTnva0bdb+VjT4NXhoErCKyF/4whcOT3jCE45Rj2dA5zrXuUrGOhVYlR5EcjIV8wMyFRlrDay+53S1LVpMZA3MlVT0l3mMZDqM+x//+Ef53N/68Z0+jnvc4xZWypDe8Y53FEXaf//9S7Zt3iPl5nntt7LI3Iln0ac//epvLBNIpqwdNCoZtllaeON5GcXYPaEjGZ8+BTt+6vbm9eeZyCDjwCN0+S3zwKv6s3r89bxR5nnC42RFxuAz7egvY9YO2r7whS+UTM/UwQ1ucIPh1Kc+dRmzMSwa25hdaJP8Q7MxuMhHm8aLjsjLd+7xU38W+tBtLOieF83PAtaMQfvGlbHNs+nwXb/uD+2e8VnGGB2qp0n05/noHl7kPp8Z+5/+9KfhpS99aQHXnXbaqZSuI5e6fTyM/rVyx0c/uUfbKkxvetObhg9/+MMlEBYch37tZlzkUOtBZIB2eqTdjF27oYks8mw9ZmPCE/f63n31mOfxOnrqGc/XdjsVWLWBz2hAP10AVhIOwIovysN8TJ31tnJelC3WsjF+iYcsU8WwBtb4QHxEj6rcrEpQgPUPf/jDcOCBBxYZkQP5jE2/+S4+LvocvcQD/WReOZ+7P/Y4pke+Q6f79E8Gbd+1r6kxI+3hfXwgbIjP9zvrH7Qx1vaWxNfJwPq6172ulDROecpTHoseglwErO756le/WpTPvIMJc1H+xS9+8eHrX//6MYCVEN/73vcO5zvf+coPxce0L33pS8O3v/3torAc8SUucYlN2Y42P/ShDw3nOc95hl/+8pfDN7/5zcLwK1zhCiWKpjDmFF75ylcWcKX4siWZq9/oA/Ce0755FbRd4AIXGHWs7n/3u989nOEMZyj9GAMa9GVc+ES4mXsBJD/60Y/KvYyMUzMvR7Eoh3Hp/3e/+12hVRsyuTGjY/jakyVwDCLhK17xipuCEP34/ic/+UkxFv0pqQuEKKfyDzmc7nSnKxGrdtCqnHnmM5+50GI8PpPZXPjCF95UwjLufK8dtOIRIydTRqYklqDJvcYkiNGWeXj9HX300cOb3/zmIl9zUle96lWLPDn/r33ta8P3v//9IgfzSJ4TZM2ab//Vr35VpiqUyCyA0xdjpSNoQ6PsgxPBh2Rq7tcPPp/znOcssqI75ICHDPOsZz1r0YOznOUsoyXOMWDFU2PQPjqMWXZBN2vnE0PSrwwe4OEXfaAbl7nMZcpvMuSg6T+Zckh0Ft/QxT7Qja8JjPxN19Dux98yqhe/+MWlratc5SpFx/zGY3wgcw5Xe3io/dOc5jSFTHKVkdIr95AvvcA7fb385S8fvvGNbxS91q4pHXqHj3gha6NPqlpkoE/8xSNTTUAADewBTezKs3jSjplMjBPP9IlePIvNGy/aZy2kNBY8IOff/OY3RSZkQ0bGOwVY2YHMkd65H01kTa/vcpe7FP/CH/B59JYOGy8++Ez//qd37I4cxy73AFJlab/xjW9hO+wlwGpMxq9t/cYO2OXYvC59UbZWvbj//e9fnjMO9iIwitzpDT7Tc+M1brIxHrJEH9rM2V7/+tffVNFka+95z3uKDvBN9YVWzyQop1P6pkv8gL7ZBPunO2RMTgIUukVO/KK+ydAY2LRkjM3f+MY3Lj4uuqM/9kIn8W8trknAqtT1ohe9aHj84x9fBmfQBEeBDXARsLrfoJ/znOcUZlFkzgKTzM1+5zvfOQawUoz73ve+pcwsAmY4gBYg+tsPQXDk97nPfYqAKax5WuDB6LTBYDHyUY96VHECgoOXvOQlRUkohns9T1DKw9pn/ASufWPceeedi7K1i1IAANr1RdH8rz/PP/jBDy6ZGIfOgDgzSu+7ZNOc5t3vfvdiWBzKC17wgk0Goc3rXe96RRFa58B4zT+/9a1vLXwPXfjkGUZwxBFHFIVM9ucZvGbwAAq/n/KUpxQ5cJCUEO1Azli1wfB8dsELXrAYXhZjfP7zny9GzXDInjxdHAmHCOjpCTDFe9+TDTrvcY97FBoBBJ584AMfKAZB6T1/9atfffjEJz4xfPCDHyzPC6b8vuY1r1lox6s2Aidnzuyd73xnca6cDuPC96td7WqlLOd/VQp85ojI3oWHgqNb3OIWww477FDGTQcYZGRFrpz0zW9+8wJybf8tsDJ25T/ZWzJIvPKsfthMsvsYOP7jKVo4AbwyDlMhFrwAH7oL+Oi+dtkU/SB3fEGzbJQDEhz5DQA5fHO/5GqBIDsWiPifTtz61rcudqR/zpVO0X39sz+BJ3rok8DaPVn9DHw5U4BLfwEh/QKu5Mm+3va2txXw0S4+aAsf0O1C01FHHVWCQ+PyjPlJ9xmzfgOceC9QJlP3ffnLXy7jMVZ65De99fc973nP4qRbeemDLeqXXrKBZPf0jFOmw/NKwXxXggm6DAgE4nSdzUgyLAiib+jjM609octvf/vbi6/RJ93VlkWb6G0BkIzReOSRRw7ve9/7Num2MelHH/wX3uLFa17zmgLu5JPsDS/pdssHfJL1SjbYHd0HUPiDFs95hq689rWvLf3jVbJi+sw3krcx0t1DDz20/K8NYGlqT1sy+PqiX/xPfI5+9Y/vZKtsTuZk/7KXvazojfHglyBVeZ4/cj+dRx+bxiv9m3fmD4wNvUBfG/QOzYsqBKsBvJOAldE86UlP2lTiIXDGTFko1SJgxRT3MvRHPvKRxclwJoTG+VHSuhSMgRwg4/PjPt/HYBm9Z8z7EoK5Le0pb2H8ve51r8J4kc6ee+45POABDyjCpcQMXbnGsxwDp0vJLJwCIhyCMWn/qU99avnfYoR2STqHC3BEkYTFyaFbO0CTcWlHUMKBAwaGzqly3iJ8CsBhAxI0aQ8/8JfwgWpbVhah7bPPPiVQ4PhknRwa46VU2qXkvtOW/hgzo6Pk+qPI+CmS5nRFvmiwmIFcAb6sIhm+525yk5sUZ+AeikpJRflko6QLRPGdg2FQ+Hf729++GLX7zQmJXgVMHB9nyyDxhGPJfHcWyQVEze/7zHNWaLb8kB0/+9nPLkABJPCNEzBeII72Gli1A1BqYCVjgRBwwSvOG914R1+APX7e6EY3OlbWHGCVddBDDu7www8v4AYY8UN0LhgSeNz1rnctssrF8PGegxBg3O52tyvfkxGdo0Pa0w866VmCq9CFNk7IghZOK2Vezg0Ycjp0lJ1yVGhEK3uiY/oCNnQJ3QIvwRm+CVY5VDSgE4/pFRDhrGRa6DQ+GTG9wD/tAhL6ajzkKfPUDj1il3QGeJJfeKM93/tccMJufac/dqQq5TN8MmbgwCkbM50FdPqg03xOWyFwL0esgsEm6Q0dFpxlbQcfMg9YjTsVPPZDd4xNNcwKYIE82QNWAaTxP+xhDyuyoct0VDLgf/qNZuVYgW19AQ66zOYAfrJgeooXAtV73/veRX5siR+g3/gKtPgCfZnCq3VOH8Ys2ARAEgFBBR9KFi58FdwIft3H/sk2JW8gShf5c7q59957Fz/LX5OVcdEJz/ITLbCiSbLFB/IBxgpn8OK5z31u8RWqN/7nTwUdgrq99tqryBo+BFjxTjv4Q+/84BvbwWf69PznP7/0R6/XImudBKyI4vgJMe9NMUJzYwaxCFiVEEQiBk+Z24ihnWNtgZWBEX6ic0ICkpwEpebIKbv29cPRoJOA9ceRPuQhDylODuiIljJHwXm+613vKm1wxJxb6vOMh/JwLoytvgKsDPNBD3rQpoUJj33sY0vkBPw4HMpGuOiPQCk1xVA29iz+cIocAycCNGXBY69uiF4ZsKhNyaa+h9PgTDgx7WcRCcPzOVpFuIDO4jDGwkHhC6Vl/ECO4gI6mdKTn/zkwmMRLMNlEByuLE5kLAhgfBQfj2VIeEA/EtECD0GKzIaMPKs/FQxgyWkkWs88N6cMQACn+TuAxFm1c2zm/jl8oK4tskMnfgrgPDcFWIGBZ/QHJD3r4hw5QzolwGqzihpY9UVnOBW8Fri5OKy0i/+1YTN6zhf4cpQAvb5kopwdWaqQRA8zn0fWdAtf87BoAAAgAElEQVSdgjjOWYDGkeI326XjnsUHNgNw0UHfcsn22R07kvnhuYBYgMi+yUo7HCndrC/PCkDIQaBbl/5kL2wFiGhbuxwm8OFwBUA+Awh0zwX4jZleAuAEteEF3fQ8u1GBIivj41foLD6wfcGzMdeXYJvtAx56R5/Qr22f0V1ymwes+Iof7PiAAw4oMtEGO/A5OQKhACsfyf7wLxkU/cZvwSugRKtAp77ozSte8YrS7kEHHVR8E/swBmBCZ8mR/wQ4gET2qQ+gQ874ANzaUrNkAmAbM99OX9DDvxg7HvKhgma6meAZfWjHQ3ZBd+kHf+f+/fbbr8h53333LXJTvWqncOgCv0I3rHWJDPDC4ldtwBaXtvEBbX70Q7+MN8AqKOIH6kVz+ETvPEuPBX2CV/rSAv0xmL5K/0wCVkzdnDlWSksBKM91rnOdYwHGLGDlzETIBM3AlMUoceYuKY3POFxKzrHrRx8iVQyVfQEqGRpDlS1y8llVJwMCVAQmcuI00j7HztHJVNqSbICVkBlSDFg7SnbAG+ihhwGLbHMPujgCDgJoo0tpSpRFWdCrT7/biJsRMDSKJSqvSzzKn5ys8hwQiBMGpAIHmT4HZlwcCP4qJxkbY+WsgC3niCYARfGNkaMgJ5EpIzQfElAHDuZyZMPAVtYue5YVyYAYOscgwxBIyKA4T5Ep/uoTDQxNtpT5aPLlPDMu99VGyuiAoWwLmHA0LsDAaRh/WwpuM1bzQMYG7I0VAHKs4V0WVSiJ4kMbFAZY9S2TYrxKmyLugLPxk5NMj77W1Q+y4YyBTU1b7FvZUCSPZ3Qpr/O43xi1tdtuuxVZcRrkkHIXpwlY8zqcYAd9+KuvOHKOUmZAPhxR5t05IDbFUZKVSoPgq7UFcqC/AmC6k3crOUI6I4gS9PlfP/SHHtERwGqaJ3ph3HHkxmJs0TNVEA5fUE3HjFkGIohRmcBjoOce41BlM+Y2UCFn2akAKmV5PAI+Ak12Og9Y0YH3bFMfWTCZVcFZvNRmrGybb8B//MBX+u1vAE0H60tAzPeyCUCWeU/P6J9/IGuZGD4JahPMARY/ZCi5aN/FrRcvsU12xaeRh0wXYAJKfow+kH90332qAgICvNY2nfcsEOff+Ho2yW7aK6VgesSPudgZW6KX/JBqF5/OHsmZjvIHdAUmwAP8FCjSOzYUvcx6Ge3hLRujF37YiABlS1+TgVX5hBKPLRlflLFSJsAiapN1thHMImBVrmBIlIsxxNAYRVYEYj5QkVXLPCk9QQBWBtoCazJWzzMiCpRydxSobr8VRICVQ5Xh1cAKpERdFFPmiGa/wztGL5NlGH4nA+AsRW0UFGhyNoylvpR8vGNHsfRdr5jmLBgYh8ngskiHglJW2QwHhHbAShbAsAZWQQDnmHlKToijBD6yATwC3EA5Y+bQsgrY2Gpg5awAiwgbX4xJaSfAKssEmDJBmT5DJUvALRDgVDhmma4Aqs7QGSODUtYDOoALLcpy5KtvTgVIAmAOkeHiG6eDjwyVMwVcnBseuqfO5jK2sRWWNbAKZtiIAMnf9DDPzNIlTgj4cbZkZgz1lbUJHCYeZPEggFKOA954SjacBp1iA3Q4wIpP9GwMWNluSudkQEcyR0Yv2RQ7iuNiR231JsCaMi19AX5K1TIuF7rwXKk0wFgDq0AzJXqZkIzV2FRmUiXgJwANvZM5GzN+0xUViynAqg3BKTBgE2nbs2TkB+DNA1b94j3Hzs7JBDDL2PGJr1OWrIFVJsYPGhd+Zp6fTmbaqQVWdgvg8Iz+8gXJWP2vDbKmOzJDIOb/6Fxtl63/ql+3Aaz0hV8wdQA0+Rl+QT/8UviunQAtu8vn7FmwxEbxUMAqeRkruyZjRZ/MNgs4AaTAzWcCUJUfIM9HCCokBGyWj6qBld7he9b/CMT5IHTgkX7IjK3i57oCViUCkXNdWgFeBrMIWGUQcfQyNABDuUQS5jVlHO0ca714iXPlVDh0Tp9hM37RCPDgMDjTKcBK4JRQpESRGZj2CVQZhZPlUBgKuv2N3nZubx6wMiAGhzaRm/ZFbwDexeFQSAYI2JRlGCnloQRAiFEBP06jduiUTxCgVEKJZSwcgWDFWDzLoGXRxscQRdIUVBQoQwUeMljgWAMrZ5WMdQxYKbZSMHoAB9n5m6GI2o2XXGcBK74kM8mcoCCAoeCz70W8gA+t9EuFgTHhVZux4qUSJOetXK0d9AAjnynjCyTILwssBBPuRTOnzGkIegCaZ8yx0jP8FRgBvqyEbMuK+m/nWGWYATi6RKYy+qxkN8568RI9VgoVTJkGEMAYt+xO/55ld3RdBYAO+cyUhsoFZ0qOHBun4fsaWAUq+gBc7IQe0CGZPACkH/iAbrzCMwGODCSVFfSggczcQ6/QQGfZImCRsZr3IwPzdezF/wCKzeIpnVYdAiSmIjg442aT9CLASn8FG5k6kJHqz6Iw9+oDbwVcaBcM8C9TgJWfUDYUmOgzNskX4YVKg3Gjmx6xiXaDCLKgK+iR0VvPYWzkKEjhh7J4KXOsAl7yEqjKaPGE3dJfzwlY62CObqEJD+kTmdJRnwESoGN6RkCJT+zed5IXdih44aP4BQFMGxQGWGWCbK4GVmNjL+xGmdUYjJO+aIe/lsHyTfyIZ/EECAtc6IOx8PXtQr0AMz9CnzxPvuwDxuCRoAUg838Akbz4F3/7jJ34nYxVQIMeWGTc5IZffDwfiQ/4mIBh3QArJotqKLMoJismOUUGU28QgZltRipjoQiM06pI5UHKqy0GL8IIsCq3YUQWL0n7KTzGmQulxMn8KCanQojAgvAx1FxNSsEARrRM4QAPYTIWDsFzGC+zobycFWUhVH1qX+Qp6mlLgGgE9kCgLgVTGIrHUAhQKUOEzElScIomcxONMwqfKam4L7zlMPBBttXOZwEEimd1LofC2fuMU5IhcbCcEhlkvlh//kan+V5gAvyAjPHrF82cnRI0UNNuSsHJWEX3AQHGw+Hoh0HLyjlUfJtVCkYHectYlbkYIqfAuaE9C3WACjmLZPNaESfIobbzzkDAePHM2AQaAhXTD8ZizByN8iL9Y4wCAjoLyMmDrgFbDp8ecOz4hQfuB0joSyBRR/+AVbv4b46VznD2gicZhr6zelvZG59a+9CfEm3GwEEAErol2BMYySSAFbp8lxXbANJnsjxtpDyYjBVtyVjpteqP8hmZo0cf9EHwYo4KDwWU+GX+NlUTzivZJxvRJjrZGqClvxygz+kBneFsATS7I2N6CsDZAodK97PiVEadLA7POVh8zEIfQZ0xGytwp3vAcSxjpQ8AQ1DbZtd4hwZgQZey4p+Msjqdblh4kw0iUtKP3AXdqST4jK7m9Ru6m+kfcqVPeM0vAh0ZK99krMCE3ICcOcc2Y0UHu2Tv7IW/oq/skt7zTQIK9sc3GlP2FuCjjVXly30twLERfinAWpeC8ZTeGLekQOZJlnw3nglO8IDMMp1AZvynBIXdqBgJ0sYuekA2dIrdwQN2w3fBE0mVsQsCBTh8FF2DEwI441Ft0Kd7BBr46h5Yo1TOl+EFPruPPgek1w2winAxOnNFmMWBcjaciQv4MtxZ+05SItGZ0pu/AYa5UIykWBjE0VN0RiTSZpwAhjCVGGUvjIIiMRhKI4vRFgWhWNqkoJ6hWEoEHBy6AAMDAA4yE20oFSuzAUrKqX3GQTk4gwBvq5iElcUiShWp74vAGYGoNJkvI9Q2EOEo0CcjImB0EjhwBfr4yoCASL05Rq2gHAwFywpa96GT4jMopSMOlCKK9CySwmfzLXnBXKCDtxSPoQtMZBNZQIVXHCyHSyYAwWcCIuVq0bpnOEmONsDD4DhTY2c0+GhMeO7+vDec9998jvcyZ4bIkBkow9cGoyMPAINvbeUgpTH8AIyCJHygs8ZLDsAtC6HwJa/Q0Au6xDmkVKkN/XPajFv/ImS0tU6aTDhPOq0vNOIvp4c/eb8PD/QByMZe2WFXwA1tAgJjAuJkRnb0mA7ph1MV1AhO6F2CNc6EozImZbTYjAzPOPBd4EI32REgRLOsR+DgWfTSH23SCYBIhnmdDNDgjfFpCyjrC4/Yp++Mmww4P8DMnugLGoxdu2zA2LQrAAE47KFeVEJG+jNm+i5gwkP95T76Tc76Z/cuAGDM5Er27WpY9/A/AiJts0k0CVIFBPjKR+ibLqogtPO0ySbRjpdoBa78Bf6SmXZksfihffrNdtgmX8B/4FN4y37xvb3IHn/YYYIpQRx+SzCy4IuN4LWMWb90hN36Pll53TYg4wPxQvDJrtAkiMNTFTbt5/1g/klgTK/YO/nV9kiHU1k0Jn53rMKTjFXVTX9shu6xTxk5frMz7cEFGbPgwnj0i9f0iH6l/M5vSqiy/sDndA7ekCWA5WvZjmRl3awKzg4WjKO+8h6kzzAJ+Cx6Ryg7J3k2jMi7UZ7Njit5n6/NUMZ2bgrQo4FjyzPZtUOb7S42ec8ruw1lXLPabxV+VtsEmZ1AajD2eXgEoFqgxmPfu8a+b/vPTijoGNvJqe6v3Q0qOy/hU+aoIwOf+ckCLnJwTz4LHT73Yxx1++jJ5zXPZ/HFmI09O/VoP217Pu88o2dslXSdRXgukbfFHRyijC5zzaEN77SbzRTybnTaQo+2cl+7q1Uti+x4pK12xbI2GHnGMVYWq9uKDkSmbWYbvqCXzOsgY4wO7eg/r2+lHJjxoSd8yE5Rfme3MjqR+eXYGDnGNlvbSbv6yXdZoeq70Jydltznc//jccuf0E9HsjtSfU92Xqp5n8/QO09u2g6/Q2/tN3wXOx6bWw8/8CL6m/dtYy+e911o8Tt2ho8JMtyj71n6ET7oK7uskSu6ah1xX+QzpiO1rtW6kQWS4Ul2tmunLPhGF/1obdG4AKDyqyAHMM/iW714SUk3p+yM+T26Afy1lVJv5IIWtMZO6/7in/EMvcZIj8b07FjRzCp8MGnx0ir005voHFgzDojYla9E3OaCZTT96hzoHNhyHACOyucqm966SFl/rEfVxSzu9BbF9nh1YN0epbrBx8RwzSMqV5oqWK3Nzzc4W/vwOwdmckBp2Xyy8rzFofPOeFW2Ng+ugmHNxfZ4dWDdHqW6wcekHGbeWtnH/MrY/rwbnEV9+J0Dq8oBZVaL79ia+eZZZeCUb61lUE62lmB7vDqwbo9S7WPqHOgc6BzoHNhqHOjAutVY3zvuHOgc6BzoHNgeOdCBdXuUah9T50DnQOdA58BW40AH1q3G+t5x50DnQOdA58D2yIEOrHOk6v2pHJg97x3KeYqhDRP7XrZfaRvbo+Jtzpi8JO7dP5ty5L1pcsJn78KNLVbyPptXAqxEzHmim0PD5j6LltCb97k3t83VeB4f/eDjeqJrNcbW29j2OWBholX/Np+o37+1IUh2SVv0vvhacKED6xwu24nGTjh2+ch5ocsKxU4mdgbx2ocdP+atlhtr28vPOamifQHa/fUL/P53rxeo/c7mD8vSvJ7vB6p2szE2O0flVRpystLQjje25Wsvu8LYbccOS3aiaXdwmjJmL6PXL+lPeWbWPWixk012fcrmCujiMJbVk82hJc/SGXykr/iYk1JWo+310kY2R/G73eBivdDY6RjnAJnZvc3ObnZoshOTS5BqByy+kq9uN1bZGvxcU2DlPLzvZHuq9TD4RQz3Xpa9TG1S3W6Gv+jZfG//VNvt2QuUo1rGYYrO7Alsb0684/hc2sgPx2zrONmwLQhtbWdbNffaWgzIjB0iMJX+9XQfHtiqzIvotnWz7WO2TXOsIcC1ublt0trLtmm2cbR1niBnJdUDO8vY6tBWcbatWwk4hy602NrOvsxo8v6fLSptZjG2N/VayIHjwkcbltuxKmdirkXfa9WHdygFNTIcWxjOe99yrWjq/UzjAOBkf/b2tgmFLUL5BPK0V7C9we1nvzl2OY2SxXetKbDax9OmyvYttafpekjZ57HIJgP2qiTElQKr/YvtWWlz/mWBlfHbj9i+rjIle13aVci+poKTnPdqz1i8tZ+nPU5tGUa53COrs0+yfUnXO78Xqauyur2FjYNRZatCz9lLFXgyLOfqtpf9T+3jbE9jBrgSYLW3LB7njN7NeT82p7o4RAJN9gK20b59jn3Wnnm6iDer8T1gxUf6mhNpVqPd9dSGjAfv2YtN5GsdWk90dlqOzQHAaqN+B0NIVOxjbdqCPPlKhzOsl+mLycAqA1KGMxDzWpx2HRlweiljiQqVzeztmIGqf4ssnCxjf0gb6Ms2fC8z82NeRx/6qtuX6mMch+rzdj9iUYvntJGMUEacNgjE89mfE10BGX1pP47WfWhCi4MBxoDV/dm/UsQ7b0/SMWDlwDL3ik70jDl6dMtW8dOlBCIrsw8nB4zfAUzH0AEPIGvTePQ7vcUG3jZat7n+oioB/pAbwMDTyHSMvvAU4LsfEGQMxkdP/J+9YrM3NL7rI8ex4V397CyHQk74ILjAc5ldzfeVAmuOdDMePMs+uWN0CGo45hwOUO+vTO/wC5313G/awU9j9lsfqhiA2sETgNW8kU3WzcXb1CK2RSbaRR+9bPdlZlfadWVedF5VJLIhH33UtE4BVrLL/sdoiu1oh2wzl032PmuzB88aj3EZT32P9rLPtOfchyb31EFM9nzOUW94Uu8zmz6yP3H9HX7RoZxylHazJ232k611vt5jmg0Zs7HGj2Tf7pqni4Ku7GVb8y/7E6M3cvJbP9m7u/aV4W32CI7vxK+cMzumx9n73T3+xkfyYldt8F3bOXub5avSD97jIRrQqm08m9K2e8YO2cj8KX1RkbNbU4BVf/ycAKneXB8NtT3SkbW8JgEr5iMeMCrl5sQUzjoCdKqCC1gqX3JCSmbKLU4rMHfjPDwOkCNxQoGSHIBVYnM8mIxOxuVyXJxN1J0eol/lTZdsTanMd5QgJ1Vog+MNCOUIKIopyjH/plTKcTmpRF/Z4J2DowjaMr9k5xAnLcggamDVv5Kd8Tnhw+WkDfNRs8qtLbBSEn2YX3OCC14qawLKHBs3SwGApzKoY9mcNhMldMSWY+qcoOHMzvoUFvRSKtv7LcrS7FaET4DDyRJ46hmnDOFJZM0ZoN84ZMc+Vxo1f8nw8NHcsn7pCxk6CSMnh5AHffIdY/Kd9gVCY6BA/zhDz9GDnMCCZ4wJH5YFVs/QB6Ul4+YEGKc2c7pLKwfAhydK7/TQCSNowiM0+o5B02ljpWsuDteuNPQG7+iM02zwTymYPdAF/9Nrc8B0G32Z8wQ4qjx0X3mfMyVb3zuhhQNEt36ddjR2GAa5GCtaBAjo1pdn6Ic2F2Ws5GCc9JYj9zeZo0sb9MJnZO/0GzoRWsg7us8O3I/f/IT7ZZH8QIIcdOIn3WIjfIvv6Kb7jDs+gT3kyEDP4a/xCjw9S17Gi2Y8Q4vKA5sjE3ovCBXg+Ix/0C+dJD9jMnY0a99vcuND4r/4PGM1HlM0s/aoNgZ67HQcQMFe8SmHSAiM0a6KgV5THtqlo9YK4LEAOvzQL36wM23Tk+hBC5SZp7R+hI9ER+Sp3xzXmESKfYQveMFW6be/20vfbMQJPsZDBn7IVhUJP8lA2+RPDuyHDyE7eKL9lOfZFLnkxDF6rS0n49hrWMZKPyQbeKg6hwZ6oW32gWfsjT9fyz3DFwIrJhCasx45NAylfJix0047bTrUWBZKADkvkvITuHo452FuTB1cVkXoHIjUHXOAhQjE4ONsnZ8q0rGnpHYwDhNlcBRamwwAKJoL1Z77c5yZ4+z22GOPYgRKBYyD4nIoHKPvGBtF8zd6AYR7zNHZvJ2TqYGVEuoLqHKahKY9BirzyEHltcK1wIqXMk9ORLRlbNpyOPKiuTVHMeEVXgM7SkqRnGvqTMI999zzGIC7bIRmzo+cjYNBknP45YxEcqMDQDNHMlF0AAOo8ABddIPiex5PyU35FV/J30KDnFHKcZCjI744i3bOi/5xJuTAaDlxz+qT7jhuSyCwLLAKwBybxQnQG+MlC0ZoHLZaa50SHtMlR5cpr6PLpuN4RP84Q3+Tp6O43IcvOXidobvPGOgQ+bEPp4EAXYEn50P36KuyMz7ntJEct4aXnhf4cUycu3s8w6GbH+XY2iCFAzUVwzHTG/IBkMq+glztLwJW8mMD+uPY6bEfztx0Sf5nTxyw6gqgyQHddAxd0RvyFkRziuhy7jK+op8esTn6gZ+mkHxmOoCdC4TQLKDAE75JkEmuWSVOzhw2Ojhm/oPMABoHTdfx3rgBLHo8Q+/wxPFo/rfWwk/GQj/wGX0qWwIjctUvn0I3d9xxx9J+fWkXb8iObNGcNSfGBlicaeoe57DSeb/RlaM3ydDUEl+bA9YBJd3SN9swVjbblrrJjc57nh+kO+Ez3XfOqXbJy/F7jpJkB3QVf9gK3yuIbytg7BIIsn2+QhvsG4/ic/FNO9p2vm9OJkpF0rFuFib5nIycA04f6BddpbcCElgCL+iws7wFiPimHe3ihzb8Tzaqds7PXlS1W9Znzrp/IbByikBO9OCwXoqCWTIkhDuei+Jz9hzB7rvvXhQygEUpndXKwYoiCM4hx0DEZwZKUdTNAbVDgjkm3wElTtgB5gSiTZ8xbof0Uh7tUVZMlTVqKycsUFILQig7Q2XMAN6JCsA0c23a5/yMk3PXtx8C4tAPPPDA4nD1TSEEBBygi1GZA6WoYwtaWmAF9ATNCRmn/z1LmRjqrDMM9TUGrJQUzxmdTJbhr/QSpOy///5FSQUmAg9Ox0kxKg/OrqXY5pw5AyvwlC2BiYONOTgHL3N2ZMz5k6do1f2CCvqCRuDBWBiPwIBsdt111xIx15dAhyNHBxClNwwYCIlM73WvexUwJ/epc6wcNJC0gIgDsEiH0fpM4OJ7c7Vt+YjeWdxDR+g42ukGMMEblRAROjnRV4bMRjgBkbdqgszKcwCEHtA9wIo3nJjxCzLorfl1/GUXnCYHpT06gna6TAbO3GQbFh0BHeMBRC39+CWrEbn7QRP9JBt0yP4XASse0wfPACtOmI2opgRI6TZa2C6dRiPbZyue8xnd95lxsC2BJdCjC/jDH8iggC3/ASAcXu0efOHoOVTt5dg5tiB4AB50jM/CD+fcAhkg6Xnt4cW+++5bdAlddJjuynBlpoJfusev8VFkQw/ZBWDRL/lZnKgKsNtuuxW7UWXIlA36cl5qdBptwAdgAF++hI/Fryyu44cAKz1Cy8EHH7wJWPGUju69997FfuiA+wCdhMOYtW9M9E8AWF++5+v4DLpG7sasHbZp3hkI4bvN9PVBNnwrWugyHqKJ/62vACtfjBZ6S26AXBDDx7FxNsJvex6m0G2+gl7pQzIFZ6xxoZ/kxG7IiOyN33f8CmClFyoM2uIHcy4x3eT7BSZsWzAjCF+LayGwiphElEDK4IAY40Y8h0LhZJMcKaXCnBg0gROwAREQYVFAQKI8k1ImZ8WhU1LC1j6GOLwWiBNSziskFBkTJQCWhEhAAWQR8QEHHFAcvTJTysWiOEwnCKfXiyYpEKMhEEBq/rc+1DiLlxgB5aMUxswgjFHkzagSAXLwbUQ0NsfKAaAjc9ZWHeMtxzt2qHIUYQxYRWSMg8FwApsDrA6qFkxwyjm0mxycsah9cxv4SNHJk6yMl1PnvIAAWjhN94hSjQnv6A35mjKQpWk/GaFASN8+l/3XmaKInLwYFZ1JuVhJkfMhd5khBzoFWDlX+sS5mucUDDFAl74ESYCVU2iDnBZYyZ6he944k8HRP86ek+I06SJeACLyxQt2gxdAFD01sMogAZzMK9lk7QwAosBShkQnU+JiG+xCkMBxtqWvzBXKUAS8ZMmhc4icMDtaBKwyRTbNBugJGyA7zlDAQYbkJ2M48sgjSyBkjLIzvAKiCZ5Up4Ar3gAT/KcLxsUW2SS5syFACEzoGh0lf6BBfujOPCS+syv2RXe1Tzc5dfYeYFU9kBz4X3DEvwDy8EjAG5vi31QqABY/x8bQAaDIli6TtcvnprO0KRgVINQXvvN3+CzAl027BBNAi37gBdBeBKz0TYCpyiQQZBvox0dZnUVwgoUxYAWaAFOw6hkBF/7yQ4IQfpRPTslVG3SZrFUXfc5WW2AF0PQ/Pt739Ex/5G2M7NT//J6s00UHBfZAEmgL0iQ/ApEEUmTL16JbH3SwBVZtkRsd9x2a2bTAD8/bYGBLgexCYDUXpjRGgc3tpLxkwIxExCVjVYb0GYeaORVGgimAlfEwBiBGocy/BFgpLSXi7NynD0wR2WI44wxgYS4F4vg4dwym8Mn2KATlZpgcusDA9wyIgBkdRnM8AVaRJYYD8syLYXiAlQJQYtkR5SD0BA/o8Yz+8aOdfG+BlcHonyEJRICsQEEUzFHV86Ot0MeANVE1xwMABRPLvNJT98FoyEL2JUjIwc0yYdmSIIajY3DolKFmvGSf7A9POBYRPN1xr8/IivMH0O7NpcQmChXspHya74yLsemfDma1rPbIl2Pg6Dw/FVj1IYoFKkAx5bIcoCzLkH0uyliVqGQx+gceaKNjxsmgjZOBswEOlM6GfmNW/cjipRpYOUQ2Qy8Advv6ELAAZGjnBFM+F/VzSvqm37UT4Tzpm8wfaPibLpOHAJWzsu5hCrACTE5V1cHFIXLu+GqMLg4wq5zptr/pL5oSyKAJoAmYBDPADj9lK+jnRwRP/IJMlN9g8/wIOv2WSaHFDz6QCWBj78aHJ34DGODaAqsghZMn61Sh0MWGVB1k2/7WHxnRRQEL563sLMAhIzJzeRZ/BTieN47aHvFdYCCD4lf4O5dMTeCJDnY2C1gFCaozQFAwgafA1TxsForSY0GJihw9HgNWwSrgEgyhmZ3hLx4IsvQBjOhu3mdm43QSDwQY+myBlW8zdjhAr1w5fzXVB3qvYqPtvIuKn3RGgAK4TQ2wHz5VWy42T+bu8dkYsPKHdFxbkiCJh7HpWyAt+F+La3k8CRoAACAASURBVCGwIopyibwAS51NEGD+B6xAEFMCrIzfD2fNoCgcYCXUevGN70UyDIizzgpLQEPxKFENeOmXAxE5cQ4MTP/uY/AUhCBk0KIokZF7RLFKNZQnLxMDVgyX/dRZSp2xcr6e0QaFrLMB9OS90lZoAVZjpkTalF2ZC9MnpeZkORaAtiyw6ptTk0VQRMperwjk2DmvrDR0f7L/llbAykiVu0Tb5CgQAazopAMAjkMQIeNf/VpIHBLwBS4BVlE4WTAmhierIQ+6k/I+R8P55fPQpj+842zJh37kqvk+dY41GSujZnx0moHG+RmDayw4aTNWTpx8A6wcHccpqGDg5EHfgB0HAQTJlxORsQoExjJWQCSrEST6noPMqlC0CXbZC12VsWY1JJDAY7KuP/cMp8gp033ykDWmLEinyXYqsKIdkJkPq4GVkwasaK2BVdZN59m5sQlo61X54TeniZ8BVvN/AVZj4/jRmMUvHKiASpAqKObI2QL+yD75At/5n06PASswJx/+iMPOAj99pDonWKJf+gMqAjr6TJdlrHRK/8aUrAq44JHPa11ij4IMTl7GLBDWDx8GyMgi2bv/6ZggUDIh2wV4ysGe9Rl/wm6jY7VNxx5nASu/JxgKsAowJA34IOhUlmfHeOlKxuozfrd9rY3/5WvpP58teXLJoP0viUCnSg2cwDsBvCsZq0xXv8AcHwTuxp8FgiohgpWxjFW1jLxhEVsUVHieXuGRqcp1A6zKpxyagXOwBE8QokBZZN7vNBjOBMNrYOXAAAdgFXVyLgCKsBiQKNP3mMeoAqwUVAmWc6EAjEZ/eZWHMwttSmlK1RSY0qMRY9Eoo84cDhBQ8jCOuhRMgBiOthpYGWk9x8pYUrLUn3GKiJK9jy1xNyZKKsIyNmPhbCkBcE6pk4ItKgVzphyJzDSLlyglxTEmvORA8IZCMWKr+vDOD6UDemjnXFvwkHnguWiREzIfwSlx1oCWIzVeDg5/OX28BXDkwtAFICJFxqVPkXzK2yJVzkL75ig5PuNPpM4JteczMmZZgSzElARjYWRZSi+DMW6OTwYB8FNeqh1K+x6rMqvsCB/NT6E9r4oYwxh/Aqwcpkx5FrAy+gArPnEmAELAZ3yyEVmLLIUtyJBlQ0ccccSmOVZOW8WHg0k2jPfAhh1wqAJVoCX7Zy/oI0MA5/P6nT78oosyDgGcLFE2B2jpL2fKRul7StAAo704xWSsAVZyrTPWAKs5Q8DhPkDLFwgs2B7+5rUYvM9UERrZoKwtwEo/ACuny4bxLa9GGQ//IfgQLLARawOU3bUveFGGpjsCwXaOFV/oN7sQCOEBfcbrLIyi2/gCWPm5TG2gid9ybwIZPofPUiXzWVttoBfJdNFMj/hW8ga4dJc/0qcgF+2yQwmGJEdQg1bgI6DCe37J+LSHZ2yGj0FnG6gnmMJLvsj8fg2s5GW6zliBIVvll2TSdJhM6Y2qVTvVEGDVrkoMW6SD/BN6+RQ+lk8yRryhC9rmB+i/CqN7yZlcBBLmZ/lOAQ7/x3bYRhYvma9lJ6ouSuB+mxYTNOAjQHW/ZwVma3EtzFgRQVEsWCFcAxSZGSRwxEBOnLPHWNlFgFUGyigYogFxuAAlrySYI1HmxTwlDYNPKVi/0nftZTECY5IRUH6AqR8lXwouO2KgBAkkCY2DpHSUBK0ECFgpNuYTNCdNMAy7LQUTINoEC4xVP/ggi1MW5zSBl/44zbEtCzkcEaZo0DMyS+CsNEjpKSl60ELJ5mWsHJNIF72iwUTXnCrwZoicLh7iFX77H9jK4AGUzFDUzbGOAatsNK8M4KUxU3IGIct2cTKyD/wm18xjAxx856y0A1gZfMZEZ8jY3BSeCaxkpJwNIADeY8EJp0yPlJToH76TAVAH0MbLaIyNPibCrg2Io5MFAjGLe4AbYLVICC2CCHTQEVk/+bSrgrVBH2S4+gWs5CuQySp1YzR2bXHu6JUpchraQ3Nem+AEZcwcgPIukKPH2qJX9E+feIxXnGXK7QIeusRx0E0Ok1PyNyBrA5RkrAIQY0UHZ2b86Aes+ICP9JVTbBfe4Cdd5VzJCuC7gC1afabK5NIuwAN2bMN48I6T0z97QzMdxE88oGv4CVg59wArOeG14BGI6V979I+zp6exHTwRQGY9iODDOAUT/E0LrIIy9OuX7uFLMnwBKDCWaeEbGalWASwXWvhGQY5AgV+il2gSAOIFXW2zSFmySh4e6cM40eUHH2RkwF3QAGTQKIHRtqDCePkTukXmaYvuCFb5V3ZPD9o1F3guSJUxCl7YLGBFE1/LT6gq4i9e8ivsmEzotrFpVzDa+o8AK9Ckh3nFyVoE9MAIPpDO4rcqBiDP2gTjxzNt5zVJMscfdLEpdksOsl12jk6BB30XyOhLQMDnwBY842/oFn1cNxkrpcgSZ5GswVMWQhRtMXoM5mgJjUHG4YsWLXYQCRooASoVGCDGUXbO2nuqFFRm3GYKHIioTdSjXcqUDJUDF3l5zUfEkvcmZcacgvIWZ8QofEaA+uPM/fYjKAD86KNktWPn1NDG0QU0tcPx6JOjRA9jYCBju37IIkRoyl8iPIoAHGUo6FV6YaDaER22hlgbJacmSKB45qlqx89xoomToEQUmUGgLXvnKh+Jdhnu2OsYAJ/T4ujyziEnyCExgIyPoxEZkm/0wfhlSvTBeBgk58nB1WNimHTC8xm3qNnzs3Ybon/4jj6OksyMn7zQhY+cFF0RcIwt4PI8A2OgeK4NvDAG5SW6JBDjEMlhbBGZNvKOHuBl5J4nV5kvB5BXIsjDuLRpnJyk7ILT0z59EyjkHV6OzT14lhIW+sgTrxJc0mtgxX7IW4aqjEg2QBdPBBptUECP9Mf+ZEdskbPGu5TNjBkf6Ssa2xXa2sBj/GJvKeOxTXpOp+iOSwDrPvrAAfIRHLO+3StA1h+aZR4cniATP+mB4Ia900MBU16Z8Bl+4EsCLf4gi4DovkAGAOElXtAf9OqLvmYxlCoSuyYfdoWX2YCEnuAlcKDv5C5jZHt1VYvjNk7P0m32Yjx+2ldtYsv8JP4IYiQP7FN/5C9YYJ9555YPMh76SreNybOmjvSVd2L5T/qtbTwnP4FOu07A/ekbjzMPKgjnJz0r881rO/hMXnggcKB/bHpsA4xk3gJLAaMAh26QAf9Xz2GTHXs2Pm3rV9voTmJG5wUBAjJ+UzLANjwnsCVTzwpI8QVPPEOHBXB5Zxx/+Q00zUtcVjOTnZSx1h0SDCNpDXdsbmrWfFX7+bx5rfStX1e9OIiBia5kYLKQlEFEOZRHVMPpoZfCobme21k0rzaPLorn+0X7Us5qI+NBT+bPFi06msInPEKbq5YRUJC9p/Q59loPhVWOMk9GwTNvPIsu9GSec0wf5o0n/Mv4pyp1xjY2pz02p9RmC/5v6VqGlraPZfU+83Zj450l30VjznNjYDrWz6LxTuFjy8OxZ2a1s0hvWhnN4nHaH6OFfbX2rl3gqJIG5DN3Hx7No8s98/iy6NlZ8k6bWbwksJdJ1pu5uKfWm0V8nWJTy+pt1rXMs+kAK78rIwba9TqcWTxwzyI/Sp71TlO1jswaC5+Pj1P961QfNOW+pYF1SqNrdY9oRhlA5iyaEbWLhJTdZIDKzvPeC10rOrd2PxRX2QW4Ks2KwscMRNQrY1WOyVzm1qa99985sBoc4GRTAZBdyp5MBy3aenA1+p7ShoqFqR7ZujnKRbukTWlzre9JKdiCUdWAZKhrTcd66G+bBlZlN2UApQqKyEiUfpUVvP6SRTzrgdFbkwbRniBEmckc0qyNqpXplLnNKylRLooit+aYet+dA8twQFnQFIS5PeV5ZcGsGVimnS11bw4HULq1fmRbtD1lWFNc5pwlNQL4jXpt08BKaEBDeUcpxd9WBGfuaFFpdaMKfda4zWNY6MHxWDDR+dc1ZHvhAN9gntYcq7lJ84VTS+drwYNstwpQs25lLfpdzT6UZC1MwmNrIOYdBLCa/a7HtrZ5YF2PTO00dQ50DnQOdA5sXA50YN24su8j7xzoHOgc6BzYAhzowLoFmNqb7BzoHOgc6BzYuBzowLpxZd9H3jnQOdA50DmwBTiwroDVAgOLZyycMfG9uYtnLLHPeac5jWYL8HCLNYl+79tZgo/+9bTYYosNeoM0bKGHzQ/I2GrtvBRvpbuV7ZF5yw4bTNjQwMrueZuJrBUbrbZFb7YYXKt+ez8r50DOM+ZnsymLV/Lonh8LQJd93Sdt0mW6wJfbdIKe1vu8r5zqbevJrQqsnIpVZARBAP62K4pt8eykMku4djuhCBRjHthkH1o7jOT0+m1JPOi3faCtuewWtF7euduWeLheaRUw2WWIHtutKOdEei3Kjkrey7arVHtl5yOvknnXeCXBZw5FZ1+bE3AKDuzS5LB1uxrZjU3bwN/q1s1pe73KbXPpwjP8sQoYqK3Vwduhm75ZtWv3O7tDZaN8PpU+8jl2z1smaNOmXbPsYGd/ab7bfgL2NfbKjR2RNtq1VYGVMGxIYNs9TkSE4/0y73HZOzdRfC0UkZDtqkRW7pmnAPYXtW2i/YQJd1sDJvte2kzapg6Cg2WUfXtRZA5IhpbgayVAst54kc3h7XQlaKpla+crW4c6vMC2be1lizkboNiuzh7QK6li2JUMgHutyk5cY3Y2hWccqu1G0WvLOlvS2ejAFn8CBaefrDVwTKF7a94DVO11KxixW9xabQpfA6tgyMY6fKM9uumjLR29f0of7AG9jNz4ZMGgd1fthGfbR+Btv2fbWdpJaqNdWxVYI2DHiFEyUY6/bahtf9oxg1dysKuH7Bbo2PtxlrMFTIDaptAiqW0NWO216SQZAYTAYNZeutuz0toH18YVMiJ7164ESNYbf5SAbcQhewFGSm+5HBRgb1hAZc/W9rJftMxAVcfm9ivhhz1l7e0tw+RYV/q+IWBFqx/OVIBsb22btshUcirKeuP/1qSH37KPtqAKEKlEreWVze1t4m8zfdmpbJUMc1jBsvoAWO3FC0BzeLqkyQ5SgNo4N9o1CVgxHngBJiUsgGerwOzByFHIIEU5Pm8BMSe6yz6UfNXh3Wt+BvjZgNtzBAtYbalnY23fcz5pM/3ZEEKbXkJWzjLHI+rKJvyE6BmbRsh+a2DVnvGgl1PKiTjzMqE8I3NS4mqfQSflopDu8b+/F5Wq0Ykn+Id+wOmZ7LqyCFhzvFUCBu24zGmQgTYZsvvyWT3OPI8XPtd3PZeLx8ZCZv7GN7Rpi/zwPZ9FprUBpX9Rei139+BpZECGOX4PD/CObHxm43qnbAgugJC+8z2eh9/uD/2L9ijOXBIe6Q+dns+OVDmSTj+ZjoiOuSf6jX/4gwZXy78xZ5Ij9mzYrh1ZY10yXQmwprxIFuRkTKobs3bvcZ/NEoxP/2gyPvf7oTPazHhamXo+9mYTdVthBljxwti0nX26tUXPQ5/v0Bjetnz0nZ9lggZ9CLpDe8bvs+g0PfS/79K3/8nQPbGjuq2Mk34vsxtSZIIeeqr9bLrCh0oiZKtjIIYmtHomNoTe2F0tD23rwxjY5JjM3IP3ZEx/VRUcXiIwA6z6A4Roydm+6I99kw+e+RmzrWWA1XhsRKNP/bV8zSYT9Ch7ItOD2H38RjCpnifGl/gptKIfX2DBrN3mthTgTwJWhoNIkbVtwZwWoDxJ2E6TcCoDY6IIsgqnH2AEIRiY0waUnjBUhpk5VMxxcoFavzaVggGrLfUonfIEAZhvUlKIYoraPQt8Mcw2WujwjGicgaCPgwSsIqmcLSkD0q5yGPpEjNpG15ghZ2cn5S3lDcbliCI0KXd5xtgoZs6UFCxwWE43CfiPCZCBocW8GUXyDN7ZOcoYFgErmYh8KQ4+4QODFCWag2NA2scH7fqhyMbtfnsHk41AxWc2zXaPQIeRkinZGidHoHxF5uTn6Cx0qzrgARkq58dRGI8o1vdOMsnJQrIkSq9/p5YwFGNFC2dv7EqI2idLZU86hzbbLAJX2avnPCNDEkChyz1Kq+QwVsoiS/caExk5XQU99FJ/dEG7yq0cAL2Io8Fbz7rHPtQ5pg1/yclFh9Gm/7H1AdrEa2057gvPjdecFBCiW8sCq34FpMqLTkqhE+SHjlnbV9JjcidXc2zszuktxk5+2qJH6KJLOaWFLSv55WQiWSkdJmcZtozV1nza9ow5YJf2yUm76HPaiXbZET7iif7JBA3oRhfbmVKmzkIw/fpxkSt/wU+gA1Djuz5y6hDA8D89s72hZ7SVc4zpe+zS905TmeKgtUvnc+ISudvpyelP/AwfhI9Oz8ncevwDHaUb/A0+8CvuZSPGQb/RgE7ycHoM/4PvZMcG8U67sXNTYuZPyQEd7M/WjkrBphyMUVXI/XxqdJvM0EoXyML0Q32sZ03zoow1gEkH/OgTjfTU+hdy1i95OIHJCWTu0TcsEbixPWPBV/fl1CJ8Zaf6MEanh8Eh/oGuq36u9b7Fk4BV2UBkyhAoKiIdycZxO4zWBRRETgBOjR6wcRQ2vLYpM6FjkOcxU3kA85zzKaOk7Jy30i0n7F6M49x9nqyTABx/5lklYfcpPTmvk9IQDsfmAGkKXgMrZUcvZnO82tWOsygJbix6JEjnQcoGKQLHQKiAmlKi1fc55xJ9xkgh3YMOvGkjPUbBiVJobTAcDgbwOReWEXPk80rB6HfGod+hXcDAqeMxWikmOfnMnEfmvRgNnlFEhiajwB8AqRTPgACnQ7uTTftt7EAAiBgD0Nan++kE8CM34KS8lEySHH1ONwAWOTkMnfPibMgDsHLU5g7pDxo5AEDIsDk+RuLkHYANdLWLZ8bJITJ++0QDv5bnnI/28JzT5aDQRwcc5OA5xulkDryjF3G2dIyzc4QgBwdMydxv9OON9jlgetHOndFFtuEZjhOoo9mYOULjxddlgRW/OBJgR4/wkX5rC6852pYPHLFFggIRZ8ZyQA4IJ1sBGbo4dLrspCNzvfhi/KoHvuPI6FQyX0c+AoroFf1QFuQTHADhiDS0hefk5OxcukmOwAMf6QVbo//65iAXzavTQX4GbZ5PkMwx59B0/LaeA8A4zxhfoqfOCFa2plv6ju7m7YRUF9wzdo5xGzSz/5wURW9TheFj+CbTAOTs0HT61VYE8Nm5z+419mx3yNeZw6QvZESPyTHgk+oNcMQ7/ZLpwQcfXACYTZAZfvmcT6V3xsdHkw9/Q2amCvBKsuR+MhdQO4+2nZKakrHyFXhiMSbd5K/YC9rpCb9Bbx05J1Ckh3yoZ/DcCWaA1bndbD9nMtMf0xn8LFtmY/6GBcZDh9k1fVvLaxKwAjBO2KnxlC/ZgAlwzDDXmSXVjiYzcA7MfTvvvHNxfI5oYowUl2Oh2H5zXpRF1MExYoJoFyMBOMeB8QzSob8MxInylIES6JcSUFIgqj/PUyBOr55jzRmjHIp2/J8TcAQP9VwXIXCGnL/xOFM20ZpJfkqdo5Ec8nzooYcWAZu3YNgUwCIrtAK5towk6nKAurlTQQVF4+B8pjzjx9jnASv6ZeOcG2Wi+MAQPykZw8FXwEdGsj3OgVzIw3MCG4rLODg4i2c4WwtqAD2+4rFKggyGUxDYcBh451kZpfEqLak2aJdjkDnJZPCVETlOisMlEzJCA0AgN3oFnDzHOaKBnLQtcNEOB89QyJ5c6At5i+IZKMequpJDres5dbLk3K1UxAf8BRYcHIeLbs+5j54D1tDgPnwBSMCAPPXlfzTJ8j0HNGU/+GDNQF0B4ZzYhEDCWDgSDpPu+sz0B1lNBVYriQEnQPEMmszJ4g/dRIt7jKnN+mSHdBh4AUTBI4dGRgm+ZCCHHXZYsVnng6ow8AH0i82SOyfmkG0BIBsFrDJ48pJtuQ8/3ENf6GgOtSYvOo+vKlB0gh3QATp2+OGHF/q1sShLRJOAGT85foEs2TgthgzYEJvEawd2sAu+hc7TL+DEbvGPXaJXJSGLeFQC8Ivuan9RFo2PeMDu+BX0pKxp3HRUpU5bOQ81Tp/uCyQFzOxNsCpIQxcZAWLf8btshZ76H38FxnwRv6NfOgHIHJPHn+Iv20QbXjgQnC6yp0MOOaT4BUdu0lU+j42qSggU+AZ2gqf0pi1Hz8tYHUDOl/BB/D7Qd+ETHyoYNR9LDw466KDyGZv2PR8jGfAbXeRKNoIOdOEBWtkjnAHG5OYeSUH2XV6mjL8aADwJWNXjKZfILgfncuoic05XluOixCJPPyJ8UQonQ/CitbY8RvEAVoAVkMjWKDkHFgXmtCkMA8Awjq8GVgKn+ICXIsShjS1eooj6Ed0xLGOi7IyvLcu4h3P1OwdZJyriDAmVg0EbAzVOxifK5PAAh+BDtNQaI0XlDLQrgtMux8D5U3aOhuLMA1bAon3GJiABYDLQnCyBdgooAmUwAgPZoAw3K6XJJ6U+Sulz8uSQRY4AjMMBICJVSswgAYc+OUrP4QVgB1CcABkBVo6DUseJqXqQudIrvfIdmeMb58Opcc7AFmCJmsldZC2rpEOctQib46UrDMrlOfR6DlDVB02TMWCnEwkmPAMc6Bc6GSQaFgErHTNezoT8s94AQAEZGT8Z1vruc04Dr+oD7dkVh8jZCC6mAiudwhO8oTOAAr9TGtauewQe7WryFljxgB0AUU6QnGXxnCgdAETsvQZa2RyZWhWsMoEWpeAAK3niM4Dn6OkTnamvACKHTo9zxCMeyaCBOV1r7bJuQ0DDIaNfwMRuXOgFKnRF8CmQXgSsgMd4+BGBDzmnhEnvBQvoMfZ5F/sCnMbNdsibbOjjImAVWMhY+QY6YUwu/o48+FYZKD1GC/ul6y7ywH9+yJoEMnEvUBP4sxP3GAt/4Dk+vAZWz6aEzL/gIz+eSoTECWAvA6yCIxVPAZrgkR8iN/IVROCzYJ3PNEbASn/QxR8JMAT4Lj6S/+bT8JLfldUK+vg/umxcgNrYttY1GVgZGIWLsxBNcKKiMSk6YfjBMM6cISUt5+w46zZqGAPWLF5KdoIxoldOCfMoPKdWAysQ51zq8onnWmDNvB5QFLkREkVUbpKVtxkrkOKYPMdxyYCygMq9sh4GA9QpiKgwWS1jp7wUgjK1K5I5c5EjJWX09aWEzBgzxlmrghkw48J/SiQq56RlHYAC7UBbYEBx/c0QVQrQBmTJMKWdrOTDY0atLWBEFmiSYeAdsOcwlEUZq8qAaDqHqBu7//XHGSXQ4aSAnsxGFgJYc0yWMpXvyVhUqn/t1cCKDk6YAXLyaBeAJaPhkOmascvMa3kKUlQP/KZjmXOhg5wY41ZxqIFVhpXoXPAGkDgrMteW8hreZ1GHZ4ETZ9iuYGYL9JNOchQJUD2jPeU7fS0DrAINeqTUKrjKfDBdQpNAR9m6nW9ugVWlhC6SFyeINrqHL+ycc/O/oEc/slOBItqzKlhQ0AIr/WObSqt4KfOoL3Oe+hBk6SM2IggJqMu80DXrkuF53Uc1gPzopIuc8YVdCjTpwhiw0lUZnQCNXgJjOi+zIhdjdOEJW2UHizJWz+AbWZov5DNNf7Bj4DovYwWsggGBAv4laeF/faY92SW9ZdOSkryWpV/BisxQUMU/8ZupwuCvv4EzvmbxUguseSVI5cN3wFWglUPi6e8ywCrAF7AI2lTCMh+qDbqptM2fmHvNSmL+T5mXrdM3ugXgyZP+8t8yWLpCB/hgfpSdCcr5Fja1ta7JwIqxopUAq2iGk0G8iLYGjpzcToCid3MaHGCe9T2QJag2Y6VMQEI2lEl6UZcXmjldkUybsTJeEaLP6yOXWmBVBnIPZ8NwGIiIGrBQtDYyZpyibmUWClw7rowB0HJKlBCwZm5PJAX0ROIMtgVWpQtlSffIesIbEaU2gdGixUuAFUAaC4cCWAUDaJUZKvNxSsbBCDkwxuQegE92wNVzLkChPUqM/2QuM2S4so0aWJWw9aligU4GjK8qE4BRhCwD5EwCIozalUVtlJ+MGQIeB1gZDmBlXICV46M/yViVj9EFONCfTEe/dIUTM856xxeVimSs+ALgXbJOzh0PjRltAJAzAQYAUmAluGP47hEsAHA64B7zQbkyxnYhHCchMKUHwEsA5jLmOG/PLAOsAgsZq3HL1PAj85Gz6NDnGLBqh66wxxpY6YCSpQxBMCOQpl8CKoEp8AKcnHgLrPgMqNzDD3CqCUzRJ6vGe86VPibA9Lm+8IP9kCMZ5M2E2llqh60BHRlnzjIVFCozkxn/BFjxFq3oV37UpsCALcpyPO9VGE5a8MXZh59kpC9+K9mWz+hvOwfse3bsN9uQucqqBHv0eBGwylhl7O4PDUq/bIrPpMcAhM+ij2wFDfSRbNk622SjyVj9ZieAm764h860GStQVnnxvUv/5EMmxkFeywIrGxEQaJvN43Ou8BW/+GcYwxcATXroXv4H39kqXVS15FNdqmNkTH8DrPgh+G8rJGsJspOAFZEB1kS/hCjKVCKQ7YnuCFd25DsZAfBV5iNQZQAGwsG5R6RPWTLHyigBhchRxutzQAAUCMNnQEhbSgUiKZ9n8RIDrmvqmAhYGZooSKQJmIEwp0h46JBZoVdbYyv0OFnGKGrK7k0iJ0aZc18JFbByDjWwAimOYSxjpdwUDQhwkJQCHVmG73/OmPEAJwreLhrI4iW85Ng8AzRlrAHW8FBZOsAqoDBe4AGYAIO+ORUGwCFy0jJAYECxGWmAlRw4yRpY8RSwohUNDFPWJIvAE05Gf0Ccc2bg9CoZa4CVgwywyljxVYSOHjzgILVDbuSABvRrjwNnZHQIz+tMTf+CL1mLErKs0mdkK7gSEHD+gI9T59yUcwGwTJ6z1R/g4VhkSKJpfGHkef1Im/gcsI8x02N6gr8CBJlIFpIAEKBGlwWQKa3Oeo9VQGYMnCqHDRhkkgJdZUqA54c+jC2cw1/0y+zJWsYqeEF3DayyYXafbBL9HHp0Bl/wM2sl8FwFyH2CasmS4wAAIABJREFUD20JgshUIEEuWQyDX/4GfmQsEJIRcrD+xwMy8gxQV74kG/JoM3ABoQyXDhgP0DcmfOK42VAWDeEVfeZvgC+wTblYoIk3QCiHoeMn2+C3/C1w5zfoGX0gh3YOmH7yPT5ns2ihP+YNBeqAlc7h66w51gTcAF8bxoiveS9UxqpqYnwJdPhb89N8C79DBuRjzHwCvXUPO8/iqSxeMuaU5IEV30Qm7ILushNyBPjtAfFZvMTH85OqF3RDQINenwkwfI9//s9rbnhJXnyv4FX1gd80Lv7Dd5nSYW+SF8kRXhoLv+9z+hxgxTO+ZWvu+DQJWANkspJ63ogRUVrRhFIawVBWBiIacq8SLedMyJSV0nEiwC7zgUoEShcYZbLexclgqJKKMgiGpqwFQAErAWA85dEPOgPw2qB8Ik9KJfKhcMbAEXP2avWiJP9T5LYUnCyOINGdw3vRCbg4YkBBcTkQ0ZTVaAIMr5IAM58xvjZjZaicASPj0PTNMTBi7QJLyilooaiMvgVWdABIWZVIOKVgCo0+QUVKwYzQ34BI5p0onwJzOgIFZRUOR6ZJVowZqFFQ/QNWVQigKRoU7eI/PouiZZhAg8MEYsqnQDyrGzkiTg0/gAl5cT6mDZLBcR4M22ecaMrMggxZpfaVqs3ZMET8InP8pCecMWdRVxcCbsYHNDlpciITPPQ5/nHinCfwE4QxenTlFQg8EQ2jSwQPjJTeOAt8EGXTc85I0FVf+Kxf4zMm7ZKnZ8jKM3QS34ClACWviNXt0CtgpKwqaFESAyAcnzFn5Tp68IpM2oxKMIx30REBFMdvfOyF/LTLkQJWDhGP9c2BKRWin76yYTzDO3IFOOyBrWhL8IdepUDtCziAPh9BTrIjfNSPZ8hTmwIFvCYnJWN6yEYARjtnzPFr31oHPiM6z37wQ8WMXFKdwH8243KPK4unMj/Kp+hPW+TPl9F5wYOsERChU4DXTuXQJ2so8JVNapN9AX3jBgSCQHO/ZFBfxs+X8G34is9sSBJCX8gC7fSG78A7PE0AzQbIHSiiGahLDsjTcwI/9PCrSrRZbCiI4r/xiq3xkwIawKivvCJm3O2mFtrkKzwrIRIQat//nhdgsX1Bo+qeMaEXX7XN9gTOdBig4wk55u2QvGaUKSxy4QPyuiKeseu8yiR40c66LwUrAWCyCLktcTEMoMbRcLyEh7EBOIPmBEVJBMp4fC96AlYMHAMwE/MpNOWjlAyZMnE66vABdVENenzOCQBMIJ/XX+JIKD4j56BEhj7nNDkuzkHUo31Kz2hmbRlI0Rgux4gGtKJZWdr/Imx8kMXFyET2jMdY3T/2XiOlwhvlTgEJZZPBcoYcI8XRBl7hawvO+IX3gEs5OY7azjwcAkeXkp1XMgQr+JhFDOZL8QLtvnM/h513kBmHDRoAmv4ZOEekT5/pE//xmZHjB4X3WeavORGOhqG4X/sAgF6giTEbc/gm0OG43JcslnzpD3DiNPBDMMeJox+we55x4l29aKkt/3CqsiEOB/ihGe30Ixk4fZC55P1t2SWe0Dl84KRdxmWOTiBgPAI0PNTW2EpWDsjYBDUclcu96KYj+Av0OClZQZx/PQZ6lZWRAJ5O0x06SJfQCIzijLKwq26DPrufjuib08V3YxRYkYl22J/fbCOvB6EPX+iuPuheXo/IK2LmwTg/mTx/gT7ta49eAE39uD/vkpKJoA2YcMb4SE98j1aATu7AaWyOU4AUW2IHdA1Y0xEZksCfXPkpuoRm/PM5h42W8BtQq1iQE91ml/SKnuIn+SiJ0rOx10/0I+DSj7YFXnn/OiDEXwlY2/njzLECCkGogBHPyZTu16/n+E47/CEZkgWeZ6ElmWsvvgg483nGrU0VOP+TMVBjU/oAePwvvy+BYSP0UxbOn6GlvowJr/luCQzfQB4CKs9mARZ6VQdk1eErOaW6lIVj5Awk+Wj2ij7JDXrJk9+AHeRFfu7h+/lvfBAkSkbaV5nWXSl4LQnqfXUOrCUHGCUnCWRlgBvxJI615PeyfXHQAjlBYN5rndJGu3iJA16NSzArWOTcVVWA7WpeAVYLxaw3EfhshEvSZSrN+M0lC+6yh7EsXdlcFWdbuSaVgreVwXQ6OweW5YAoPMCqBN6BdVkObrn7VShkTjIc2Ziy5dT3EWU5AFlZ1VTQagGrKo5MTqXA4qJF79guy528bgNYlafXemODZeldrfvJy9SQ6plSLjsUxKgcyHJNOa717kmbM7YOrJvDvf7sNs8BpTpzweY3leY24glC61WIgFVpz/SD8uPYGohZtCtVK2+avgGAbflypWOWWXH+ysN5b3ilbY09Z0pBdq6sag5aqXQjXMZtKkAZV/CSVxvZo4BKiXnRDlzriU8dWNeTNDota84BGUIOllh2o/U1J7Z3OJkD5v1kQeb1zA8vevd0csNb+EbBBJoBuDncZU+a2cLkbdHmjV2Wai44r9uYg25X2G9RIlap8Q6sq8TI3kznQOdA50DnQOcADnRg7XrQOdA50DnQOdA5sIoc6MC6iszsTXUOdA50DnQOdA50YO060DnQOdA50DnQObCKHFhTYPWyseXyFhOs1xVeVqdZiZgT69eSziy2sGhhW1lssYq62JtaggMWenhX0+Irmyp0fVmCeQtu5QPw1kYJOdt19Vr/v/2hLdLRh/anyo6sbYxgxWxO2LFIK21tS4u0VpOf67GtNQNWKy9tkWYHD7t7tPt9rhfmAFXbp9n1xK4kU5V+Nei3+4ydRbxPWR8msBptr4c2OCrbBAqu7M409Z3E9UD7atCQFZ925jH+dietZfrQhp2B7Hhj5xqvk9ipxs5Gm9v2MnRsb/eSkVewvKqDjzYl2Bw5jfGHjOzWRX72Xc52not4mV3PbGaS7fqAs53bsofzvCP2FrXfv189DqwJsIoAs1+ofWxtedVujThlSBxHNnLfUsBsezwvZtvzMvveTqFtNe6xjZktBO1bbLuutcyWV4P+RW14hcC2ZaJ02+Fti8voF41x3vfZBzZnsm7OlmuyFNt1assOQNqy1aGt9GxbuS29TL8MT4GS4AzYbYl3jgEVGwR63iPNvtbL0LjoXrKz3aG9je27zR9OuWzDaQ9f8nW4iQzWu5/237WVqPd11zIRmELzRr1nTYAVGNqmyp6rOdVjJQy3ibaNnCmV95u2BPDYy9Xm1Hb/sC9mjjxbCb3LPmPjd5Gyjcazt/Gybazn+0XcNvH2Yr3TeOads7mex7FS2jhC+msnGU57c7ar866jfbZtVsCh2qfYTkP2wvZCfY7VWimt6/U547U/s/2a7Te82pf9n+0/bTMKe3+P7fG9uX0CVrtJ5djIqUGQIMpxiTaNcMCGIMD+y/Z+lvkuOoB9c+nuz0/nwCRgNfcHxICMkq4ylGxDxKi8l8/MS7ZRpAjT88DV955rj/OyH6gXgmWx7rGJdguanlcq3W+//cqZfconyh45s1UUS9FcXvTP4dP+RwNl1m7mpTKPqfSjbd8bH1qcxtACqzG7T9YsWjaOZaPDzIvVdKIp2fsiYNU3h+oZv/HM+LOxgXbxIZ+1TiGy8NsY8DpjSJnW5+gkM/M37sGXWh7htWe8wK7/9IUudKTc6bv6qEGldn3iX30+r/7IwGf6zDmXaNEfHvnbmJOtuBdY6c+zSsv6Q++8iohxadMPWugKej1jPL7XpvZ8V/ftO/eE9rotusa51TJtTZF+oTV6rl9yxaPwHa8zjjzvO/fhk7/17+gxWzJyqpwz/cSftO1Z9PksOoc2Y0oZPvwjN+MM/fOC1uiKdsM/2bhnwj/f6Vt7+gr9dM89td6Fvox7zP4zLwlUnRzjhJWACV55NnRFX3yuL9+hBf/QSbfcE1tyX/QlVTE8ymlS9Xi1tQyP9NOOayqw6jd2gWYb15umMkUFWHPMJDkLBDLO2KDvjYE+zLIH98Rn4BH9JC/+MUch0iuf1T4vekV/3Rsb8X+OgiMz7eFvtn70WfzQSnzodGjbundOAlaRMGGp7duA2hyE0x5EjBYk+cw2VCIp28JhNCFjqrkEP+aCfG5rKoqR0+yVNxiLTNFn9sYUybelXpteO+HCKRnasKWYc/fM2Srf2hNURktRlEWcqCAjInB9eM4JFsplDNlJJk5PsQm76FGkKgq2tZ1yi+PrkrG639ynTMN4jcPm2/qpAXyeKCmiPpzU4YQNCiYr1Y4MjqNcBKy2OvO8sh+6lYGcAOL0HmCCPnQKOMhBFhMHRtmdqOLUFuBmoYNyLIfMUTAep2R4lrN1n3Gjz0kzOQzdqSCyIn1zQsZAHo4EY/hk7cSNnF7hO/QyLE7CsWicQE7RoVf4QS50gCOgH044QiNDlcXjH4N0sgg5mlfUJjrsJxr98SzdpB9j2QZnJcI3L6UtdDtNQzZtP1o8wSsla/3L/PAHHZ7xnXvoFj6RKb4bgwttSnXmPMemK9BqPsw90V0njZAf3cU/Y8Uf/XBKdEUZnY57nm3hqXbw1DGD5OhZpWA8IJfQ57QZfNKOKQblTfThPR74Hk/oCp3OqTVj/NMme8u8Hp6hBViwCxUpIM6m/XbKCAdqbPQPzXSKneEpueEfG2WrxkF+2q3n4PXrees06B89dYoLX0H/8Sx+QFaL98DXPWyE7njed+yenbAhp694nu3rnx44JYdNkgEd90zkhvf0hZ+aVXExLrTgq2eNQ7kXX+klvi/KWLUhaJI9kw2a9Se50I4DCcieX5PYOEAi9OMnefs+p8vw3e2aBvrATtm98bJ3vGVX/CcdsSUk2/Ssz5yMQ0+MgQ7Qe4cFsFsyNl6nHzkKzv+CID6ATF3kSN/ZNP+9vVatJgGrDZDNOdjIGgM5ZkrKaAgvTpNDdeiusxkZJcB1XqCIiaITNsVUzmD4nIVTCwiYQQe8LRhos0HAak6JIhEwBRWxUgjtcXD6YcyUwXmEjpgCfBTA2agcOvBmlJwRgzfHwQiMDW0ABqjIjFMKotz27mSgfig6A8wm2VM24rZNl3I4I6DsUTDHg2nHePBqXimYATg+Cf3GAiQ4CO0BPv9zMMbPoTjnlkHqiyGb1+H8PMuhCXyUETkndJnb9TtbqeEpfjp2i/NhuGjk4DkiusDxA3FyAJpknouzdJ8ghZOjN87hxWsVAaCmLeXRnAvriDH8FdTQL3rkEHXGmEyBY7F4Q6DBcDkhPDEegQ/9mLUoRFBog3POhyxzxB2H72BzsuBsnF/L+ZsWcB/gMAfuO7oDQJXmjjrqqLIFmwoKR8LRAAf6h/f1ZYzm1YAOG8kZwegRmAITPCYbdJnyME7jE9zqCz+MlcMnH3RYDwAw7XlMzha/kRfgEIxyjPRL2xwkvgoYBGnKyWy4Ps+T7nDcY/Rz9toENBbY5Yg5/NEnmyNn53uSBZ1yH2CjH8aubUE4XrEr/KMnOSaMb3BP7XQDrPQP8NGdHOWGj2RhHYfAT1sCIHoEBDlwY6dn+O97fgDN9AGAOkGF3rMnAS5/RBf4BjyiH/wL/TQ+PooOtwub2CC9p5eSCcETwEIfvdhll12Kb5sHrGzY/Q4VR4820E/3YrPm1bVPJ+mBKRY8VsUAbDl2Df2ed74rnrX6SJ7OusZfz5Cnz/xPD/hon2kHDeyCrqHD4RXmox1TmSCYf3ZGrfvYqzNnBfjOjdYO/+rsZj7KedTzjnjcujnn5vU+CViBD6Pm1Dk8BsC5iMiAmuiEMhA25osqOQYKxilkIQ5HyJEDUxmj7zl/Si0DGSsB1cMDOhSE4ovA9MXxi7opT6J7B+xyKsomjFMUxuAtRiJojhKIOnQarUAXuDAKbXvOSQtWBlMgwQIDNU5AzYHutddeBaCcx9gqbCsSDlVflJCjBoRoZ1yMHT8osQ2o5wErg9EvB8ZAOUPGR1HNqwEwUSbHx8AsFJMdMLx99tmngJsxCSjwzSHqwIOD4HDRQV6AVGQqePAZh8DJcyKCLPwDDBxvomA8IU+lN3RxHk4BwV+6wpkzKrIBrJyWgIROkYXzFDlgBs1g8d0Y8Yp8ACEAEezog3wZrzbwlDPmKBmrQAq9AL/Ousjh6KOPLo4SPaJ8l884bLzxHOd5wAEHFLD0v/EK+ozFd0CTc+ak0aUtWaJL8MLxm0NmK3UJTv/m1TgffdN5WSb5cTrkx6EDQsAENPEA8HCcdM89+CTQ8BmZOL2FjQEpQaC+Aef/tnf/vNZUVRjA38+gnZ20NH4AGzWEEAyWVJRIIgFEX4iBqIXaEBPASICQQAi9CVZWxobGxIqvYGNCI+EDmN8kD9ks55yZe+6958ydu05yc9/33Jk9e68/z7PW2nv2/stf/jL9OLc4GQ2g9KELoIxUX3rppel+NqF/xkC/2hn7zzaQIwLTpvOZkYZneDb50QXioQe/rRcQdAF99mBOkD0AW4EA3xQEeb72ZWSCM6VO58DWD3lbrIOY2ZAPnWgL2fNzuqGvtGV8MkYYhvBgEB3qk//zSwdjaxPg8x++As/IC/kaA+KhC4EQ4hPwsfXx43o+zY9NKaUvEhNnK8MLWHKMWAUFroVFsAdu5XxTyYUMUbAgcHEN/0Zm7AspwkG2m8oLuxXgCCDmiBVOwGu+zafZL7uDqQ5J569sEgF7Nv2xH3IwTn0iG/oTrLFnnAGL9I896QO7FeyQgaoJ7N/rZxWxijaScQWoGKJsg1Nl0hwZ+Y6xIsnU7DkvJXNCoM34GS1jAbQ+IkDGL2qvc3oRPtCgfE4LSOP02bQaMAB4QInElXS1x1D0zb0A0Bj0DcnqA3AHnj4is+eee24CCMAoywZcjIyheKYf4MjZGJBnHPsIRBAU4uFU2Vgb8GifDAAhwF/KWIEhR0DExqFk6TtyFRwgNODF0RCRdoEXEmXYHC5zXq4DaMYHoMkIocrcRJL0Rc/Gqy3jJHsBFSdF2oADUWsz79nRtzELeIxJEIX46SfEykGBkEAhJcpUKVRDECZQoWcApg8cOoeMk5NxIzWknEVmCfZMUwDscc6f4yMj5VI2mPIUkn7zzTcnAGGXsvYlYhWhk3EOjM6B4kAY0CMmNj2Wg+eIVXVExM8ukB8ZAB/rCOgEkbJl18jMkBlZs3nErvSWUvBIrPQI+IyN7urKU8EHAiEDuohf81/3Ke8ihrEaQ1+A0pSLYDht6h9CZl8CEVnjErHKugWFfBPIZq2EbF1mJmMVyM4RqyAVCeq3DxloS5CSaSSy5sv6YhxsVbBJ3vrOjhCrKhBiYA8CsZFYkRecIGs4AcPIQIBrzEhHYDp+PBOxIHnVBrrKQeACVfrUx2PEijAFevwHhuUVGmTO5kwjCDwqsZIhH9RXPsh/2bqgw3PrYi8yIjt+72/syHeycxgj8CMr37FJAa5nw8c1xAozETIMQdR8VYDBtj2Tze/1s5pYKZHBxAFljoxH9BpiZWhAHJgiVk4tSvU7C5wIFhllaThiARAAigEBDqW8ufIqYpV5AdQQK6PXJkBVGgHoojbZpNKriBIJyqxFbbKvkACH03cH7AJKHwbEcPxwNO2KsJRsEWsyNEAvqmV8S8v+EYqsEGAAvFwvU0NKCJyDisSXiFXkx9gBIl0ABmDHcZAdIKcDDik4QKwid0QhS/CcBCR+G5f7gIbyt3YRgn5xzBAfWakSsAMAJcqX4XNIpKkyAAiU+gCAMRuvEqf+zhGrYI0+6RrBh1jJxbPMY5EV0kOcbAN4JzNke8CX/EJgSmfGCkjZWAjPPTJabQloEAD9+QBz3wPbtcSqX4BGsESnOcdV31UwgCd5L2WsgB7w0YMM0ThkIMAnWSyyEyxaSezHh90LYAFjFi+NxKo99o9YBCj1PFIBGTJk4+7PR1CDuNg6MBxPV6F7vkdvfCJt0jviZwNriZW8jNH0ERuNv5OfdpAt+a0hVs+HTQiBzQSjtCUY5KPsWbYNZ8iDH4RYVYr0WzWkZqxwSxYGB8gSYRk/vND/ehydPqikKHOzyywCYwfsQnAkiD9GrIIzVTPPg1vBV7o2TusP5ojVs/QfTuoj8vPDFyUVdaV4Mlx+D3Nl8SFWUzb6KtvPu72u82xByBpi5dOZDqBf1Qv2A2P5WxaH7ZFcVxMr0mJIMVqAqywDFAJeMr/M2wBC5MsgGS0DR3rKCSJo0VGMjuIYIqMBcshDZlVXJs5lrCIi0ZVFEwwHEAAN5IpcQqwUiVhF2cnYZJEMUL9ztqJIlDEpU3AMTiuj88PxkhkhFf3Wln4CuqySrSvwODDyljEhGeWWjE2EqQ33LC1eQqJkAxiSseY7xEoGwFgWYOyAkUzoQNAjwh9fIRrHIJrmOCJSJDgSK8NHrPrtHv1lD4Dc8zma+zxTtqaEB7joQEUj2VvNWDknckLmSDDBjQjfD5kgd7rjmBw/QCaYkqV4ljlF4EMfAhMBinEiofF1KbJGNshXGZG83BNgBgSyFP1CzoBQQAToM6ckAGG7gkCgp3/sO69HaY+M6HdusUgtBYdYRe+INRmrzDrEqn/uQ9Zk6Rr9kXECYdmdgHEkVvqQecpY2EHO9YzOBV8IFAEbIzmRuSqGDE6wwF7GjNsz3YN8+QiQ1Z5MEbEiWrbABjxb39g9WyA3JVJBgnaRi2sEXykXs7NR93MrWWGObM54yN2HnWmLLgRqmbcb28rCOX3lgyOxprxaiZW9yezZmQwe0bAh3yG5VDVGYoBfyvgIWaUl2Bi7MCY4eIxYBX5sWBCgDdiU9RTsQtAxR6yCWKQugFT9ELwIcpWV4ZcAY/yMxGpsbOsYscoyVfzomDzpAdYKTPgKDJTNq1bAG/6kL4JCQSAMca3A3bP2/FlFrIw1xBpHk97LWDnzSKwclhARMIcncCVXYMDRABrSkhn4P0BnOEBIdgtAkEeN9imBQYukPFu2wTkBO4UzQMaPvERFMgmAjNAzoR5iTXAgs+YEQILBKCMjAuDBQM0ZMSBEZtwyQO1llSYwB/Qpv4owZXB1Qt71nJezGLcMMYtmkA1A0tZIrMZSAwtGDEAAgwU8KQWTV0pMIVbySCmY7shM0CE7ASr6lIVKgg8AR45IbiRW97lW+8bFUWVr+isY0mfXA3b3A2qlWdewBeAPoGrGyg7IgAOKYF1Dp1lNrgwqOwWOyl+uHYlVyc29+oZYzcUCVvNoAEb7yKWCM5DRJyRFv+6X0bNjDg/0PZPtiLa1TT8CLnbBVslCdst+tKfk50efgQvwJdMECgGQlIKRl3YBncBQn8lNyXwsBYdYkRI71S+AhOiVY40DeI5zrIANQbPDLHhib+ZEsyYhr8mxGyAuUIj8LBJE5Oy0ArFxmS9DooISc395dYQMlfpUevKOreCHzowti4CMhQ/zbxUHfdQ3wA4D6BCJ0P3cBiKIkSz4IV2xQ3IR4MMPz6PbBGXaEqS7RqXF/fBoJFZyRBYhVn7KFulDm9oWfAgk2ARbUWljl3XXJMEHDDE2vpa+kBNsEpym0gQnYWt9j5UM4Bpfp29ZOBzynf6wbdiqL3SowiGohXkyU9kn+xLQS3RgjzEfKgULqMlff0OsrtcO2/KdZ4RYyYKO9YWfCJ6yOJGPCFwznUD+cEJ78Mf/YZOK1J4/q4iVQCmR8kJK5l1F28q4KVUwNBGpSAYQEq5ohRMCnSzT51gcAKiI+jNH5++Z1J572Vk0SNGMlDFyfspCmMDCYg/ZhnKIMgMFAiHGJdsWGYuikkkAYIaILDJ3pz3jMhdokZB+y5STrWeloj4gEIBqrDJxBiSKzQrj0XCQG/npmzbyigtH49SAhIMrpcqkjaUSK9AkW/OpSIMuAJr7AJryJzCWoeqviJ5jGy9AZPQ+gh3OAiiVUmW1HJe8ZAIAk06MkeO7VlChnWQixiyQkLl5NqDi5Ep7xq8f9EWn7tWmZ5ArEAeKyEdwJsJlX+SCWDwXqGfnK1G6jBXQpRTMQQUayA2ACLK079/GlDFU56Vzz5PVuyeL0WQgyB9g0Q0QI1cyIi9AjYTYTxbfyJTIlB2behBg6jvQQG50WDMEgOvZbAdgAnqZnEVL+k1uAk5ZEv3KNgU0QAwQ+3iW/hgv+9EfgRjisPBHpg5EyV+GkNdTtK1NAQXbTuCjHbLXd+NVHtaXlLfHMdAn4nEvcuMvWT/BF9icvkWv7D7VJ88hczKWoSubaov8tMVn6Q/pwoe5rf4EYYI5fpLX6lQt6ML3AiA2ksBVJUE1xP8FQeyT/2jbs/gUG8piqUxNwRdTD7JG9sIH6FM2LqghG4QUe4yMsqKXL9CtwJuMyDYZPTvxXAGVwLXuwJX5YQGEDN199CbwR87Ga0zJbNmLqptAWV/JQMWBLskFJgrGYWu1R9N0/J6/yXIz7wrP4IIg0ncqewLZvMXA//gMHsjqZ8/zPdJVrcy4BBtwEXaQs/Uet7HxxpaIehWxMgKZlUUtyQCUMghblJMl53kflUECyJQ8OBmgpjzKADyiv5Se3EcZsjBGc2zOEukBEMYJaDkIYhRpM/rMhcqERVxAEsB4BjDJu61RAqAFWtrQJ0Qk0vZvk+/J0JXUzCsyVEAns1OO1Q8RJjLUb9ntoXezGLisW/DBSbTP2IGj5/hePwBUVi6PxoK4kSaDN2668J37BC9ZpQv8ZEXkicRS+gYIxubvxqD/iDSvKRkfIAAqgIgTIy8Er333eJ5yK4BDpmSaKJz8ATvHRkaAj/MbJ1Di+Bw2q4KzopJ+9Ev/PJcO9U0bKb2RD52MYM+JZVfu1R9yJxvkd2zHrLx7DUT1TX9kJX4jKeMEuuyW3QBGJEgevjedkAUlxoxkAGB0KsAh97n3WAE1MEMsngcUlVYRC3nRFSCiP/9mjyFsts9++Fa22uOX9GXsgjb2I3tIRiD4UbHRP/2hb3bBvvQXudGnPpG3dvXt2CtkfIue3Uuv7tMv+kz5ONvtCUr9W9YMA8iefkJI6R9yzSK2LIqbKwXTOR8U+PAnPs4XE/joBxmzWXLQFpumO3ZJ3myEjvN6lGezNySMJMigJhy/AAAgAElEQVSKPAWv7uP7xkHWdJ93ttNOBXTjYBfsErn6GHN8NM+lT1MWc28VZMET/6NTOkGW9ESO+qY/bJS9qLawF/J1D5xlg2TgOyRXs8RUregymJy+qyQIcELGnuG6vOttTHlv1bUwkK16pnG5LziIB+Cz6UOVQH3d+2cVse5dCNcZH0NEdiJF83Mc+aY37b5O/7ZyL3BFfiJcxInAZF5b+CB21RagoAqy13frbkvWAiLlYcQqY50LKG7r2d3u9iWgoqEqgFytcagLvrY/gqv3sIn16jL7xh0IQ9lHaUP5r0H5/wWazFKVQyamyqFUO644vaYarnW7DN5cURPraWJsYj1NbvfhrpSRTcOpUpha2nsZmF6bWK9p3YhVOVLZw2KVuhL0ms3v4nblNPOV5ttl9LLCuVXflxqs0qb+iaSVqcZXdC7Vp7v0XGVH5UflcXPH9wE475J+LtlX5WKBl8BVQJ3j7i7Zp3M8u4n1HFK+588QtSoHmWsx571mC8hzikxGbY5IULS0gf85+3VXngU8rZEgv61UIe6K7PbeT76fo/6yte3ex9wZ633QcI+xJdASaAm0BM4qgc5YzyruflhLoCXQEmgJ7F0CTax713CPryXQEmgJtATOKoEm1rOKux/WEmgJtARaAnuXwL0iVit4bVKQE+3rzkZ7V/Yp4yMzJ3pYlLJ0rN8p7Z/7HuOxA5CVqzb0uPQqbou6LO4g260t6jq3bk55nkVTZBj7PKWN695jgY6Fefpx24vzLLSzMYRn2iiiMey62rud++8VsdqgwDZhtmuzSUG/yP5gAgTbrQEmG1tUR7V5gm0U7ari59iORrdjojfXavZB9aK6XY9s+ze3debNPfF4S/pjVzM7JnkNYc/HaN2GTAUkdkmy8xVd2o3oEh+rou2eZXtR+x7XI/r0KcfPefUsH74Gg/jeWoK0o5Od4rRjz+BLB4aXkPddeOatE2u2yALaMoS1BnQbwrM1mX2K7X9pe8XeIenBtOWardds2WdLvRzdFvl7B81L3d7vtJfu0hF5t6G3m2pTRuGQBxtCCK5skTi3bd5NPW+pHb5hL19bDnrHr256v3T/Tf8dWHvtKNn8JX11aWwJkmyIr79I5lI7eZGbrRTtm27fb1sX1o9KGT+zDWTkCn9sCSkoWItFtmC1566AmF92crBkKZf5+60Tq9KbzeftWWlz70u+PO70B5vA29gckaw15suo5jxPtQeq0zi82A8QajnS5hc2zbZTkmj8LhOrPVft/GRPWPuuXhqUkIOt3mzKb9N5NnnJj40eZNBO8LFR/5azIdmqPWnt95z9qi8lO8QqOHJIgr2SbYJSP4J6B37AoJwuxdfsqetQgrVnk9rLWAUJsdp799I2fCmZb/25q4hVGcOG16JZ0ZbymR//Bg5q/rIB1wFec5gyAQbnODLHl9mE25Z/5gVs++dv2vTvGIf7M5/H6LRvPkxbflzv+2zE7pl+9CHPHaNsJRr3MEIlTJtR21qrEmv6wlkRv/67fi5iz1yKa/Q715CN+Z5DL0Hro7Hor6zQ/Z6XTQkYir56PidLJkW25lWML0EJOWXs7vM39xwCQs9W7k1bZJj+64O+HyoFzxEruXq+No0/zz+W/WVu0/PIVh/IXXDjJ3NHKY1pK7ZljPqX8Y/Pd53n+3uer19kpG/po/FGDp4d+9IvY6E797PrY5tEaJe8YneudU/6Zhw57SWy0bc53cwR6/hCPVmRR9YEHAMTssw43JO5Pn3IiSPu1w/XkSGbITvjNn4lVURva0dgn+MB9YOcjNF1+sjO2bF2yCPYUG0h849sP2VQfao2mLlmbY7zlOm7dtznOe71HL6oTf825nGu0/fxswTQoxyMhT9EDsGzQzLOJiKe7zPKbg2xIlQnISlXq/7oa/RxzG9ib/qqz+wZgVdiNQ7X+DsdG88SWY/46B52lg0+xtI1+cKmrAUIvkdWYx+DxZ6fcZGPvumP/mnnW9/61uT32TzG37XDn9jWVROwjIV9ulcbmbbyDHpjw/rlQAHyMy7X3UZlZpFYdUrpzJFLoi4KEFk76cYAnNPnVBTRI+EoJyJQ28OZ07S5uXudpsFhlbscHQSwHRnlCCcRXIjTcVlKIzIK7SuvcJoc32Zu1Ok5SiJOHlHKpChlPcdl2QhcWwQtmvVsJ0I4AcS8mn19PTMZK4d2ukVObCF4UaS/26KtGr35MEd/eZa5lDi0eQ9/s7m8PTFHZTEYJwHpi5M39NEYZVBOhkmEy/Hc68SObKun1CXYUIYlQw7uhA79de6htlUDnKdI5nMGKbhRhnIShvGShezTs+jUkXLm+Iyn3l+J1XidcCNCN17jdDKI5zv5Yo5AOJa+OpGEvXiOkzP8m57139yR49NsdUj2xu8+2bQxa5/cfAekZJ76ATy1IXCL7o1VZO9vnqst9sqxnNDBhpyIkhNYZIzkYOyydqeW5Ki4EWijx5ygoi/sTsZElv7PV0bZeJa5aeOqsp0jViVDNu2oQ/5jm0y6IeND88HASslev3L6CZsyRvezH31yHSBhB04dctKN06TIzTOVGLXhOeZ7PdfpK2SofTKhc76olJ7D7LXN1/iK8fIftsg2jMfpS2RMJzDC9/oGJ+iGT2iDPbBxunYCD+DTT7IIsbjWM/TLaTXmNhEV+bMhvux621QalzF4FpDNSURIwhakbEj77EdFxvjmQDYHSJCN8fvAOVhmnOxzKWMdidWzPIc9HCNV7cINVQQ6U+rmK/rAz5KxIgklZjgMU4yVvegf/c+NCQHlxC42Q+dshu3nyEjyIWM+AW88g+9G9wnaYDG/ciQfH3ANn3AUJxt3GpFggF3gCWOS2Tvxx72qZsaH/Jyyo1oCo9Yu5oP/cEo7qi7shs9lLPQHe+iATOxZ7no2jkvq0X83kQ0vEqvBOgPVb05IITmyTQecswfgAAcFUwCQc4arKFUEjBw5IWPkzECdIhCcOS8DzJFHOcQXkQDGV199dTo9RvsMn8AJ/s9//vPkqBwEWTB6By07d5BhMALzqQjWPa6hUItxnCtI6AzDcWEInnCVwDgaA2E8TuqohklxDvp1KLK/xwj1U389M8ehRUEc2tmNAIoxea7vOIESoLMVgXYOrNZujiVTPmJ8jqUTmABuB7kDGm3l6D0GaX6HnGvWbsEWx3eYu0iRrBE7mXIeZ7e6F6HXOdZKrGROXshaW34DVQbqUOa5w72Btr1C2ZDghiMAPmNwyDwnBKq///3vJxshD+NnT7/73e8mAiQTY9QWm+GwjnwDksAWkDjcmT3oH0IGXMjekVlsJmexAmWgbmzOxAT+xsI+BC3a8VPPI0VQOfNTP0XgfIG9kyU5sHd9Ai76b3GNeTQnH+XM39hFJVYABhwdw5VsFxi4zvhNpdTABZAJMAVtAJV8jYNtISjj4IcCSgEHOwfQxkzmfJHPGTfwA050aEyyKz+OaVR+RHps23jYCt9yqo22+DDiRnTslD0Ba2PRN/eQp/HRg4yYj/MnwWOyLOOl7+eff37CG/6a81cFofSLKIE0sASSpnfYhvHRO2AFypEdv+Lvxih4RVT6mKCDT8EOlbUK5vwLltCrfgukyNw4yeOFF16Yfi8RK4x0rnDshe0gZfI8lFnyNXozRs/NmdYwSvDpHGq2AVecruXv7JJPIjABg/7VbSb1n89IYtgCfDQ2QQmbyWH19s92DXnzR/e5hp3yS8/jx/CIDNmM/sBrcnSSlfb1hT2wTeOlwwQypgn5NDtL0M5/nFOLBJeyScEHvIbp5CnwMBY8xLZVJ9kpviAjOOH5vmPrfApX3XRJfZFYCQ5oEoyofyxTcgBRD8CgPELlgAQNsBiv72SoHMHm6wFuxu1UecrLOZQMhlJlfQzdtYiSABw3JKIClgALcFBUygkES5iejVwYMSdzkLr2OYiInKE6E5DSKMDzGA7nA64UhQQAggOAkdGYaVAIgwFKIkZjB6ivvfbaBJ4ItxqyjFBbFk0BdX/nLIzT4cLGS04PHz6cSADohFiRDQcjK8DC0BmufudAdUGFRTCcqC7KQmbaFQBoV3/HErZ7tUlHyHaJWDmXUgowyQHO+uh7B5oju/FDV8Yu4zF+mYgg57333ptkILgisxzWzMkRNId0L6Mnc+AvsKIbjmdOmH35AHfOJQoWqbJBwRzytCjI2H1kTf4GsAVOiFKgCGCNhZz1lU0JnioRAg8OSjfa5aCxDe0gdONEGFkZagWy5zo7mO5HoKjEqu/6wFbJV9uyPTarPT5Y57j1CWC4hx0Zi4AFEZj6QFBkyX9kH8iDnp2DSu98jn2oIJAhO6JD9qWvdIBwP/nkk2lcZIww6UBQChSRt3lrviNg5ofsWpvuI0+2CWyRLELkK8AUCcARQa0P4Eak7EDf4Q9fRmTANvPQ7FqFA1ELZvVZW/ogeCAPsjNGgA9gtUVWniEQ1pbvyBcJw4V6pJmg5NNPP52qOtowJm3zQTbGpwRtAtRjc6yyQkkIWyAHfuZZZArrKrmyef0XkGvfs/mYcj0ygmnwQ1DD7uAwDNIO2cBMVTQHoAvAxw+7iO7dAw/YDN3AA/IWBMFm8uLf+kkW9CnQgrOCVj7s385ZFtyQjb7oN9/WdzYiMBRAW3CVMj6MNRbt+xt/UKURbPMx/VjKWvWbHGCStn3YE0wgA35gLJILCYQ29ck1ZKD66KcmQ9fNWheJlZIYtOgewXIGxBUHl30YVOrWInSgaUCM0N8BAtAAjlclVg5JWYx+LIUBMs4NHBkcBSNrSuakQJxA9T3AKvKU+WWOlRHJCBkB0k7UIsJiFAAHGNZXTIAHwPd3REaJHNz8LQev5R1958yeQyY+yIVzi/SB0BpiZchABAACsugAoAAGY6v95aDAktOoFgAT2QMABtxXJdbMkzBosqdfhhk9a7s6MbnQCecKcAEiTov8jhErmXECtkM/nEhQg1Q5HVkrNRknh0QaxovgELRIP59KrLIkWRY78gM4gLV2AX89GJqNa1s7ZOlZght2hqj0VSYgOApQAm62qv8i6NE25krBmT/2LDaCOJ0cw64EP/XkHeBruoUNIF9jQi7sgY4FjGQPJD2PLyJafi3I0F8EZjz+DaTZKGIlb8SqQuA5SDWvtMgkgRVZyBLITPsCA/eQH/BHPsbsXtcAe/5jLGxxHC+bQkAAkX71S/YNS2CAIDtyrcRq7JlnjOwE33BBP/i8toyFXPmKYIrOJQGuA8wIffyEjAVIAvDgF30LzI1L0LRErHkfnJ8YC/mRDRISqNcV4fqIeNgbcsyrWJ5Jb9qRsbIPGMcnZGPa9iNgYtPalrmOVRI4+PLLL0964h/sxQ/d8QdkJ2gkd1UACQkb90y6s5iRzbFJRGUcgtUEmfRoXGQu6EKs5K0vOThd3/gLO/WcYCy9Ijx2AlcEmIc+7I1OBbn0kgTK9QJ1VUEVCmPRpr5rkx0aL8xmU/Rf9X7rxOoBIhwKRlyEh2CRASdWhiIEigQgHJxhAygOSnlriZWxyhTGjBWxckxRTYiVgr0zRjD65v8ESTmAQWajDZEa8ktJj0EpG8msOHUyybfffnuat4lhAGWG57o5YqUwgMWZgTdDE2zo+1wpVGYLMIwhWRCHFuUxhpFY9VkUnFcHxoxVFOe5nF05Jme/yiwAruBFtF7LhQxdliDSJGPXMUYZMGC8SsYKvNhB5rHInnMDHVl1zVg5vKhYIIBcEhkqnQmCKrGSqfJ4MtaRWAEG5wRSiCCBhfELOvSB7pEIXXPq8d3QkVjNkQsMgDjSYL+cmqMiTKCejHh0MtchOrbjeqUz2bOPvhov3SSY0zd9Am7KxeNnrhSMDNi2DC2ED2SBt8CkzrMKjETiSFBmFt3zGbbmuQJP/kt+I7HKDJGpIHSJWAXMnq+C4wMQVYP8Vk4L4Y3jpR+gSV76RibGxUb5Fh2H/HzPJxKgqyjoV8hQu4LdVIMqsQro6JxeVJDYvLaMnT15XtpCHgJUbZExYCXzOWKVQcn2zQHKLEMA+sPXBRoCl6VScAVqwC77zKtsxjZ+9AsJOGoR0fEfH+SHLGDtb37zm6mUjrS0J0DNhx0gFL4+YhIbULlAKCp0I6Fn6gQ2xjbhOz+lO1iOnGAS3Qs8kT7ZCaQSdJANO80UiUQFBrgv60noRmDABwUKwV66geF04scYDn2MRVANy/hqSNv1Gb85dm3DOEGCwIreQ6zwVOVl7t3j65DrYsYKSP1geSQmGwXQBk2QSBaQMF6OpESiXJaMlWGL6lzDMSN8CkOashbGCQgYCUATLacU7BqKQl4BFWDAURiS6zxXRCnq1D9ZEUJlCIBY1MNQKJgykSbj0VdEi+BEXMZIWcBWRooQKauWRwkcmAFkzzdHhFTN48yVLkR1ggB9oUDjQY6MTWmUDI2fswNf4AeM9V9GDXD8DSDpq/8jMYFLVs/SEWOq2bLxIKKUe4AcQDWPiVxkv2uI1ThlXGSTDSMQEEBlrBydfmvGKggBAK4jIxkeo6YrYM8pBC8AAzH5u6DI+DkfZzQuMuEQZOhvbCoLZIxRmyGVJWJFBEpbgIstA4DM53AysgIU+jJ+yNizyFjf+AB55FUZNkFnbJNu6HnsW9VNJVa2wX6RDFkL9pCBwFV7Aq6asbJpwAfklHkTbJCHZwMVsr0KsWrLGMaMFbHQLwL20S8lVKVItpigIeM1VsEkeQq8+K4AATHzW9fDEyDKj/iA8SMyNiooMB5+wr58VCQOESvgTwZOTuwQnsAFGfVIrEiZP7HJJWLNmgJkrfKUkvU4zqXFS/TMdnxSFeOTAj3lYbbIN8YPgiEH2aKKDxzyTDKFmTAJNgjk+I2xwMgQf/pH/3X6ARnBQWSk7ayado9+6mPWxyAj9iWIr8SK7NkAYmVfyS4z3mBTiFW1ia/5aF/AQPfjvYjWdAx5+57dwBZ9qzu/pUICG3AIbAxWj2PBQZsjVoYuwkmZSabCGBixDsvYRC0IwmCAjYhKeVT2koUnsi2OQkEiJZEqcJetAXjKd492GTBgISRRq78huhArRSJEz036T/nKMX4zGHMBjJLTK3dwJk7MWJUxACnQ177IWd9EdpxfhOo3QsiK5Rq9IHeGzdgYlMgTGMxNtusXglDbRyIMl8Mbq5KYuWdjQxqibn2RTZK7MRpP+mIeh3xlesaQ+QoAhwjId+wDQ7W4gfyBMn0ienMasgJ/M17Z5KE5Vg5h5SWdKPsIioAX4CdX7QEX/a7ESv90knk35Sp9NXakrhxOJpyH3ukEUSESYC5Io2MRvWyXg8gO2IxonI1wUoCAaFUn6JkcgXXNWAUVnidQ0BYH9jxjAfRAC3hz1loKRibkR1eAXBaH9GSt1h8IsJTvLOxB3oKsvGYCkOsGBoCBPAEsP6JnmYCxCBwEEOyMXyAHxFaJVWkQGSu9CVLYelbjAlV2hDwEG8lY2QK9AcVkrDJbtkBXnuFZ+qsN5AgAySTE6n7fy6gQpR/X5rUZFQSyMj4BIVsT+LB94M9ukQJ5yy5lDlkhDEPgjaCazNm8j2tGYiVvAWsWDtInO5TBsQvTL+6VJbHNtKXv7hmJNaXgmrm4lq+yG/6btyF8r9/wQb9TCia3+h4r20ZmbIEdIByVI1U9K3yVcuuuUcYhwEKafIrsVYcQHZmyfX6pTf8XIMIyeqT/vBJmWqKu+eB/sFFQCB8z5rxC5//6rF3Po6MQK3knY+UzKiawjz+qqtCxfqrs8B9+gljhNeIPsbpG5UtbsIf98Ad2DJ/J2njgB90IZPlzTXKMk8/Adf0I/tCNv/F/dp9SMNtKxmr8bEqAffaM1UApXueyCky2R1AG7W8cyAAMhqMzYOAfYALcFMkIAbrojHEhaAuMfK9tytMW4yToLF5yLRJLNC6KRTQAgyA91336I2sAJgzXPQxXOYGxAd7MLzBMTk4hwNu9CJ9x+V50zAgObSIR56QU0S/DT/mvkvA4b2CMABeJWymojMhgfM85yUS0iqw5vv6I7hmZ/iMec1uIioEAedczDGBs7COxMnDEh0DIE9ECOu0Ba1k7MEXuMu5quPqYBRRW8pEfIxVQAE8OKDOgh2RqdfyCKIuO9IGM6ZETITLgmY1DlKvZCXkBdWPLilOkIXDRlvEjBCSa92FF9IINwCWoch1HN8Z8BIWiYOUhQQKyQDh0j7Q9FwAiDwFPXbzEF9xvvUEqACnde455M+0Bo+gmr4Ih70rUZIA06UBfgSKA9GNsZMWO/QgGBKK1FMwvARfgpyv3ZHEaX2NfdJR5SuPKHKu+Am8VIplkMkiLdbKwRiWHXgQ57h3nrGVP5MEWkQt7FRRkZTdbQt4IhH27BqmTGf/O4hd/5w/6LkPk14ITPsXXEbiPalZIgs0jdbLOPLJ1BNpiA+QHh/gPkAbeaYueVa30FzEhaCALy+pCn8zjGacys35mnBIHfTQOwRHQFnAKHscPfEIiMDHvreedfHaRNyCq3/BV+MKeYYsxwSNyhQlwJ2sM+Li5TPJ1DbvTD/OcNRjLHLyMkc0I4NiMewTr8FnSpFKAOOG35/s7XQv24RQ/QXgCWf2k45SM4ZcMkmz4quofPJaA+ZAr34Yl5KoPxkUuuETFURv+b5xwjA3XRV7J4iUlfN7zEmzzczZjvIIDtkKWIVZjEWD57iJzrOYc1dYJkWPpcAiH8kXtiE3nCIWCZT/Jnhi3a5SEgLe5MAbG4Tkt5XJGkR6wA2hAyDUMkvHUkiwHdK/fnolQgD7Sz0u/SEh2C/BEhK7Tvn4CjpQOKYSQBQXaYVycc2nnGaDB4URdDGauZBxnAQQUS5YyS3JU8jBuoEpWjE2WKiMkXzIEApxf3+MgeY1DRM4ByMrzBRBzfQYosjykgVTpIO+cyhq0o30BTr2fDN0rg/TDAcmZwzF640CUyElpCDjOfcyBuwdJcEjyEBED/gRRidIRDeMX/Bi7toFY5pQ5pGwx79HSpzaTEfqeXYrWx8UPgNbf6DilWmRpfGwRudAheyPTPC/joR9kYm5MW/Qo+CLLfIAo+0d2xiPg0Le8Y1tlI9jQFkCnG3KRydOJzI59eK5/k++hQI8fCBz4EvChT/cCOv6X9y99T7ZkKkMFWHSYuSy2Qk/WSrApARt966MMpc55sQHj9aOfxitAcB1bRyZ0nhX97A3Qkh3A5KvGS5/6rc/kL/v1b33XjrbzSgYZ6r+xwh14Qvdkr22yM+4EVVnYkrb4jLGFTNgA34Axh7ZFdG/adr9xei7dA3fjokvyTbm4kqtx+tEWX9OHuXn88T7+TzbkS6am1MjcWMk05VbfIXc6zXjJ61CwH2ITzOs3m6BfuhO8IVFYBDsFJgJYQZP/szOBT9ZLuDbvXvMjvmpsMJZsBGz4I7g6js+9+i1w8/F8fp/FcDCZnbB9U2eHNloxfvjKztkRm6Yf/+aH/BH/yKzpXb/8X79UIW56O8zFOdZZlOwvJ0JDqACIwjnT0jtXo9gQhqw/q4IriO9dxCnbCypCrHsf830aHzATTMsG80pJStQyO2RmAU1d7HafZNRjPS4BpKv0LKNU5r1LttLEeqJ1K38qY5qrU6asmwksNVtXBd9HYlWeCbHe9AvaS/Lvv9+uBGQEgiclauVTGY5s2ypi2YNsVHm2lilvt1fd+l2SgCzU+gGVHBh7lz5NrCdqS/lQJGWORdZ5VWLIoh8lSXNh9w1glMTMkQFc5dSr7g16otr6tjNKQMlTWV/mqoQoYzUHqNRnXv3YO4pn7GY/aqMSkLEq9Ss537XDP5pYTzQq8w3KXeYzrlICzuPGJenmSU5p48Sub+K28XWFpbnsTXS4O3GyBPgKkGTz/OXYWoSTH9I3tgQ2JIEm1g0po7vSEmgJtARaAndfAk2sd1+HPYKWQEugJdAS2JAEmlg3pIzuSkugJdASaAncfQk0sd59HfYIWgItgZZAS2BDElhFrF4NsVDnvr0ScqqevONqqbiVvqcubjr12X3f7UrAIhybOHh1xKYNpy46s8GBl/xt9qEdL+Xf5ZXRxuHHi/1LR33droa22bqFWzZPICO4sEVd6yP7ZpdeH9zaIjMcpI+3JTtt4zq/D22ssda6VhGrLf9shGBbql7BuSxaO8XY7zKbll/1VZzlJ/QVl5KAHWZsOWhXF9sMnuLkVkTbIcc+tnaKscOWvYK9r3cXP4DIbjx2DLPzmd2B+vNNCQjG7Gjlx9af9aSjc8iL3SF3QZ1ArmK57+1a5f1yux3V7R3P0cdDz7Cy3K5nXlO0o9Zt8JBnOOnMb/tNX+ezilidhGBbKvtRNkksixv4Mkw7KwGaQ9vQLbfUV2xNAt5ftk0fMnQs3Sn+YIs/wSpS9Q6v7ddsmJDD7bc25qX+5EQom9Xb/s47qv35pgS802tPXHuTO1Gm7ht9DnnJxujIFq72h67vEctWbephL2A/OSLwHH0bn4HYVPxsR5jqh77b4U7fBaS2TpXB5rqbwFiBheRRxVFidJ3PKmK1wbG9SG1wf0qEfp0O3sV77SmKVJErYt1aSeUuynQrfbavqc3r7Xtq16hTiNXerIjVPrEA7q5vDiJjtfUc4pDF27i/P/9PrPY292Nz+nok4TnkZa93W0zaTtLm83PEKnC0h7nTxMYDF87RP8/IoQdO7nFAQc6LlWnb7N+e1eRnb2P7Wr/xxhvTISb1RKFT+otYHRQgwCCD63xOJlZRhSjMnIF5JgMVYdQzJ9M5Ua3afc48da/v7Kjh3nGuSsTg7waKyLUrIsk1ygE+npXTaIATpeTYqvRpbFu77vXb37Vrfit99jwlG9+5xr/9TdlknCs1dn8zdh/Xj2NfQ6z6qg0/OTlIGzkDM2P3dx/j87fx2RnjOAbXiuSMU/+ygTs5HAuKXOeejFlf9Msz6Iwc/E2/tBVCIafMrY1nIXKEnKPo/mPP11/X6p9nZszuybNjR9EL49enXHOsNJQSWPrDlsYxGLsxeK6+GJvxzwVEc5usKbIAACAASURBVMRKJpk/Iy/68DPXJ8+xpZ9TfBCrc19lqq4/1M8qV/31HM/0t5y2EpuJTvI31xobmWVs0Z+2YvfuI9P0/5Av00V8NGc122EJaYzEajyZk85mKrHxOdDSVvAk99KTn7m2fB/ZZH4wNppx0nU2qCCHYIb20nbGmU1b+EHsiyxcN2IEuWcjd8/TLhwb55ZjU9ry72zxWIk19q5N12mDjNhOdEMmxhn7DR6NMozP61d82d/1K2e0Zp43peCqX2OuxOqe4Kb79KuOtepyHJN/Z0wj/qQv5DPiH105Pcoxf07mqdUPY4GFZJIAwWk8Ehj9Ijt/06550vgg+ch6R7+OnFzrOrbi6MqLEStBmyMS/ShnEZhtykTw46kxo8ANSnqt9IVgHRfnO8d3Oe4rJ+EwHvM1ol/boImqbPnnzEsGxYidioJAAZJjopx84HggEYx2KYYhOubMOaKUoV3OrxTi776znZ69fnPSi31MHeNlLJTm5AOKEDk5+cK/GZc5VA6SE0yMyRjMkVHQErFSqAqA47mcyMAQzGeYZ3Nqhufa8k9U69Qd8nXMm3kZJ3p4Nvn73rOBWU7joRt9t42ckjSDEnmSAznNLSzRH6dI5BguBqlNJ5/Y51XZk6wd30VGztDNhtjG6gQiOlLOpB9RpVOFyJvcjY0uDp3O4mQQR345OgpQmavzO2VFJ0/kjElzQMpp0SGH4nxOC5kLHDitscmokCK7ceqNjf+d3MJOnOBD5nTh5Bz9dOqOU3Mq+FRiJV+ngDh2jM48j/0Yr1OaxvvJGXDZ/9RcGxt0ooh9UJ0YpZ/kln6yBTJw4gfQkHGQk99skZ+QrYjd3tV8kQzpiJyUG53cATC0q3/I3NmodJWj7+iQfGTS+kTfZMov5hZnkaFTotgLG9E/z9AH/swWyIGNKy0aq9OG9Ee7SowB+xEjcsoUmSnx0TE9aTOnLLEN/3ZCkbac4KIt1zt1yNmd5MgenGTCP2yLZ3x8EyjDAHo2TrLIKS0AloyCEcZkvpguPU+/yNYcO18EwPRORp7FZ5BwTo5hU/wQWZiT9+G3Spp82/dsX5/Jk++yB2Nmg9qhU/bOZl1D9rZRdd34cXpUzr7lB+7hew5AYAM5glJ/M1VVjyCsxOoZ5MrO2A/9wgPyYJf1nNcE9eQNo+gjxz7mIHsyZBumQ9gyGZG78cFZ3GDDfX3EJeyZHHzcJ4M1/6lt57vSl+vY6jPPPDPpk42QhUNS4GKyYEdXegZ79Z0+wHsygTHsDAbwi7NnrIwTOBgc4NBJBEmQjA15zjkkxxKd5xxPgIAI3YcUGQuQQzY27mb0gAVJ+M41DAQxOB+UUwMJAM9hnT1oLhgBuJeRqMPnjFFtOH+QAhmtxVgE6ngjpQXO5WxK5zQSrGdTGKNyLaUwNEDi34yWs+XYPApFfgxviVjdQ+mcDDBYgWecHIpzMjjz2ZQNABlHwEU53vcclREal72KlRTJ3fFLyiOcHaEyIIYGUJSnfVcJSH8YkuOp/J3DcCIkzomc86oPrhFMOCsxB14jfuckCgqQHDC1+IFDuQbokTPdZl/lSlaOJVN6Aqx0kyMABVbGJSigEzrnMGRMjwAWeXtOzoKtRIDklW4BD0BHUICekzpflE5zpqh2PJvMyB341ayzEqs+c059YS/sg4wQpfEChvFjrHRmLPSobIqIycQxhNqjA0CoHXZG/gJAIGdxRYA2xw+yYUDjfn3nW/rNFoA1P8n5vnRsjA645jee4SxNfikwdHwa8uBrnlvBU3tISsaNeMjJ+gs2Lzh2MIWA1XcCMX1QpuOXiAHpwQHkW3XF/xxaTUYWqPBBOvMbmdGbsfJV/baYBZhqix3CDWOnU6Rl3O43HqV3IAwvcq4x/6OnF198cbIvIO98UL7iPjr1HNebF9UewIczgpv4Jt9FkPyL//JLhOrcYHZK3vzJdXzU/CXid2yZPrNNY2ADCSqdNw1PjdnzYIRAz97i/Ey71a5MPfE//YLNnmnMiBw+6TP/4Y8ffvjh/x3xWImVLNkLu2LHbMgY6Fr/+GX94AJtk5P+SkSQlf4LKNm8ftAHnZJXzuH2PNidM2hhd45NjN3xX3u0s1OJHRsjD/fiANdLtmSefrNxvs6vcAgZ8TkBCh7hS4IPtqzPgmS+BkOv87lyKViEDpAYLufKqS4AxypYNWrRfgVvwhSZMyz1c4riWAiagQM/4AtIARygTvkX6FKYwSJLhgnMEJyIklOIbh1DpXxA0OOqN04OJBgjEs2ZoY6vynwCJWoDOVI2JcjcRPHKEsbGOHP0lf7nLERKpDiRFmdgzMfmWEWoDgr2LEoGXoCNTBERY9EvY5EdcnSG5TkIy2HKOfORccoYkZ0MjGw5Obkm4wJonBNJ0kE9M5XhCzpk3SJvz+M85taBvLHTG3kzPsFHFja4lxwt5EEQDkfWH8/JNQDTYeocUft1Q22yc8i0fjlgHviJeukdQABiBBO7QaIhQAsZOBB7EXyMixiQDCcVvPmb/vlwHguQVCE4FTBFWg5756DHXpGqxEpv+mZMns1hAQiAc3rLeNB6HJVNOTya07N3vsL+kYPDzAVYbIs9IhokSy5++z/d+D9ScB2fZAd8QmWH7PXFGAE3fyQzdgZYESMbAub8CqDmFRAgr/8qBubh6tmigmGBExtDzuQl8hecsDPBBGJlF2QP7Nidj0CNrSBGh5NX0uY37J48ADciA4qCBsEbe0L4PoCVrfFRfgQg6RmxI9acq+taxEreWQCDnATL2pRRI004xg5cA8PYO93K1MhDNY7M2D+7FISwWQEDffIN+uSHCJ+e4BIfIlvyEiwjO77vbFVtGwMbYCfslW3yFfbK99kE32Wn5H1ovQYfQqDwAz5qnw8J4AWi+iEz9DwBBB3W1ycrsQrY+YXv4R07ExhZ4EM3ftfgCIbBW/IMrrEF2IhM4QkZwmqYjEuSjeIIfWKDZA1nkJyPvic44itkK2imb4ERQvZB5KqW7Ig/CD7ZEHtxnefyETqDK+7XB7Jnn7BeH+HhdT5XJlYROYAE+gafiJ4jMgbRKaeoBoAQ1MIZKILKHA8hMFSO6aNkwPES6VOcCBZhydYYMoIBXIwlxM4AKE9ExZGBJuUDI2UxAtSvHF/lWTIiIARQAbPnKC8Qfg5VNl4ACcQowPMAqaiUAXE+pSNtcQCR6BKxckIObdyi8WqcIjJtclzk6O+AgNIZkwg64J8+6DcZcT46EMnn8F5gIVLzfwDr/vHDkUWxQEEm7HmcSf8EKMonAHaOWEXYDJjeZBOCH33n2GSVee9knwi4HrGXjFWZB7nTmT7TM5Ald9E94AOsiCIlbaQNSDzbmEew4GQyPMRr7Ig7/SFHukdkKjAIh20hNcDM/uYWJlVi1T/2wP5kOOwCwAMCdiWCrh/lPSDB6YEqWesnWxLQ5fDrkDT5uI7egLzr2UIOWAd4smDZO/kofxqncat+kCnf9J3/y6Zcp5yXeV1VCz6KJP/6179O17KZaivkrQ/0y17oygdY07vyrMAWgNOXLIfstQcj2LEglp3WRVsAV7ajaoEsfchEdq8Sph3tZf6Sb9K7AAB5yhCNBwmppJEPPwGY9Eun5Mu+2YYAV/ABx/wN8Qm+yHoMgugGkSIu40fSgJy9+SBSY6UXNpsAgcxDHOwBkZKR4J4PyAQlJ3wutsZ+2BHb8YOU2AryF6Qc+gS7tMU2fGCDe/kOnRnzVYgVwWTuFunRHRsR+MMDeFqxK/PC8Qf3kb9xCii0SQZkitzpevyEBAVoiFAgHmIVrAg8ECu/I3dYTadZMLeGWOGMQFQA5XdWaLsXh7C5s5eCRRNAlFMZdIhVZziwyEvnDhErUHTdSKwIROZBiaI0QC77Stt+Iw0gpV0pPKcimBGkfYeoAQMnFpEgcs4guvIjw03fgCvnMJ6RWGUDjNh1CFxkJbrnJBSaLJGhUYYoHkGKctZkrIgAiIgmRc/1g1hF4BwwWadnMCBgBLgCSjIWhJH5EH0HbmQYkgHQnEBWxWArWApYEAaAkhVkYQw5e85aYhWMIHgVCFFh3svMIitj4ZC1mhFiFQzRFzLnmECKnZA74JR9+TvgjA5FnsgckNLl+GI3wqMTmZS2Zb8+6Q+nJgt25xpExHH1E9iS6VIpWABAVzIL9gdcARpZ0MVcxlqJFegiDv0CJtEPGwb8gEl/RmIV2CabHImVbNg4gFIqQ6L8TTAM9PgGYEOsggiZlPUMggsgSGayEgQjUKwZqyBVIEaWMgoZknZDrKo9iF026PlALPPxWdgloABm1Q74hPHyJeSQBXOAnE8g5JRA05Z+aJ8MrH3wTAEG2+P/ns++ECtS1i6dqgAJgIC765AwPxBs+H8+ZJ8SpipQiFW7iC/EisBgAZ9RPhWECiLhSojB8+LXfJEckft4Lq1xsX+VAP1FrIj8VGI1JpnrKcQKb92LjJXEs2ATubIpeFo/7IctCbbhY5IQ/mxVL3+AnwIofaqro2+TWPkjm6U7fENH+iIZ8rnoqmDOJz3nlAxN5sCxEK7o3w8QqNG+iBhByRj9XaTLGUR6BsehCJVRA1IEm1KR8oJncESGx3iBFwIPsRKK+wGuqI/QRIjA2HMYr0hUu4xaexxAyTZkpPSGGI4RqzkjmTIy5oTayov+AoQ1GavoTQAgMFD2Ni5j9OH0QKASKwAXnYnagSoCJwtjM273iXRd42/JcLRJN3SFNIFBXWbPCZToEDfw0h9OQRYyE4QFYDk4AiYfkbFnA2UZBb0BdJEoYgVgrkm53Pj8e26l7BpiFeAgH/2TaQoajFvGLPIH6IK2sbyof7IYOmNz7s1qy/SHDPNvNqGSwOERNZtJ1h8AGTNW4IK4AA8yQWop5QuE9HNNxqqfgJmeVBTymgMb5x/smTwFDclYb4JYZV10bwyqPAIyJM/+2JussgZhIRp+JriW5QsmkLUpANUocubTSBy58JPI3Vh95haazRErv2Zj+imoEiC4l67SFruiQ7r0g/zoHQaZPkAEgJyvAlbYQ6b6KIMXzPgOCSF8487bC2yHbuiXzPWRHxwiVkGzqpnsjP3LvI1dH/iJOVN+z36NCbEKDAXY+m5csUe/L0msgha+RbdIFCnCGAEBW6wZa+YyVQeNh6z5I33AbD/wjp3AUFmhgDc4Rp90q2wrASA7Pn0oY5WJwyK4xf9DjvpL76qggmRy1Ad6hdHsXiCof8an6kHuyD+v8pylFIzAODnDIwQlEQDEeBiijkvPGQmjE23VBSo6nVVflARwgDcikDkoO3IESjEPQfBZPJJDkrOS0bX6M5aCRasEnawWcYl0OQVwIETkTrhKbSIppZ/M5RkH4csizf+MGSuAVWpA+KJOykiZNlmREpp+JWNFZDLAufdYRX8UyFkRtIzTGM2LMUhRNzAh52SsjM5zjUnwwjiAgecCQTIEHIiN4eqr9umBLMyrAQagV1cGI0Ky1Ib+aMfzBTtAMQujACVgV6kgD88GYByBTrXtOfpAfogH8AJrRCPoUOavtiEb5XQ1Y/VdMlZj9X82g8Q5uSBPHzPNgAxraUomyQZkQewvK48RtawGEcpSZQmCB+UlDkkP5Fw3bRCNs3UZORIRVCF3/5blyVoFc6J7cpsjVvLWp8yxkrdsGUELToAJ4uJjSE+7+sLWyDul4JqxWmgnEx0zVsQRQhozVkEA2zQWc7aCJ3Nq5uoAJ7nLkupuUGRNPuQgcABKiIQegC4/EzzLbAUFbNoUkHb0n82oghh7tQN+oR12mIxVn5Ml8gHf8zEVMm2RneBPH+AQvcm4BYoqNeySnQjKXAOEyYe/eZb2EZ0P/xJsI1qyMB6+Q19wClHqY0rBNWOVBSNJNspP2LXgQzbsPu2Tq77QHf26nq/AGCTEV/TfGNleSsHwZqkUDLv00RhTCj4lY4XrfA1uKr/CY33Wd2NCiOw6ckvQmRXy5AdH/PADNiiZIDf9E5yRJ3wnH3hEZjjCNBbdpEpofUdeuZMs8VX2py+uY1uSPLZIfvyZvtzvBwaxWbYI0+hAUAT3YSQckVxlmsQ4lfDPUgqWuQAiA0tEgWyVtEReySg5lYhyLitBaqIQg2fwfhgusAXqSjzukzUyEE4gG827myJ5bXNUxgjAREwpiTJcUQqS8WHkgBQIcz7gwVgow/85pvYpGKBrN5GVSIkBADcETnnAQlucVIlSGZnDGLtxIEeGBkAoliNoeyw9xwBF4aJVjp33ZrWTFbDAVMaaBUghi+zYIxMnq7z+o2+MCMAYH9DmtFn8BcAYHkKsC5cS5VloghCAH7kIPowx87XGShZIE3nSo7YQFVkCBiBL7kDND0cha5Gs0j4nmXuFBZjTKQJBUO7JYjX2Ru6iZyU+DspG8n6i7Fs2SgZzy//JV6aAtDhvFk4BbzIDHhxVUEgv+q+0yFbZQLXlLKRBSggQSHBWwYW+0BU5AXj9Mu76AQ4cHbB4DhvmX/ooi9KP6M64kB6gpX+lS31MsKNtgAa8lLP5CJ2RuXGL3vVTRgo8/J9tAQ/BkXtkc2RDl0ib3gEnf66lYG0ovyNf+hCQsDs4ANQEYoIOdmTenmwQRfyUvBEScKtBEB+lC/I3vhAv+xK8ICtZPft0b6op9GT87g0W0QXglMmoiLAbmKK/9KN/sAdRszvygmfA3xxp5o7ZuKCGvNiijFU/BJG+9xHQC3joDVayGYGFrMffEKQFRIJK/ZM80D1MpCMlUnLPmgS+h3D0L+MG/qYXDn34EHxzDawMsbKzLJzybH6pTRhRFy+xKxUZ/YbBMFkAhVzplkz5tGyfr8OnqkMkxkb5U6a53AOvZfN0RZ9skM+Te2QtABT883194A/kRM4CRomQBIpNpTIpmRGUWsxI3zCfzwsO3E/m5Kov7ADps0+yIHvX0asMPK9UkQsuuc5n1eIlxqSzSCKCFFkBbxG+jhA0Q6iCTueSVSjFigYBFGVxsKwQzrUE6+/AStuiCkCY8hHD5xjKCuNcLuNSutE3z8jqwLQLPIAB4GDs+sw548D6aKzAkBH53nNEjQCBw3segGNwCFXftOU7pAG4fc+xgFNWD88pCcB6HiUzYs91v3GIqJQE835v7meUiNu9ZC0Tc1/e8U3ZRLtAn4yVgDnrsW2/gDO5MlzjMS7gOc6xapuMyJgsjY+c9BXwR4+cRWSrPQEU2dFHZFplwfGMiS4Yt2CKk7ufDowx79wBRWMDFvqZRSpLG0SIugG3Zwl+9N3z3CdYElTlPb20OWfLnk8/7s17quyJvrVDj1nF7TlzgQwZIifXuT42zNaAP4BHYOwplQgyo3v6oSt/SyDhWgAOvMgv7/7xTXKi+5R06cp39OU7uhKM6T9wV22SIfg3MKoruKM7gYB7gCz7UzL3HR2PmTQipC/+AeTY1aF33fkN8AOExj3K35hVPQTQdED+dGgcdMjOyFTQBahj89rgB+Z8kRvi1x92Rc+ZdzcucqQb4yIT12tnvIbde46xZO6YDOjF/YhNf/KOqgxYH/IKlXbJOIEGO2d3wVi6IiNyNGYyNSb+c2zLS3bNvl3DNnzYk77CbtWrzF8KdPy/4oHnkS2/kx0bv2CBvQvA+GVes2OL9V3a2Ab8VT2B3zjBeLTBj7MolXyMGx6TAT+IjMhR0CEAwAUSH3qGeb4X1GSKic3kFSXBbuZLszczW6dD7cMtNh37TDBF3+SGi9iYZ+a941PJdRWxntr4eF+IVUZy6lZwN9GPbmOdBDhlXby07s6+qiWwLQlkVTCyUiY9tqPUtnrevbmrEjg7sSpHylrnXmW4q0LcY78RqzKLyNrKxloS3OOYe0z7lECIVVaCWI9VN/YpgR7VuSVwNmJVLlFTl8ZLuXsz/3Or+mrPUwq0OlRZzTu8dXXs1Vrrq1sCl5NAtg00j6Zi1hnr5XRxX558NmK9LwLtcbYEWgItgZbA/ZZAE+v91n+PviXQEmgJtARuWAJNrDcs0G6uJdASaAm0BO63BJpY77f+e/QtgZZAS6AlcMMSaGK9YYF2cy2BlkBLoCVwvyVwMrF6HcOLwF6AX7vKzovAVgd7AbxXBd9vw+vRtwRaAi2BvUrgZGK1h6atpWzH5f2wQzsujYKzy4a9GG2XNbdX6B6ELNiwq4gda/p9uT1otMfQEmgJtASuJoGTiTXnLdpjtm5JeKgLTnaw6YA9h21vtTbTvdqQLne1LbLsI2pbLHud2tJuTcBxuR73k1sCLYGWQEvgpiVwMrHaRN4Gz05bWUus9ha2TZ4NlvdKrDJ4+3vaENp+pk2sN22y3V5LoCXQEti2BFYTq514bLxsg2SbNztCDLE6LSHE6m+uMZfqYx7Vht4piS4Rq02g3W9T8pw0Iqu1kbw29EHbOeS4bovob66RObpPP12Tcw7NC+uTv7vWb/3LSSL6nDF4fs6A9fxs+uw+P/rqO/fnGe7Xf3/LPb5TGtavnBlpfH7G0ztiJto21tyvH/Ve/d1btr9tN+netQRaAi2B9RJYRawISWYqG0NGjlBCVsg1xOqRTvmwDZ6TaRCMUw0c+eM3QlsiVqdxmIN1AoUTBxwtZHGUY9ycSqDs7DgiJ53Y89PWiDmhwWkGrncslhM8zPvavszRWPa79XdbKjpZwikkzuZzMoLz+hypZss+Y1LGdcam02vMlzrNwVFGTuRwvTE7DsvJDTJSR5o99thjX5++4jgmz3cAr/11kakTLsxJO50BCeu3o7yUipGoY7ss6kK2xuDUDEd2Gbsj2tzrlApk6xgsfXaKSS8AW2/ofWVLoCXQEjiXBBaJVdbmyCXn0zmVBug7VgjB2XvTWXgyVsf5OLxbJuXsPJmcA7sdk+QMT0SArI6Vgh0t5AxLz3SmJBJ0Zp7vncvn2Y6och4p8nJ+qJKy6xG6Mxl//OMfT9c5hgzpI0WBgCzSOYU25NaGY5MctaWP+u1gAMTmjFdHV9l43pFtggpHQSE5Y0WqjiDyf8cVOS7KmLTn/t/+9rfTMU/OHjRmC7bMKTv2ybF7OZxbsCFgQM4IX9DgyCPXGKvfOZjXsUc5GJ48tOUQde13qflcrtLPaQm0BFoC6ySwSKwyKSfSICNzozIs5Ulk5My9EKusSrapPOzsPIBv82uHGjsQV5bl+mPE6nw+GeBPfvKTiXRkaIjJSfQOsH3ttdemzNDZmQ7WdrD4448/Pp1D6f+IH4nKYmXWr7/++kSoDiZH9A62lr06pB2hGYe5UIGBa2047zBumaTDiB0zJSsMeSHFlH6ToSNuz5WB6pu2kbdxOrPRgec+np2DsJG5zNTfECYS/tvf/jYd+B6CFjiQgTMjBQTu9XGvBVI///nPp83x9ac/LYGWQEugJbAdCSwSK7JDrDIxvzO3B+D/9Kc/fb14CXkBfAcUZ04VcSFBGZlyK5I8RqwOx/7lL385EbFDyJGa72SPv/71rx888cQTU1aoXItokYuysQN+EZcMOgcII0N9l+0pzyJbZOkwXNkpEpXpakPwoP/KxzJHJ9XLlp988skH3//+96d2jTtzwJ6PzJ0x+8EHH0ykquxcidVB1DJw12ubXPRLSVlJWCCif2RiwZMsNAf1WkGNpJWERwJ1ELbvcvyevvWnJdASaAm0BLYjgUViVdaUMf7hD3+YSCzEqsz6zjvvfE2siM8c6q9+9avpHc58EKF3VpVOl0rBSPQXv/jFg4cPH06Ehlhlf4hVtiob1Z65XN8hGGSLsJHmT3/60ymzDrG7X6aHrJR0X3zxxanEajz6KKtFrOZSkZtrzYma3/3kk0+m3061f+WVV6ayq3nOd999dypvZ5EWQpTtylq1OWasnv/ss89O88Mya8TrQ4YCgEceeeQB8vVebyXWv//979OrSWTxgx/84Ou5ZGVqMnrqqaemAMFmG/1pCbQEWgItge1IYJFYZWYIVcapNIkskM/7778/zWHmPVaE89FHH00LbSzaSfnUtYgOmSwtXjqVWM3BKgUjSYSDrHxkmPrh+bLSJWKVVcqyU/61CEuggLBlrzJphIpoze2aV/b3H/3oR9O8cs1Yv/3tb09zvErLZPed73xn6hdCly0ngzV/XYn1X//61/S8p59+eiJtBOoeMlQB0CcLs2TiWUk8lq23Y2Ldk5ZAS6AlcL8ksEisiBFhAXolUqRprlQGK3u0mMYcpZLvM888M62QtWIXyXz11VdTmda8oTlNGassTAl07j1WxCoLRVxLGatSsMxNxopY/NtiJESnjIuELCxCSBb7eGVFVqvdQxkr1VuUZd7TmJRdzX+ad1VCdj9y9Fu7ITl/N4c8EqtxmmtWKv7444+nuVwlXfPG5p6//PLLaf5UO+ZWESsiTSnY32Xp//73vx/87Gc/mzJxRP7WW29NgY1xWqQle/YMbSH4lMLvlxn3aFsCLYGWwHYksEisumquEuFZDey1FKT46KOPPvjHP/4xrcbNe6zmXa0A/uKLL75+f/V73/veVB5FSJ999tlUcv3jH/84S6wpc5pnHYnVKzsWS1nxm1Kw7xC+109kbbJWmZ9XW2SCvlN+1u8f/vCHE/nKWLUrC0wp2LMEAAIF9+ifV1xkrghMVug5sk6ka15ZFoxEkaT5UwFFzVi1993vfvfBf//736lkbpGXcrR7zK8iYmQrq1UK/s9//jOVfUOs5K70bEXxP//5zylQ8BE0IHYrlfVXuVr/9HNc5LQdE+uetARaAi2B+yWBVcRKJBbqyFqVMYG60q6Mzhxk3iV1HaJBCMjKu58WM1kohIy0gTyRcr4bxe1d088///zrOVn3JOs1T4vAPVc5ViaMuMyLZt7XXKln64PMTQAgU0a0SNJ7pMgWySubIitzyEjUKzRIO23IIN3rtRhkmA8CN2799zcLkZBsVhDLPmXeyNK8bErSxi1A0Vf9Nr/qeT7+JqP2ms34LH+Tueqj/iBhsrNgKaV2f9cfsjGuumnG/TLnHm1LoCXQEri8BFYT6+W7uu0eOkl9dwAAAd5JREFUmM9F3l4BympjxNyflkBLoCXQErhfEmhivSF9y6CzM5QN+M3j9nznDQm3m2kJtARaAndIAk2sN6Qs7506Rs/CJ5tirD1K74Ye382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KCJdR967FG0BFoCLYGWwEYk0MS6EUV0N1oCLYGWQEtgHxJoYt2HHnsULYGWQEugJbARCTSxbkQR3Y2WQEugJdAS2IcEmlj3occeRUugJdASaAlsRAJNrBtRRHejJdASaAm0BPYhgSbWfeixR9ESaAm0BFoCG5FAE+tGFNHdaAm0BFoCLYF9SOB/1sFEjcI2XusAAAAASUVORK5CYII=">
          <a:extLst>
            <a:ext uri="{FF2B5EF4-FFF2-40B4-BE49-F238E27FC236}">
              <a16:creationId xmlns:a16="http://schemas.microsoft.com/office/drawing/2014/main" id="{C2567F0C-B577-4004-8FD3-60F0C07F6BEB}"/>
            </a:ext>
          </a:extLst>
        </xdr:cNvPr>
        <xdr:cNvSpPr>
          <a:spLocks noChangeAspect="1" noChangeArrowheads="1"/>
        </xdr:cNvSpPr>
      </xdr:nvSpPr>
      <xdr:spPr bwMode="auto">
        <a:xfrm>
          <a:off x="14954250" y="1539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122"/>
  <sheetViews>
    <sheetView showGridLines="0" topLeftCell="E1" zoomScale="80" zoomScaleNormal="80" workbookViewId="0">
      <selection activeCell="I2" sqref="I2"/>
    </sheetView>
  </sheetViews>
  <sheetFormatPr baseColWidth="10" defaultColWidth="11.42578125" defaultRowHeight="15"/>
  <cols>
    <col min="1" max="2" width="9.140625" customWidth="1"/>
    <col min="3" max="3" width="16.42578125" customWidth="1"/>
    <col min="4" max="4" width="8.85546875" bestFit="1" customWidth="1"/>
    <col min="5" max="5" width="23.140625" bestFit="1" customWidth="1"/>
    <col min="6" max="6" width="9.140625" customWidth="1"/>
    <col min="7" max="7" width="16.42578125" customWidth="1"/>
    <col min="8" max="8" width="10.85546875"/>
    <col min="9" max="9" width="13.42578125" customWidth="1"/>
    <col min="10" max="10" width="14.140625" bestFit="1" customWidth="1"/>
    <col min="11" max="11" width="13.7109375" bestFit="1" customWidth="1"/>
    <col min="12" max="12" width="34.85546875" customWidth="1"/>
    <col min="13" max="13" width="16.28515625" style="72" bestFit="1" customWidth="1"/>
    <col min="16" max="16" width="18" bestFit="1" customWidth="1"/>
    <col min="17" max="17" width="18.5703125" bestFit="1" customWidth="1"/>
  </cols>
  <sheetData>
    <row r="1" spans="1:24" ht="21">
      <c r="J1" s="288" t="s">
        <v>177</v>
      </c>
      <c r="K1" s="288"/>
      <c r="L1" s="288"/>
      <c r="Q1" s="288" t="s">
        <v>38</v>
      </c>
      <c r="R1" s="288"/>
      <c r="S1" s="288"/>
    </row>
    <row r="2" spans="1:24">
      <c r="A2" s="287" t="s">
        <v>24</v>
      </c>
      <c r="B2" s="287"/>
      <c r="C2" s="287"/>
      <c r="D2" s="70"/>
      <c r="E2" s="287" t="s">
        <v>25</v>
      </c>
      <c r="F2" s="287"/>
      <c r="G2" s="287"/>
      <c r="H2" s="70"/>
      <c r="I2" t="s">
        <v>26</v>
      </c>
      <c r="J2" t="s">
        <v>27</v>
      </c>
      <c r="K2" t="s">
        <v>28</v>
      </c>
      <c r="L2" t="s">
        <v>29</v>
      </c>
      <c r="M2" s="72" t="s">
        <v>30</v>
      </c>
      <c r="R2" s="98">
        <v>0</v>
      </c>
      <c r="S2" s="98">
        <v>1</v>
      </c>
      <c r="T2" s="98">
        <v>2</v>
      </c>
      <c r="U2" s="145">
        <v>3</v>
      </c>
      <c r="V2" s="98">
        <v>4</v>
      </c>
      <c r="W2" s="98">
        <v>4</v>
      </c>
    </row>
    <row r="3" spans="1:24">
      <c r="A3" s="1" t="s">
        <v>31</v>
      </c>
      <c r="B3" s="1"/>
      <c r="C3" s="2"/>
      <c r="D3" s="68"/>
      <c r="E3" s="1" t="s">
        <v>31</v>
      </c>
      <c r="F3" s="1"/>
      <c r="G3" s="2"/>
      <c r="H3" s="68"/>
      <c r="I3" t="s">
        <v>32</v>
      </c>
      <c r="J3" t="s">
        <v>33</v>
      </c>
      <c r="K3" t="s">
        <v>33</v>
      </c>
      <c r="L3" t="str">
        <f>_xlfn.CONCAT(I3:K3)</f>
        <v>WalmartSIN CATEGORIASIN CATEGORIA</v>
      </c>
      <c r="M3" s="72">
        <v>0</v>
      </c>
      <c r="R3" s="98" t="s">
        <v>178</v>
      </c>
      <c r="S3" s="98" t="s">
        <v>179</v>
      </c>
      <c r="T3" s="98" t="s">
        <v>180</v>
      </c>
      <c r="U3" s="145" t="s">
        <v>181</v>
      </c>
      <c r="V3" s="98" t="s">
        <v>182</v>
      </c>
      <c r="W3" s="98" t="s">
        <v>183</v>
      </c>
    </row>
    <row r="4" spans="1:24">
      <c r="A4" s="1">
        <v>0</v>
      </c>
      <c r="B4" s="1"/>
      <c r="C4" s="35" t="s">
        <v>33</v>
      </c>
      <c r="D4" s="73"/>
      <c r="E4" s="1">
        <v>0</v>
      </c>
      <c r="F4" s="1"/>
      <c r="G4" s="35" t="s">
        <v>33</v>
      </c>
      <c r="H4" s="69"/>
      <c r="I4" t="s">
        <v>32</v>
      </c>
      <c r="J4" t="s">
        <v>33</v>
      </c>
      <c r="K4" t="s">
        <v>34</v>
      </c>
      <c r="L4" t="str">
        <f t="shared" ref="L4:L67" si="0">_xlfn.CONCAT(I4:K4)</f>
        <v>WalmartSIN CATEGORIANOVATO</v>
      </c>
      <c r="M4" s="72">
        <v>0</v>
      </c>
      <c r="P4" s="8"/>
      <c r="Q4" s="8" t="s">
        <v>184</v>
      </c>
      <c r="R4" s="8" t="s">
        <v>185</v>
      </c>
      <c r="S4" s="8" t="s">
        <v>34</v>
      </c>
      <c r="T4" s="8" t="s">
        <v>35</v>
      </c>
      <c r="U4" s="146" t="s">
        <v>36</v>
      </c>
      <c r="V4" s="8" t="s">
        <v>37</v>
      </c>
      <c r="W4" s="8" t="s">
        <v>186</v>
      </c>
    </row>
    <row r="5" spans="1:24">
      <c r="A5" s="1">
        <v>1</v>
      </c>
      <c r="B5" s="1">
        <v>30</v>
      </c>
      <c r="C5" s="2" t="s">
        <v>34</v>
      </c>
      <c r="D5" s="68"/>
      <c r="E5" s="1">
        <v>1</v>
      </c>
      <c r="F5" s="1">
        <v>20</v>
      </c>
      <c r="G5" s="2" t="s">
        <v>34</v>
      </c>
      <c r="H5" s="68"/>
      <c r="I5" t="s">
        <v>32</v>
      </c>
      <c r="J5" t="s">
        <v>33</v>
      </c>
      <c r="K5" t="s">
        <v>35</v>
      </c>
      <c r="L5" t="str">
        <f t="shared" si="0"/>
        <v>WalmartSIN CATEGORIASEMI SENIOR</v>
      </c>
      <c r="M5" s="72">
        <v>0</v>
      </c>
      <c r="P5" s="8" t="s">
        <v>53</v>
      </c>
      <c r="Q5" s="147">
        <v>0.35</v>
      </c>
      <c r="R5" s="148">
        <v>15</v>
      </c>
      <c r="S5" s="148">
        <v>30</v>
      </c>
      <c r="T5" s="148">
        <v>45</v>
      </c>
      <c r="U5" s="148">
        <v>60</v>
      </c>
      <c r="V5" s="148">
        <v>90</v>
      </c>
      <c r="W5" s="148">
        <v>95</v>
      </c>
      <c r="X5" s="139"/>
    </row>
    <row r="6" spans="1:24">
      <c r="A6" s="1">
        <v>31</v>
      </c>
      <c r="B6" s="1">
        <v>65</v>
      </c>
      <c r="C6" s="2" t="s">
        <v>35</v>
      </c>
      <c r="D6" s="68"/>
      <c r="E6" s="1">
        <v>21</v>
      </c>
      <c r="F6" s="1">
        <v>45</v>
      </c>
      <c r="G6" s="2" t="s">
        <v>35</v>
      </c>
      <c r="H6" s="68"/>
      <c r="I6" t="s">
        <v>32</v>
      </c>
      <c r="J6" t="s">
        <v>33</v>
      </c>
      <c r="K6" t="s">
        <v>36</v>
      </c>
      <c r="L6" t="str">
        <f t="shared" si="0"/>
        <v>WalmartSIN CATEGORIASENIOR</v>
      </c>
      <c r="M6" s="72">
        <v>0</v>
      </c>
      <c r="P6" s="8" t="s">
        <v>104</v>
      </c>
      <c r="Q6" s="147">
        <v>0.13</v>
      </c>
      <c r="R6" s="148">
        <v>10</v>
      </c>
      <c r="S6" s="148">
        <v>20</v>
      </c>
      <c r="T6" s="148">
        <v>30</v>
      </c>
      <c r="U6" s="148">
        <v>40</v>
      </c>
      <c r="V6" s="148">
        <v>60</v>
      </c>
      <c r="W6" s="148">
        <v>65</v>
      </c>
    </row>
    <row r="7" spans="1:24">
      <c r="A7" s="1">
        <v>66</v>
      </c>
      <c r="B7" s="1">
        <v>95</v>
      </c>
      <c r="C7" s="2" t="s">
        <v>36</v>
      </c>
      <c r="D7" s="68"/>
      <c r="E7" s="1">
        <v>46</v>
      </c>
      <c r="F7" s="1">
        <v>60</v>
      </c>
      <c r="G7" s="2" t="s">
        <v>36</v>
      </c>
      <c r="H7" s="68"/>
      <c r="I7" t="s">
        <v>32</v>
      </c>
      <c r="J7" t="s">
        <v>33</v>
      </c>
      <c r="K7" t="s">
        <v>37</v>
      </c>
      <c r="L7" t="str">
        <f t="shared" si="0"/>
        <v>WalmartSIN CATEGORIAPREMIUM</v>
      </c>
      <c r="M7" s="72">
        <v>0</v>
      </c>
      <c r="P7" s="8" t="s">
        <v>56</v>
      </c>
      <c r="Q7" s="147">
        <v>0.25</v>
      </c>
      <c r="R7" s="148">
        <v>5</v>
      </c>
      <c r="S7" s="148">
        <v>10</v>
      </c>
      <c r="T7" s="148">
        <v>15</v>
      </c>
      <c r="U7" s="148">
        <v>20</v>
      </c>
      <c r="V7" s="148">
        <v>30</v>
      </c>
      <c r="W7" s="148">
        <v>32.5</v>
      </c>
    </row>
    <row r="8" spans="1:24">
      <c r="A8" s="1">
        <v>96</v>
      </c>
      <c r="B8" s="1"/>
      <c r="C8" s="2" t="s">
        <v>37</v>
      </c>
      <c r="D8" s="68"/>
      <c r="E8" s="1">
        <v>61</v>
      </c>
      <c r="F8" s="1"/>
      <c r="G8" s="2" t="s">
        <v>37</v>
      </c>
      <c r="H8" s="68"/>
      <c r="I8" t="s">
        <v>32</v>
      </c>
      <c r="J8" t="s">
        <v>33</v>
      </c>
      <c r="K8" t="s">
        <v>186</v>
      </c>
      <c r="L8" t="str">
        <f t="shared" si="0"/>
        <v>WalmartSIN CATEGORIAPREMIUM+</v>
      </c>
      <c r="M8" s="72">
        <v>0</v>
      </c>
      <c r="P8" s="8" t="s">
        <v>187</v>
      </c>
      <c r="Q8" s="147">
        <v>0.05</v>
      </c>
      <c r="R8" s="148">
        <v>5</v>
      </c>
      <c r="S8" s="148">
        <v>10</v>
      </c>
      <c r="T8" s="148">
        <v>15</v>
      </c>
      <c r="U8" s="148">
        <v>20</v>
      </c>
      <c r="V8" s="148">
        <v>30</v>
      </c>
      <c r="W8" s="148">
        <v>32</v>
      </c>
    </row>
    <row r="9" spans="1:24">
      <c r="A9" s="1"/>
      <c r="B9" s="1"/>
      <c r="C9" s="2"/>
      <c r="D9" s="68"/>
      <c r="E9" s="1"/>
      <c r="F9" s="1"/>
      <c r="G9" s="2"/>
      <c r="H9" s="68"/>
      <c r="I9" t="s">
        <v>32</v>
      </c>
      <c r="J9" t="s">
        <v>34</v>
      </c>
      <c r="K9" t="s">
        <v>33</v>
      </c>
      <c r="L9" t="str">
        <f t="shared" si="0"/>
        <v>WalmartNOVATOSIN CATEGORIA</v>
      </c>
      <c r="M9" s="72">
        <v>13</v>
      </c>
      <c r="P9" s="8" t="s">
        <v>188</v>
      </c>
      <c r="Q9" s="147"/>
      <c r="R9" s="148">
        <v>5</v>
      </c>
      <c r="S9" s="148">
        <v>10</v>
      </c>
      <c r="T9" s="148">
        <v>15</v>
      </c>
      <c r="U9" s="148">
        <v>20</v>
      </c>
      <c r="V9" s="148">
        <v>30</v>
      </c>
      <c r="W9" s="148">
        <v>32</v>
      </c>
    </row>
    <row r="10" spans="1:24">
      <c r="A10" s="1"/>
      <c r="B10" s="1"/>
      <c r="C10" s="2"/>
      <c r="D10" s="68"/>
      <c r="E10" s="1"/>
      <c r="F10" s="1"/>
      <c r="G10" s="2"/>
      <c r="H10" s="68"/>
      <c r="I10" t="s">
        <v>32</v>
      </c>
      <c r="J10" t="s">
        <v>34</v>
      </c>
      <c r="K10" t="s">
        <v>34</v>
      </c>
      <c r="L10" t="str">
        <f t="shared" si="0"/>
        <v>WalmartNOVATONOVATO</v>
      </c>
      <c r="M10" s="72">
        <v>18</v>
      </c>
      <c r="P10" s="8" t="s">
        <v>189</v>
      </c>
      <c r="Q10" s="147"/>
      <c r="R10" s="148">
        <v>30</v>
      </c>
      <c r="S10" s="148">
        <v>60</v>
      </c>
      <c r="T10" s="148">
        <v>90</v>
      </c>
      <c r="U10" s="148">
        <v>120</v>
      </c>
      <c r="V10" s="148">
        <v>180</v>
      </c>
      <c r="W10" s="148">
        <v>185</v>
      </c>
    </row>
    <row r="11" spans="1:24">
      <c r="A11" s="1"/>
      <c r="B11" s="1"/>
      <c r="C11" s="2"/>
      <c r="D11" s="68"/>
      <c r="E11" s="1"/>
      <c r="F11" s="1"/>
      <c r="G11" s="2"/>
      <c r="H11" s="68"/>
      <c r="I11" t="s">
        <v>32</v>
      </c>
      <c r="J11" t="s">
        <v>34</v>
      </c>
      <c r="K11" t="s">
        <v>35</v>
      </c>
      <c r="L11" t="str">
        <f t="shared" si="0"/>
        <v>WalmartNOVATOSEMI SENIOR</v>
      </c>
      <c r="M11" s="72">
        <v>18</v>
      </c>
      <c r="P11" s="8" t="s">
        <v>190</v>
      </c>
      <c r="Q11" s="147"/>
      <c r="R11" s="148">
        <v>30</v>
      </c>
      <c r="S11" s="148">
        <v>60</v>
      </c>
      <c r="T11" s="148">
        <v>90</v>
      </c>
      <c r="U11" s="148">
        <v>120</v>
      </c>
      <c r="V11" s="148">
        <v>180</v>
      </c>
      <c r="W11" s="148">
        <v>185</v>
      </c>
    </row>
    <row r="12" spans="1:24">
      <c r="A12" s="1"/>
      <c r="B12" s="1"/>
      <c r="C12" s="2"/>
      <c r="D12" s="68"/>
      <c r="E12" s="1"/>
      <c r="F12" s="1"/>
      <c r="G12" s="2"/>
      <c r="H12" s="68"/>
      <c r="I12" t="s">
        <v>32</v>
      </c>
      <c r="J12" t="s">
        <v>34</v>
      </c>
      <c r="K12" t="s">
        <v>36</v>
      </c>
      <c r="L12" t="str">
        <f t="shared" si="0"/>
        <v>WalmartNOVATOSENIOR</v>
      </c>
      <c r="M12" s="72">
        <v>18</v>
      </c>
      <c r="P12" s="8" t="s">
        <v>191</v>
      </c>
      <c r="Q12" s="207">
        <v>7</v>
      </c>
      <c r="R12" s="148">
        <v>5</v>
      </c>
      <c r="S12" s="148">
        <v>5</v>
      </c>
      <c r="T12" s="148">
        <v>5</v>
      </c>
      <c r="U12" s="148">
        <v>5</v>
      </c>
      <c r="V12" s="148">
        <v>5</v>
      </c>
      <c r="W12" s="148">
        <v>5</v>
      </c>
    </row>
    <row r="13" spans="1:24">
      <c r="A13" s="3"/>
      <c r="B13" s="3"/>
      <c r="C13" s="4"/>
      <c r="D13" s="4"/>
      <c r="I13" t="s">
        <v>32</v>
      </c>
      <c r="J13" t="s">
        <v>34</v>
      </c>
      <c r="K13" t="s">
        <v>37</v>
      </c>
      <c r="L13" t="str">
        <f t="shared" si="0"/>
        <v>WalmartNOVATOPREMIUM</v>
      </c>
      <c r="M13" s="72">
        <v>18</v>
      </c>
    </row>
    <row r="14" spans="1:24">
      <c r="A14" s="284" t="s">
        <v>38</v>
      </c>
      <c r="B14" s="285"/>
      <c r="C14" s="286"/>
      <c r="D14" s="5" t="s">
        <v>39</v>
      </c>
      <c r="E14" s="70"/>
      <c r="F14" s="70"/>
      <c r="I14" t="s">
        <v>32</v>
      </c>
      <c r="J14" t="s">
        <v>34</v>
      </c>
      <c r="K14" t="s">
        <v>186</v>
      </c>
      <c r="L14" t="str">
        <f t="shared" si="0"/>
        <v>WalmartNOVATOPREMIUM+</v>
      </c>
      <c r="M14" s="72">
        <v>18</v>
      </c>
    </row>
    <row r="15" spans="1:24">
      <c r="A15" s="5">
        <v>0</v>
      </c>
      <c r="B15" s="5"/>
      <c r="C15" s="6" t="s">
        <v>33</v>
      </c>
      <c r="D15" s="6">
        <v>0</v>
      </c>
      <c r="E15" s="71"/>
      <c r="F15" s="71"/>
      <c r="I15" t="s">
        <v>32</v>
      </c>
      <c r="J15" t="s">
        <v>35</v>
      </c>
      <c r="K15" t="s">
        <v>33</v>
      </c>
      <c r="L15" t="str">
        <f t="shared" si="0"/>
        <v>WalmartSEMI SENIORSIN CATEGORIA</v>
      </c>
      <c r="M15" s="72">
        <v>18</v>
      </c>
      <c r="P15">
        <v>0</v>
      </c>
      <c r="Q15" s="8" t="s">
        <v>33</v>
      </c>
    </row>
    <row r="16" spans="1:24">
      <c r="A16" s="5">
        <v>12</v>
      </c>
      <c r="B16" s="5">
        <v>24</v>
      </c>
      <c r="C16" s="6" t="s">
        <v>34</v>
      </c>
      <c r="D16" s="6">
        <v>15</v>
      </c>
      <c r="E16" s="71"/>
      <c r="F16" s="71"/>
      <c r="I16" t="s">
        <v>32</v>
      </c>
      <c r="J16" t="s">
        <v>35</v>
      </c>
      <c r="K16" t="s">
        <v>34</v>
      </c>
      <c r="L16" t="str">
        <f t="shared" si="0"/>
        <v>WalmartSEMI SENIORNOVATO</v>
      </c>
      <c r="M16" s="72">
        <v>20</v>
      </c>
      <c r="P16">
        <v>1</v>
      </c>
      <c r="Q16" s="8" t="s">
        <v>34</v>
      </c>
    </row>
    <row r="17" spans="1:19">
      <c r="A17" s="5">
        <v>25</v>
      </c>
      <c r="B17" s="5">
        <v>35</v>
      </c>
      <c r="C17" s="6" t="s">
        <v>35</v>
      </c>
      <c r="D17" s="6">
        <v>20</v>
      </c>
      <c r="E17" s="71"/>
      <c r="F17" s="71"/>
      <c r="I17" t="s">
        <v>32</v>
      </c>
      <c r="J17" t="s">
        <v>35</v>
      </c>
      <c r="K17" t="s">
        <v>35</v>
      </c>
      <c r="L17" t="str">
        <f t="shared" si="0"/>
        <v>WalmartSEMI SENIORSEMI SENIOR</v>
      </c>
      <c r="M17" s="72">
        <v>30</v>
      </c>
      <c r="P17">
        <v>2</v>
      </c>
      <c r="Q17" s="8" t="s">
        <v>35</v>
      </c>
    </row>
    <row r="18" spans="1:19">
      <c r="A18" s="5">
        <v>36</v>
      </c>
      <c r="B18" s="5">
        <v>45</v>
      </c>
      <c r="C18" s="6" t="s">
        <v>36</v>
      </c>
      <c r="D18" s="6">
        <v>25</v>
      </c>
      <c r="E18" s="71"/>
      <c r="F18" s="71"/>
      <c r="I18" t="s">
        <v>32</v>
      </c>
      <c r="J18" t="s">
        <v>35</v>
      </c>
      <c r="K18" t="s">
        <v>36</v>
      </c>
      <c r="L18" t="str">
        <f t="shared" si="0"/>
        <v>WalmartSEMI SENIORSENIOR</v>
      </c>
      <c r="M18" s="72">
        <v>30</v>
      </c>
      <c r="P18">
        <v>3</v>
      </c>
      <c r="Q18" s="146" t="s">
        <v>36</v>
      </c>
    </row>
    <row r="19" spans="1:19">
      <c r="A19" s="5">
        <v>46</v>
      </c>
      <c r="B19" s="5"/>
      <c r="C19" s="6" t="s">
        <v>37</v>
      </c>
      <c r="D19" s="6">
        <v>30</v>
      </c>
      <c r="E19" s="71"/>
      <c r="F19" s="71"/>
      <c r="I19" t="s">
        <v>32</v>
      </c>
      <c r="J19" t="s">
        <v>35</v>
      </c>
      <c r="K19" t="s">
        <v>37</v>
      </c>
      <c r="L19" t="str">
        <f t="shared" si="0"/>
        <v>WalmartSEMI SENIORPREMIUM</v>
      </c>
      <c r="M19" s="72">
        <v>30</v>
      </c>
      <c r="P19">
        <v>4</v>
      </c>
      <c r="Q19" s="8" t="s">
        <v>37</v>
      </c>
    </row>
    <row r="20" spans="1:19">
      <c r="A20" s="3"/>
      <c r="B20" s="3"/>
      <c r="C20" s="4"/>
      <c r="D20" s="4"/>
      <c r="E20" s="4"/>
      <c r="F20" s="4"/>
      <c r="I20" t="s">
        <v>32</v>
      </c>
      <c r="J20" t="s">
        <v>35</v>
      </c>
      <c r="K20" t="s">
        <v>186</v>
      </c>
      <c r="L20" t="str">
        <f t="shared" si="0"/>
        <v>WalmartSEMI SENIORPREMIUM+</v>
      </c>
      <c r="M20" s="72">
        <v>30</v>
      </c>
      <c r="P20">
        <v>5</v>
      </c>
      <c r="Q20" s="8" t="s">
        <v>186</v>
      </c>
    </row>
    <row r="21" spans="1:19">
      <c r="I21" t="s">
        <v>32</v>
      </c>
      <c r="J21" t="s">
        <v>36</v>
      </c>
      <c r="K21" t="s">
        <v>33</v>
      </c>
      <c r="L21" t="str">
        <f t="shared" si="0"/>
        <v>WalmartSENIORSIN CATEGORIA</v>
      </c>
      <c r="M21" s="72">
        <v>35</v>
      </c>
    </row>
    <row r="22" spans="1:19">
      <c r="A22" t="s">
        <v>147</v>
      </c>
      <c r="B22" s="257" t="s">
        <v>139</v>
      </c>
      <c r="C22" s="56" t="s">
        <v>285</v>
      </c>
      <c r="D22" s="258" t="s">
        <v>286</v>
      </c>
      <c r="E22" s="56" t="s">
        <v>287</v>
      </c>
      <c r="F22" s="56" t="s">
        <v>93</v>
      </c>
      <c r="I22" t="s">
        <v>32</v>
      </c>
      <c r="J22" t="s">
        <v>36</v>
      </c>
      <c r="K22" t="s">
        <v>34</v>
      </c>
      <c r="L22" t="str">
        <f t="shared" si="0"/>
        <v>WalmartSENIORNOVATO</v>
      </c>
      <c r="M22" s="72">
        <v>40</v>
      </c>
      <c r="P22" s="8" t="s">
        <v>53</v>
      </c>
      <c r="Q22" s="8" t="s">
        <v>33</v>
      </c>
      <c r="R22" s="8" t="str">
        <f>+_xlfn.CONCAT(P22,Q22)</f>
        <v>PRFSIN CATEGORIA</v>
      </c>
      <c r="S22" s="148">
        <f>+R5</f>
        <v>15</v>
      </c>
    </row>
    <row r="23" spans="1:19">
      <c r="A23" t="s">
        <v>40</v>
      </c>
      <c r="B23" s="259" t="s">
        <v>43</v>
      </c>
      <c r="C23" t="s">
        <v>2</v>
      </c>
      <c r="D23" s="56">
        <v>1</v>
      </c>
      <c r="E23" s="257" t="str">
        <f>+_xlfn.CONCAT(A23,B23,C23,D23)</f>
        <v>PricesmartCLSSegunda1</v>
      </c>
      <c r="F23" s="257">
        <v>1</v>
      </c>
      <c r="I23" t="s">
        <v>32</v>
      </c>
      <c r="J23" t="s">
        <v>36</v>
      </c>
      <c r="K23" t="s">
        <v>35</v>
      </c>
      <c r="L23" t="str">
        <f t="shared" si="0"/>
        <v>WalmartSENIORSEMI SENIOR</v>
      </c>
      <c r="M23" s="72">
        <v>40</v>
      </c>
      <c r="P23" s="8" t="s">
        <v>104</v>
      </c>
      <c r="Q23" s="8" t="s">
        <v>33</v>
      </c>
      <c r="R23" s="8" t="str">
        <f t="shared" ref="R23:R51" si="1">+_xlfn.CONCAT(P23,Q23)</f>
        <v>AdicionalSIN CATEGORIA</v>
      </c>
      <c r="S23" s="148">
        <f>+R6</f>
        <v>10</v>
      </c>
    </row>
    <row r="24" spans="1:19">
      <c r="A24" t="s">
        <v>40</v>
      </c>
      <c r="B24" s="7" t="s">
        <v>44</v>
      </c>
      <c r="C24" t="s">
        <v>2</v>
      </c>
      <c r="D24" s="56">
        <v>1</v>
      </c>
      <c r="E24" s="257" t="str">
        <f t="shared" ref="E24:E30" si="2">+_xlfn.CONCAT(A24,B24,C24,D24)</f>
        <v>PricesmartGLDSegunda1</v>
      </c>
      <c r="F24" s="260">
        <v>1</v>
      </c>
      <c r="I24" t="s">
        <v>32</v>
      </c>
      <c r="J24" t="s">
        <v>36</v>
      </c>
      <c r="K24" t="s">
        <v>36</v>
      </c>
      <c r="L24" t="str">
        <f t="shared" si="0"/>
        <v>WalmartSENIORSENIOR</v>
      </c>
      <c r="M24" s="72">
        <v>45</v>
      </c>
      <c r="P24" s="8" t="s">
        <v>56</v>
      </c>
      <c r="Q24" s="8" t="s">
        <v>33</v>
      </c>
      <c r="R24" s="8" t="str">
        <f t="shared" si="1"/>
        <v>CompassSIN CATEGORIA</v>
      </c>
      <c r="S24" s="148">
        <f>+R7</f>
        <v>5</v>
      </c>
    </row>
    <row r="25" spans="1:19">
      <c r="A25" t="s">
        <v>40</v>
      </c>
      <c r="B25" s="259" t="s">
        <v>45</v>
      </c>
      <c r="C25" t="s">
        <v>2</v>
      </c>
      <c r="D25" s="56">
        <v>1</v>
      </c>
      <c r="E25" s="257" t="str">
        <f t="shared" si="2"/>
        <v>PricesmartPLTSegunda1</v>
      </c>
      <c r="F25" s="257">
        <v>2</v>
      </c>
      <c r="I25" t="s">
        <v>32</v>
      </c>
      <c r="J25" t="s">
        <v>36</v>
      </c>
      <c r="K25" t="s">
        <v>37</v>
      </c>
      <c r="L25" t="str">
        <f t="shared" si="0"/>
        <v>WalmartSENIORPREMIUM</v>
      </c>
      <c r="M25" s="72">
        <v>45</v>
      </c>
      <c r="P25" s="8" t="s">
        <v>187</v>
      </c>
      <c r="Q25" s="8" t="s">
        <v>33</v>
      </c>
      <c r="R25" s="8" t="str">
        <f t="shared" si="1"/>
        <v>CBSIN CATEGORIA</v>
      </c>
      <c r="S25" s="148">
        <f>+R8</f>
        <v>5</v>
      </c>
    </row>
    <row r="26" spans="1:19">
      <c r="A26" t="s">
        <v>40</v>
      </c>
      <c r="B26" s="259" t="s">
        <v>46</v>
      </c>
      <c r="C26" t="s">
        <v>2</v>
      </c>
      <c r="D26" s="56">
        <v>1</v>
      </c>
      <c r="E26" s="257" t="str">
        <f t="shared" si="2"/>
        <v>PricesmartBCKSegunda1</v>
      </c>
      <c r="F26" s="260">
        <v>3</v>
      </c>
      <c r="I26" t="s">
        <v>32</v>
      </c>
      <c r="J26" t="s">
        <v>36</v>
      </c>
      <c r="K26" t="s">
        <v>186</v>
      </c>
      <c r="L26" t="str">
        <f t="shared" si="0"/>
        <v>WalmartSENIORPREMIUM+</v>
      </c>
      <c r="M26" s="72">
        <v>45</v>
      </c>
      <c r="P26" s="8" t="s">
        <v>191</v>
      </c>
      <c r="Q26" s="8" t="s">
        <v>33</v>
      </c>
      <c r="R26" s="8" t="str">
        <f t="shared" si="1"/>
        <v>KashSIN CATEGORIA</v>
      </c>
      <c r="S26" s="148">
        <f>+R12</f>
        <v>5</v>
      </c>
    </row>
    <row r="27" spans="1:19">
      <c r="A27" t="s">
        <v>40</v>
      </c>
      <c r="B27" s="259" t="s">
        <v>43</v>
      </c>
      <c r="C27" t="s">
        <v>2</v>
      </c>
      <c r="D27" s="56">
        <v>0</v>
      </c>
      <c r="E27" s="257" t="str">
        <f t="shared" si="2"/>
        <v>PricesmartCLSSegunda0</v>
      </c>
      <c r="F27" s="260">
        <v>0.5</v>
      </c>
      <c r="I27" t="s">
        <v>32</v>
      </c>
      <c r="J27" t="s">
        <v>37</v>
      </c>
      <c r="K27" t="s">
        <v>33</v>
      </c>
      <c r="L27" t="str">
        <f t="shared" si="0"/>
        <v>WalmartPREMIUMSIN CATEGORIA</v>
      </c>
      <c r="M27" s="72">
        <v>50</v>
      </c>
      <c r="P27" s="8" t="s">
        <v>53</v>
      </c>
      <c r="Q27" s="8" t="s">
        <v>34</v>
      </c>
      <c r="R27" s="8" t="str">
        <f t="shared" si="1"/>
        <v>PRFNOVATO</v>
      </c>
      <c r="S27" s="148">
        <f>+S5</f>
        <v>30</v>
      </c>
    </row>
    <row r="28" spans="1:19">
      <c r="A28" t="s">
        <v>40</v>
      </c>
      <c r="B28" s="7" t="s">
        <v>44</v>
      </c>
      <c r="C28" t="s">
        <v>2</v>
      </c>
      <c r="D28" s="56">
        <v>0</v>
      </c>
      <c r="E28" s="257" t="str">
        <f t="shared" si="2"/>
        <v>PricesmartGLDSegunda0</v>
      </c>
      <c r="F28" s="260">
        <v>0.5</v>
      </c>
      <c r="I28" t="s">
        <v>32</v>
      </c>
      <c r="J28" t="s">
        <v>37</v>
      </c>
      <c r="K28" t="s">
        <v>34</v>
      </c>
      <c r="L28" t="str">
        <f t="shared" si="0"/>
        <v>WalmartPREMIUMNOVATO</v>
      </c>
      <c r="M28" s="72">
        <v>60</v>
      </c>
      <c r="P28" s="8" t="s">
        <v>104</v>
      </c>
      <c r="Q28" s="8" t="s">
        <v>34</v>
      </c>
      <c r="R28" s="8" t="str">
        <f t="shared" si="1"/>
        <v>AdicionalNOVATO</v>
      </c>
      <c r="S28" s="148">
        <f>+S6</f>
        <v>20</v>
      </c>
    </row>
    <row r="29" spans="1:19">
      <c r="A29" t="s">
        <v>40</v>
      </c>
      <c r="B29" s="259" t="s">
        <v>45</v>
      </c>
      <c r="C29" t="s">
        <v>2</v>
      </c>
      <c r="D29" s="56">
        <v>0</v>
      </c>
      <c r="E29" s="257" t="str">
        <f t="shared" si="2"/>
        <v>PricesmartPLTSegunda0</v>
      </c>
      <c r="F29" s="260">
        <v>0.5</v>
      </c>
      <c r="I29" t="s">
        <v>32</v>
      </c>
      <c r="J29" t="s">
        <v>37</v>
      </c>
      <c r="K29" t="s">
        <v>35</v>
      </c>
      <c r="L29" t="str">
        <f t="shared" si="0"/>
        <v>WalmartPREMIUMSEMI SENIOR</v>
      </c>
      <c r="M29" s="72">
        <v>60</v>
      </c>
      <c r="P29" s="8" t="s">
        <v>56</v>
      </c>
      <c r="Q29" s="8" t="s">
        <v>34</v>
      </c>
      <c r="R29" s="8" t="str">
        <f t="shared" si="1"/>
        <v>CompassNOVATO</v>
      </c>
      <c r="S29" s="148">
        <f>+S7</f>
        <v>10</v>
      </c>
    </row>
    <row r="30" spans="1:19">
      <c r="A30" t="s">
        <v>40</v>
      </c>
      <c r="B30" s="259" t="s">
        <v>46</v>
      </c>
      <c r="C30" t="s">
        <v>2</v>
      </c>
      <c r="D30" s="56">
        <v>0</v>
      </c>
      <c r="E30" s="257" t="str">
        <f t="shared" si="2"/>
        <v>PricesmartBCKSegunda0</v>
      </c>
      <c r="F30" s="260">
        <v>0.5</v>
      </c>
      <c r="I30" t="s">
        <v>32</v>
      </c>
      <c r="J30" t="s">
        <v>37</v>
      </c>
      <c r="K30" t="s">
        <v>36</v>
      </c>
      <c r="L30" t="str">
        <f t="shared" si="0"/>
        <v>WalmartPREMIUMSENIOR</v>
      </c>
      <c r="M30" s="72">
        <v>60</v>
      </c>
      <c r="P30" s="8" t="s">
        <v>187</v>
      </c>
      <c r="Q30" s="8" t="s">
        <v>34</v>
      </c>
      <c r="R30" s="8" t="str">
        <f t="shared" si="1"/>
        <v>CBNOVATO</v>
      </c>
      <c r="S30" s="148">
        <f>+S8</f>
        <v>10</v>
      </c>
    </row>
    <row r="31" spans="1:19">
      <c r="B31" s="259"/>
      <c r="D31" s="56"/>
      <c r="E31" s="257"/>
      <c r="F31" s="257"/>
      <c r="I31" t="s">
        <v>32</v>
      </c>
      <c r="J31" t="s">
        <v>37</v>
      </c>
      <c r="K31" t="s">
        <v>37</v>
      </c>
      <c r="L31" t="str">
        <f t="shared" si="0"/>
        <v>WalmartPREMIUMPREMIUM</v>
      </c>
      <c r="M31" s="72">
        <v>65</v>
      </c>
      <c r="P31" s="8" t="s">
        <v>191</v>
      </c>
      <c r="Q31" s="8" t="s">
        <v>34</v>
      </c>
      <c r="R31" s="8" t="str">
        <f t="shared" si="1"/>
        <v>KashNOVATO</v>
      </c>
      <c r="S31" s="149">
        <f>+S12</f>
        <v>5</v>
      </c>
    </row>
    <row r="32" spans="1:19">
      <c r="B32" s="7"/>
      <c r="D32" s="56"/>
      <c r="E32" s="257"/>
      <c r="F32" s="260"/>
      <c r="I32" t="s">
        <v>32</v>
      </c>
      <c r="J32" t="s">
        <v>37</v>
      </c>
      <c r="K32" t="s">
        <v>186</v>
      </c>
      <c r="L32" t="str">
        <f t="shared" si="0"/>
        <v>WalmartPREMIUMPREMIUM+</v>
      </c>
      <c r="M32" s="72">
        <v>65</v>
      </c>
      <c r="P32" s="8" t="s">
        <v>53</v>
      </c>
      <c r="Q32" s="8" t="s">
        <v>35</v>
      </c>
      <c r="R32" s="8" t="str">
        <f t="shared" si="1"/>
        <v>PRFSEMI SENIOR</v>
      </c>
      <c r="S32" s="148">
        <f>+T5</f>
        <v>45</v>
      </c>
    </row>
    <row r="33" spans="2:19">
      <c r="B33" s="259"/>
      <c r="D33" s="56"/>
      <c r="E33" s="257"/>
      <c r="F33" s="257"/>
      <c r="I33" t="s">
        <v>40</v>
      </c>
      <c r="J33" t="s">
        <v>33</v>
      </c>
      <c r="K33" t="s">
        <v>33</v>
      </c>
      <c r="L33" t="str">
        <f t="shared" si="0"/>
        <v>PricesmartSIN CATEGORIASIN CATEGORIA</v>
      </c>
      <c r="M33" s="72">
        <v>0</v>
      </c>
      <c r="P33" s="8" t="s">
        <v>104</v>
      </c>
      <c r="Q33" s="8" t="s">
        <v>35</v>
      </c>
      <c r="R33" s="8" t="str">
        <f t="shared" si="1"/>
        <v>AdicionalSEMI SENIOR</v>
      </c>
      <c r="S33" s="148">
        <f>+T6</f>
        <v>30</v>
      </c>
    </row>
    <row r="34" spans="2:19">
      <c r="B34" s="259"/>
      <c r="D34" s="56"/>
      <c r="E34" s="257"/>
      <c r="F34" s="260"/>
      <c r="I34" t="s">
        <v>40</v>
      </c>
      <c r="J34" t="s">
        <v>33</v>
      </c>
      <c r="K34" t="s">
        <v>34</v>
      </c>
      <c r="L34" t="str">
        <f t="shared" si="0"/>
        <v>PricesmartSIN CATEGORIANOVATO</v>
      </c>
      <c r="M34" s="72">
        <v>0</v>
      </c>
      <c r="P34" s="8" t="s">
        <v>56</v>
      </c>
      <c r="Q34" s="8" t="s">
        <v>35</v>
      </c>
      <c r="R34" s="8" t="str">
        <f t="shared" si="1"/>
        <v>CompassSEMI SENIOR</v>
      </c>
      <c r="S34" s="148">
        <f>+T7</f>
        <v>15</v>
      </c>
    </row>
    <row r="35" spans="2:19">
      <c r="B35" s="259"/>
      <c r="D35" s="56"/>
      <c r="E35" s="257"/>
      <c r="F35" s="257"/>
      <c r="I35" t="s">
        <v>40</v>
      </c>
      <c r="J35" t="s">
        <v>33</v>
      </c>
      <c r="K35" t="s">
        <v>35</v>
      </c>
      <c r="L35" t="str">
        <f t="shared" si="0"/>
        <v>PricesmartSIN CATEGORIASEMI SENIOR</v>
      </c>
      <c r="M35" s="72">
        <v>0</v>
      </c>
      <c r="P35" s="8" t="s">
        <v>187</v>
      </c>
      <c r="Q35" s="8" t="s">
        <v>35</v>
      </c>
      <c r="R35" s="8" t="str">
        <f t="shared" si="1"/>
        <v>CBSEMI SENIOR</v>
      </c>
      <c r="S35" s="148">
        <f>+T8</f>
        <v>15</v>
      </c>
    </row>
    <row r="36" spans="2:19">
      <c r="B36" s="7"/>
      <c r="D36" s="56"/>
      <c r="E36" s="257"/>
      <c r="F36" s="260"/>
      <c r="I36" t="s">
        <v>40</v>
      </c>
      <c r="J36" t="s">
        <v>33</v>
      </c>
      <c r="K36" t="s">
        <v>36</v>
      </c>
      <c r="L36" t="str">
        <f t="shared" si="0"/>
        <v>PricesmartSIN CATEGORIASENIOR</v>
      </c>
      <c r="M36" s="72">
        <v>0</v>
      </c>
      <c r="P36" s="8" t="s">
        <v>191</v>
      </c>
      <c r="Q36" s="8" t="s">
        <v>35</v>
      </c>
      <c r="R36" s="8" t="str">
        <f t="shared" si="1"/>
        <v>KashSEMI SENIOR</v>
      </c>
      <c r="S36" s="149">
        <f>+T12</f>
        <v>5</v>
      </c>
    </row>
    <row r="37" spans="2:19">
      <c r="B37" s="259"/>
      <c r="D37" s="56"/>
      <c r="E37" s="257"/>
      <c r="F37" s="257"/>
      <c r="I37" t="s">
        <v>40</v>
      </c>
      <c r="J37" t="s">
        <v>33</v>
      </c>
      <c r="K37" t="s">
        <v>37</v>
      </c>
      <c r="L37" t="str">
        <f t="shared" si="0"/>
        <v>PricesmartSIN CATEGORIAPREMIUM</v>
      </c>
      <c r="M37" s="72">
        <v>0</v>
      </c>
      <c r="P37" s="8" t="s">
        <v>53</v>
      </c>
      <c r="Q37" s="8" t="s">
        <v>36</v>
      </c>
      <c r="R37" s="8" t="str">
        <f t="shared" si="1"/>
        <v>PRFSENIOR</v>
      </c>
      <c r="S37" s="148">
        <f>+U5</f>
        <v>60</v>
      </c>
    </row>
    <row r="38" spans="2:19">
      <c r="B38" s="259"/>
      <c r="D38" s="56"/>
      <c r="E38" s="257"/>
      <c r="F38" s="260"/>
      <c r="I38" t="s">
        <v>40</v>
      </c>
      <c r="J38" t="s">
        <v>33</v>
      </c>
      <c r="K38" t="s">
        <v>186</v>
      </c>
      <c r="L38" t="str">
        <f t="shared" si="0"/>
        <v>PricesmartSIN CATEGORIAPREMIUM+</v>
      </c>
      <c r="M38" s="72">
        <v>0</v>
      </c>
      <c r="P38" s="8" t="s">
        <v>104</v>
      </c>
      <c r="Q38" s="8" t="s">
        <v>36</v>
      </c>
      <c r="R38" s="8" t="str">
        <f t="shared" si="1"/>
        <v>AdicionalSENIOR</v>
      </c>
      <c r="S38" s="148">
        <f>+U6</f>
        <v>40</v>
      </c>
    </row>
    <row r="39" spans="2:19">
      <c r="I39" t="s">
        <v>40</v>
      </c>
      <c r="J39" t="s">
        <v>34</v>
      </c>
      <c r="K39" t="s">
        <v>33</v>
      </c>
      <c r="L39" t="str">
        <f t="shared" si="0"/>
        <v>PricesmartNOVATOSIN CATEGORIA</v>
      </c>
      <c r="M39" s="72">
        <v>13</v>
      </c>
      <c r="P39" s="8" t="s">
        <v>56</v>
      </c>
      <c r="Q39" s="8" t="s">
        <v>36</v>
      </c>
      <c r="R39" s="8" t="str">
        <f t="shared" si="1"/>
        <v>CompassSENIOR</v>
      </c>
      <c r="S39" s="148">
        <f>+U7</f>
        <v>20</v>
      </c>
    </row>
    <row r="40" spans="2:19">
      <c r="I40" t="s">
        <v>40</v>
      </c>
      <c r="J40" t="s">
        <v>34</v>
      </c>
      <c r="K40" t="s">
        <v>34</v>
      </c>
      <c r="L40" t="str">
        <f t="shared" si="0"/>
        <v>PricesmartNOVATONOVATO</v>
      </c>
      <c r="M40" s="72">
        <v>18</v>
      </c>
      <c r="P40" s="8" t="s">
        <v>187</v>
      </c>
      <c r="Q40" s="8" t="s">
        <v>36</v>
      </c>
      <c r="R40" s="8" t="str">
        <f t="shared" si="1"/>
        <v>CBSENIOR</v>
      </c>
      <c r="S40" s="148">
        <f>+U8</f>
        <v>20</v>
      </c>
    </row>
    <row r="41" spans="2:19">
      <c r="I41" t="s">
        <v>40</v>
      </c>
      <c r="J41" t="s">
        <v>34</v>
      </c>
      <c r="K41" t="s">
        <v>35</v>
      </c>
      <c r="L41" t="str">
        <f t="shared" si="0"/>
        <v>PricesmartNOVATOSEMI SENIOR</v>
      </c>
      <c r="M41" s="72">
        <v>18</v>
      </c>
      <c r="P41" s="8" t="s">
        <v>191</v>
      </c>
      <c r="Q41" s="8" t="s">
        <v>36</v>
      </c>
      <c r="R41" s="8" t="str">
        <f t="shared" si="1"/>
        <v>KashSENIOR</v>
      </c>
      <c r="S41" s="149">
        <f>+U12</f>
        <v>5</v>
      </c>
    </row>
    <row r="42" spans="2:19">
      <c r="I42" t="s">
        <v>40</v>
      </c>
      <c r="J42" t="s">
        <v>34</v>
      </c>
      <c r="K42" t="s">
        <v>36</v>
      </c>
      <c r="L42" t="str">
        <f t="shared" si="0"/>
        <v>PricesmartNOVATOSENIOR</v>
      </c>
      <c r="M42" s="72">
        <v>18</v>
      </c>
      <c r="P42" s="8" t="s">
        <v>53</v>
      </c>
      <c r="Q42" s="8" t="s">
        <v>37</v>
      </c>
      <c r="R42" s="8" t="str">
        <f t="shared" si="1"/>
        <v>PRFPREMIUM</v>
      </c>
      <c r="S42" s="148">
        <f>+V5</f>
        <v>90</v>
      </c>
    </row>
    <row r="43" spans="2:19">
      <c r="I43" t="s">
        <v>40</v>
      </c>
      <c r="J43" t="s">
        <v>34</v>
      </c>
      <c r="K43" t="s">
        <v>37</v>
      </c>
      <c r="L43" t="str">
        <f t="shared" si="0"/>
        <v>PricesmartNOVATOPREMIUM</v>
      </c>
      <c r="M43" s="72">
        <v>18</v>
      </c>
      <c r="P43" s="8" t="s">
        <v>104</v>
      </c>
      <c r="Q43" s="8" t="s">
        <v>37</v>
      </c>
      <c r="R43" s="8" t="str">
        <f t="shared" si="1"/>
        <v>AdicionalPREMIUM</v>
      </c>
      <c r="S43" s="148">
        <f>+V6</f>
        <v>60</v>
      </c>
    </row>
    <row r="44" spans="2:19">
      <c r="I44" t="s">
        <v>40</v>
      </c>
      <c r="J44" t="s">
        <v>34</v>
      </c>
      <c r="K44" t="s">
        <v>186</v>
      </c>
      <c r="L44" t="str">
        <f t="shared" si="0"/>
        <v>PricesmartNOVATOPREMIUM+</v>
      </c>
      <c r="M44" s="72">
        <v>18</v>
      </c>
      <c r="P44" s="8" t="s">
        <v>56</v>
      </c>
      <c r="Q44" s="8" t="s">
        <v>37</v>
      </c>
      <c r="R44" s="8" t="str">
        <f t="shared" si="1"/>
        <v>CompassPREMIUM</v>
      </c>
      <c r="S44" s="148">
        <f>+V7</f>
        <v>30</v>
      </c>
    </row>
    <row r="45" spans="2:19">
      <c r="I45" t="s">
        <v>40</v>
      </c>
      <c r="J45" t="s">
        <v>35</v>
      </c>
      <c r="K45" t="s">
        <v>33</v>
      </c>
      <c r="L45" t="str">
        <f t="shared" si="0"/>
        <v>PricesmartSEMI SENIORSIN CATEGORIA</v>
      </c>
      <c r="M45" s="72">
        <v>18</v>
      </c>
      <c r="P45" s="8" t="s">
        <v>187</v>
      </c>
      <c r="Q45" s="8" t="s">
        <v>37</v>
      </c>
      <c r="R45" s="8" t="str">
        <f t="shared" si="1"/>
        <v>CBPREMIUM</v>
      </c>
      <c r="S45" s="148">
        <f>+V8</f>
        <v>30</v>
      </c>
    </row>
    <row r="46" spans="2:19">
      <c r="I46" t="s">
        <v>40</v>
      </c>
      <c r="J46" t="s">
        <v>35</v>
      </c>
      <c r="K46" t="s">
        <v>34</v>
      </c>
      <c r="L46" t="str">
        <f t="shared" si="0"/>
        <v>PricesmartSEMI SENIORNOVATO</v>
      </c>
      <c r="M46" s="72">
        <v>20</v>
      </c>
      <c r="P46" s="8" t="s">
        <v>191</v>
      </c>
      <c r="Q46" s="8" t="s">
        <v>37</v>
      </c>
      <c r="R46" s="8" t="str">
        <f t="shared" si="1"/>
        <v>KashPREMIUM</v>
      </c>
      <c r="S46" s="149">
        <f>+V12</f>
        <v>5</v>
      </c>
    </row>
    <row r="47" spans="2:19">
      <c r="I47" t="s">
        <v>40</v>
      </c>
      <c r="J47" t="s">
        <v>35</v>
      </c>
      <c r="K47" t="s">
        <v>35</v>
      </c>
      <c r="L47" t="str">
        <f t="shared" si="0"/>
        <v>PricesmartSEMI SENIORSEMI SENIOR</v>
      </c>
      <c r="M47" s="72">
        <v>30</v>
      </c>
      <c r="P47" s="8" t="s">
        <v>53</v>
      </c>
      <c r="Q47" s="8" t="s">
        <v>186</v>
      </c>
      <c r="R47" s="8" t="str">
        <f t="shared" si="1"/>
        <v>PRFPREMIUM+</v>
      </c>
      <c r="S47" s="148">
        <f>+W5</f>
        <v>95</v>
      </c>
    </row>
    <row r="48" spans="2:19">
      <c r="I48" t="s">
        <v>40</v>
      </c>
      <c r="J48" t="s">
        <v>35</v>
      </c>
      <c r="K48" t="s">
        <v>36</v>
      </c>
      <c r="L48" t="str">
        <f t="shared" si="0"/>
        <v>PricesmartSEMI SENIORSENIOR</v>
      </c>
      <c r="M48" s="72">
        <v>30</v>
      </c>
      <c r="P48" s="8" t="s">
        <v>104</v>
      </c>
      <c r="Q48" s="8" t="s">
        <v>186</v>
      </c>
      <c r="R48" s="8" t="str">
        <f t="shared" si="1"/>
        <v>AdicionalPREMIUM+</v>
      </c>
      <c r="S48" s="148">
        <f>+W6</f>
        <v>65</v>
      </c>
    </row>
    <row r="49" spans="9:19">
      <c r="I49" t="s">
        <v>40</v>
      </c>
      <c r="J49" t="s">
        <v>35</v>
      </c>
      <c r="K49" t="s">
        <v>37</v>
      </c>
      <c r="L49" t="str">
        <f t="shared" si="0"/>
        <v>PricesmartSEMI SENIORPREMIUM</v>
      </c>
      <c r="M49" s="72">
        <v>30</v>
      </c>
      <c r="P49" s="8" t="s">
        <v>56</v>
      </c>
      <c r="Q49" s="8" t="s">
        <v>186</v>
      </c>
      <c r="R49" s="8" t="str">
        <f t="shared" si="1"/>
        <v>CompassPREMIUM+</v>
      </c>
      <c r="S49" s="148">
        <f>+W7</f>
        <v>32.5</v>
      </c>
    </row>
    <row r="50" spans="9:19">
      <c r="I50" t="s">
        <v>40</v>
      </c>
      <c r="J50" t="s">
        <v>35</v>
      </c>
      <c r="K50" t="s">
        <v>186</v>
      </c>
      <c r="L50" t="str">
        <f t="shared" si="0"/>
        <v>PricesmartSEMI SENIORPREMIUM+</v>
      </c>
      <c r="M50" s="72">
        <v>30</v>
      </c>
      <c r="P50" s="8" t="s">
        <v>187</v>
      </c>
      <c r="Q50" s="8" t="s">
        <v>186</v>
      </c>
      <c r="R50" s="8" t="str">
        <f t="shared" si="1"/>
        <v>CBPREMIUM+</v>
      </c>
      <c r="S50" s="148">
        <f>+W8</f>
        <v>32</v>
      </c>
    </row>
    <row r="51" spans="9:19">
      <c r="I51" t="s">
        <v>40</v>
      </c>
      <c r="J51" t="s">
        <v>36</v>
      </c>
      <c r="K51" t="s">
        <v>33</v>
      </c>
      <c r="L51" t="str">
        <f t="shared" si="0"/>
        <v>PricesmartSENIORSIN CATEGORIA</v>
      </c>
      <c r="M51" s="72">
        <v>35</v>
      </c>
      <c r="P51" s="8" t="s">
        <v>191</v>
      </c>
      <c r="Q51" s="8" t="s">
        <v>186</v>
      </c>
      <c r="R51" s="8" t="str">
        <f t="shared" si="1"/>
        <v>KashPREMIUM+</v>
      </c>
      <c r="S51" s="149">
        <f>+W12</f>
        <v>5</v>
      </c>
    </row>
    <row r="52" spans="9:19">
      <c r="I52" t="s">
        <v>40</v>
      </c>
      <c r="J52" t="s">
        <v>36</v>
      </c>
      <c r="K52" t="s">
        <v>34</v>
      </c>
      <c r="L52" t="str">
        <f t="shared" si="0"/>
        <v>PricesmartSENIORNOVATO</v>
      </c>
      <c r="M52" s="72">
        <v>40</v>
      </c>
    </row>
    <row r="53" spans="9:19">
      <c r="I53" t="s">
        <v>40</v>
      </c>
      <c r="J53" t="s">
        <v>36</v>
      </c>
      <c r="K53" t="s">
        <v>35</v>
      </c>
      <c r="L53" t="str">
        <f t="shared" si="0"/>
        <v>PricesmartSENIORSEMI SENIOR</v>
      </c>
      <c r="M53" s="72">
        <v>40</v>
      </c>
    </row>
    <row r="54" spans="9:19">
      <c r="I54" t="s">
        <v>40</v>
      </c>
      <c r="J54" t="s">
        <v>36</v>
      </c>
      <c r="K54" t="s">
        <v>36</v>
      </c>
      <c r="L54" t="str">
        <f t="shared" si="0"/>
        <v>PricesmartSENIORSENIOR</v>
      </c>
      <c r="M54" s="72">
        <v>45</v>
      </c>
    </row>
    <row r="55" spans="9:19">
      <c r="I55" t="s">
        <v>40</v>
      </c>
      <c r="J55" t="s">
        <v>36</v>
      </c>
      <c r="K55" t="s">
        <v>37</v>
      </c>
      <c r="L55" t="str">
        <f t="shared" si="0"/>
        <v>PricesmartSENIORPREMIUM</v>
      </c>
      <c r="M55" s="72">
        <v>45</v>
      </c>
    </row>
    <row r="56" spans="9:19">
      <c r="I56" t="s">
        <v>40</v>
      </c>
      <c r="J56" t="s">
        <v>36</v>
      </c>
      <c r="K56" t="s">
        <v>186</v>
      </c>
      <c r="L56" t="str">
        <f t="shared" si="0"/>
        <v>PricesmartSENIORPREMIUM+</v>
      </c>
      <c r="M56" s="72">
        <v>45</v>
      </c>
    </row>
    <row r="57" spans="9:19">
      <c r="I57" t="s">
        <v>40</v>
      </c>
      <c r="J57" t="s">
        <v>37</v>
      </c>
      <c r="K57" t="s">
        <v>33</v>
      </c>
      <c r="L57" t="str">
        <f t="shared" si="0"/>
        <v>PricesmartPREMIUMSIN CATEGORIA</v>
      </c>
      <c r="M57" s="72">
        <v>50</v>
      </c>
    </row>
    <row r="58" spans="9:19">
      <c r="I58" t="s">
        <v>40</v>
      </c>
      <c r="J58" t="s">
        <v>37</v>
      </c>
      <c r="K58" t="s">
        <v>34</v>
      </c>
      <c r="L58" t="str">
        <f t="shared" si="0"/>
        <v>PricesmartPREMIUMNOVATO</v>
      </c>
      <c r="M58" s="72">
        <v>60</v>
      </c>
    </row>
    <row r="59" spans="9:19">
      <c r="I59" t="s">
        <v>40</v>
      </c>
      <c r="J59" t="s">
        <v>37</v>
      </c>
      <c r="K59" t="s">
        <v>35</v>
      </c>
      <c r="L59" t="str">
        <f t="shared" si="0"/>
        <v>PricesmartPREMIUMSEMI SENIOR</v>
      </c>
      <c r="M59" s="72">
        <v>60</v>
      </c>
    </row>
    <row r="60" spans="9:19">
      <c r="I60" t="s">
        <v>40</v>
      </c>
      <c r="J60" t="s">
        <v>37</v>
      </c>
      <c r="K60" t="s">
        <v>36</v>
      </c>
      <c r="L60" t="str">
        <f t="shared" si="0"/>
        <v>PricesmartPREMIUMSENIOR</v>
      </c>
      <c r="M60" s="72">
        <v>60</v>
      </c>
    </row>
    <row r="61" spans="9:19">
      <c r="I61" t="s">
        <v>40</v>
      </c>
      <c r="J61" t="s">
        <v>37</v>
      </c>
      <c r="K61" t="s">
        <v>37</v>
      </c>
      <c r="L61" t="str">
        <f t="shared" si="0"/>
        <v>PricesmartPREMIUMPREMIUM</v>
      </c>
      <c r="M61" s="72">
        <v>65</v>
      </c>
    </row>
    <row r="62" spans="9:19">
      <c r="I62" t="s">
        <v>40</v>
      </c>
      <c r="J62" t="s">
        <v>37</v>
      </c>
      <c r="K62" t="s">
        <v>186</v>
      </c>
      <c r="L62" t="str">
        <f t="shared" si="0"/>
        <v>PricesmartPREMIUMPREMIUM+</v>
      </c>
      <c r="M62" s="72">
        <v>65</v>
      </c>
    </row>
    <row r="63" spans="9:19">
      <c r="I63" t="s">
        <v>41</v>
      </c>
      <c r="J63" t="s">
        <v>33</v>
      </c>
      <c r="K63" t="s">
        <v>33</v>
      </c>
      <c r="L63" t="str">
        <f t="shared" si="0"/>
        <v>AgenciasSIN CATEGORIASIN CATEGORIA</v>
      </c>
      <c r="M63" s="72">
        <v>0</v>
      </c>
    </row>
    <row r="64" spans="9:19">
      <c r="I64" t="s">
        <v>41</v>
      </c>
      <c r="J64" t="s">
        <v>33</v>
      </c>
      <c r="K64" t="s">
        <v>34</v>
      </c>
      <c r="L64" t="str">
        <f t="shared" si="0"/>
        <v>AgenciasSIN CATEGORIANOVATO</v>
      </c>
      <c r="M64" s="72">
        <v>0</v>
      </c>
    </row>
    <row r="65" spans="9:13">
      <c r="I65" t="s">
        <v>41</v>
      </c>
      <c r="J65" t="s">
        <v>33</v>
      </c>
      <c r="K65" t="s">
        <v>35</v>
      </c>
      <c r="L65" t="str">
        <f t="shared" si="0"/>
        <v>AgenciasSIN CATEGORIASEMI SENIOR</v>
      </c>
      <c r="M65" s="72">
        <v>0</v>
      </c>
    </row>
    <row r="66" spans="9:13">
      <c r="I66" t="s">
        <v>41</v>
      </c>
      <c r="J66" t="s">
        <v>33</v>
      </c>
      <c r="K66" t="s">
        <v>36</v>
      </c>
      <c r="L66" t="str">
        <f t="shared" si="0"/>
        <v>AgenciasSIN CATEGORIASENIOR</v>
      </c>
      <c r="M66" s="72">
        <v>0</v>
      </c>
    </row>
    <row r="67" spans="9:13">
      <c r="I67" t="s">
        <v>41</v>
      </c>
      <c r="J67" t="s">
        <v>33</v>
      </c>
      <c r="K67" t="s">
        <v>37</v>
      </c>
      <c r="L67" t="str">
        <f t="shared" si="0"/>
        <v>AgenciasSIN CATEGORIAPREMIUM</v>
      </c>
      <c r="M67" s="72">
        <v>0</v>
      </c>
    </row>
    <row r="68" spans="9:13">
      <c r="I68" t="s">
        <v>41</v>
      </c>
      <c r="J68" t="s">
        <v>33</v>
      </c>
      <c r="K68" t="s">
        <v>186</v>
      </c>
      <c r="L68" t="str">
        <f t="shared" ref="L68:L122" si="3">_xlfn.CONCAT(I68:K68)</f>
        <v>AgenciasSIN CATEGORIAPREMIUM+</v>
      </c>
      <c r="M68" s="72">
        <v>0</v>
      </c>
    </row>
    <row r="69" spans="9:13">
      <c r="I69" t="s">
        <v>41</v>
      </c>
      <c r="J69" t="s">
        <v>34</v>
      </c>
      <c r="K69" t="s">
        <v>33</v>
      </c>
      <c r="L69" t="str">
        <f t="shared" si="3"/>
        <v>AgenciasNOVATOSIN CATEGORIA</v>
      </c>
      <c r="M69" s="72">
        <v>13</v>
      </c>
    </row>
    <row r="70" spans="9:13">
      <c r="I70" t="s">
        <v>41</v>
      </c>
      <c r="J70" t="s">
        <v>34</v>
      </c>
      <c r="K70" t="s">
        <v>34</v>
      </c>
      <c r="L70" t="str">
        <f t="shared" si="3"/>
        <v>AgenciasNOVATONOVATO</v>
      </c>
      <c r="M70" s="72">
        <v>18</v>
      </c>
    </row>
    <row r="71" spans="9:13">
      <c r="I71" t="s">
        <v>41</v>
      </c>
      <c r="J71" t="s">
        <v>34</v>
      </c>
      <c r="K71" t="s">
        <v>35</v>
      </c>
      <c r="L71" t="str">
        <f t="shared" si="3"/>
        <v>AgenciasNOVATOSEMI SENIOR</v>
      </c>
      <c r="M71" s="72">
        <v>18</v>
      </c>
    </row>
    <row r="72" spans="9:13">
      <c r="I72" t="s">
        <v>41</v>
      </c>
      <c r="J72" t="s">
        <v>34</v>
      </c>
      <c r="K72" t="s">
        <v>36</v>
      </c>
      <c r="L72" t="str">
        <f t="shared" si="3"/>
        <v>AgenciasNOVATOSENIOR</v>
      </c>
      <c r="M72" s="72">
        <v>18</v>
      </c>
    </row>
    <row r="73" spans="9:13">
      <c r="I73" t="s">
        <v>41</v>
      </c>
      <c r="J73" t="s">
        <v>34</v>
      </c>
      <c r="K73" t="s">
        <v>37</v>
      </c>
      <c r="L73" t="str">
        <f t="shared" si="3"/>
        <v>AgenciasNOVATOPREMIUM</v>
      </c>
      <c r="M73" s="72">
        <v>18</v>
      </c>
    </row>
    <row r="74" spans="9:13">
      <c r="I74" t="s">
        <v>41</v>
      </c>
      <c r="J74" t="s">
        <v>34</v>
      </c>
      <c r="K74" t="s">
        <v>186</v>
      </c>
      <c r="L74" t="str">
        <f t="shared" si="3"/>
        <v>AgenciasNOVATOPREMIUM+</v>
      </c>
      <c r="M74" s="72">
        <v>18</v>
      </c>
    </row>
    <row r="75" spans="9:13">
      <c r="I75" t="s">
        <v>41</v>
      </c>
      <c r="J75" t="s">
        <v>35</v>
      </c>
      <c r="K75" t="s">
        <v>33</v>
      </c>
      <c r="L75" t="str">
        <f t="shared" si="3"/>
        <v>AgenciasSEMI SENIORSIN CATEGORIA</v>
      </c>
      <c r="M75" s="72">
        <v>18</v>
      </c>
    </row>
    <row r="76" spans="9:13">
      <c r="I76" t="s">
        <v>41</v>
      </c>
      <c r="J76" t="s">
        <v>35</v>
      </c>
      <c r="K76" t="s">
        <v>34</v>
      </c>
      <c r="L76" t="str">
        <f t="shared" si="3"/>
        <v>AgenciasSEMI SENIORNOVATO</v>
      </c>
      <c r="M76" s="72">
        <v>20</v>
      </c>
    </row>
    <row r="77" spans="9:13">
      <c r="I77" t="s">
        <v>41</v>
      </c>
      <c r="J77" t="s">
        <v>35</v>
      </c>
      <c r="K77" t="s">
        <v>35</v>
      </c>
      <c r="L77" t="str">
        <f t="shared" si="3"/>
        <v>AgenciasSEMI SENIORSEMI SENIOR</v>
      </c>
      <c r="M77" s="72">
        <v>30</v>
      </c>
    </row>
    <row r="78" spans="9:13">
      <c r="I78" t="s">
        <v>41</v>
      </c>
      <c r="J78" t="s">
        <v>35</v>
      </c>
      <c r="K78" t="s">
        <v>36</v>
      </c>
      <c r="L78" t="str">
        <f t="shared" si="3"/>
        <v>AgenciasSEMI SENIORSENIOR</v>
      </c>
      <c r="M78" s="72">
        <v>30</v>
      </c>
    </row>
    <row r="79" spans="9:13">
      <c r="I79" t="s">
        <v>41</v>
      </c>
      <c r="J79" t="s">
        <v>35</v>
      </c>
      <c r="K79" t="s">
        <v>37</v>
      </c>
      <c r="L79" t="str">
        <f t="shared" si="3"/>
        <v>AgenciasSEMI SENIORPREMIUM</v>
      </c>
      <c r="M79" s="72">
        <v>30</v>
      </c>
    </row>
    <row r="80" spans="9:13">
      <c r="I80" t="s">
        <v>41</v>
      </c>
      <c r="J80" t="s">
        <v>35</v>
      </c>
      <c r="K80" t="s">
        <v>186</v>
      </c>
      <c r="L80" t="str">
        <f t="shared" si="3"/>
        <v>AgenciasSEMI SENIORPREMIUM+</v>
      </c>
      <c r="M80" s="72">
        <v>30</v>
      </c>
    </row>
    <row r="81" spans="9:13">
      <c r="I81" t="s">
        <v>41</v>
      </c>
      <c r="J81" t="s">
        <v>36</v>
      </c>
      <c r="K81" t="s">
        <v>33</v>
      </c>
      <c r="L81" t="str">
        <f t="shared" si="3"/>
        <v>AgenciasSENIORSIN CATEGORIA</v>
      </c>
      <c r="M81" s="72">
        <v>35</v>
      </c>
    </row>
    <row r="82" spans="9:13">
      <c r="I82" t="s">
        <v>41</v>
      </c>
      <c r="J82" t="s">
        <v>36</v>
      </c>
      <c r="K82" t="s">
        <v>34</v>
      </c>
      <c r="L82" t="str">
        <f t="shared" si="3"/>
        <v>AgenciasSENIORNOVATO</v>
      </c>
      <c r="M82" s="72">
        <v>40</v>
      </c>
    </row>
    <row r="83" spans="9:13">
      <c r="I83" t="s">
        <v>41</v>
      </c>
      <c r="J83" t="s">
        <v>36</v>
      </c>
      <c r="K83" t="s">
        <v>35</v>
      </c>
      <c r="L83" t="str">
        <f t="shared" si="3"/>
        <v>AgenciasSENIORSEMI SENIOR</v>
      </c>
      <c r="M83" s="72">
        <v>40</v>
      </c>
    </row>
    <row r="84" spans="9:13">
      <c r="I84" t="s">
        <v>41</v>
      </c>
      <c r="J84" t="s">
        <v>36</v>
      </c>
      <c r="K84" t="s">
        <v>36</v>
      </c>
      <c r="L84" t="str">
        <f t="shared" si="3"/>
        <v>AgenciasSENIORSENIOR</v>
      </c>
      <c r="M84" s="72">
        <v>45</v>
      </c>
    </row>
    <row r="85" spans="9:13">
      <c r="I85" t="s">
        <v>41</v>
      </c>
      <c r="J85" t="s">
        <v>36</v>
      </c>
      <c r="K85" t="s">
        <v>37</v>
      </c>
      <c r="L85" t="str">
        <f t="shared" si="3"/>
        <v>AgenciasSENIORPREMIUM</v>
      </c>
      <c r="M85" s="72">
        <v>45</v>
      </c>
    </row>
    <row r="86" spans="9:13">
      <c r="I86" t="s">
        <v>41</v>
      </c>
      <c r="J86" t="s">
        <v>36</v>
      </c>
      <c r="K86" t="s">
        <v>186</v>
      </c>
      <c r="L86" t="str">
        <f t="shared" si="3"/>
        <v>AgenciasSENIORPREMIUM+</v>
      </c>
      <c r="M86" s="72">
        <v>45</v>
      </c>
    </row>
    <row r="87" spans="9:13">
      <c r="I87" t="s">
        <v>41</v>
      </c>
      <c r="J87" t="s">
        <v>37</v>
      </c>
      <c r="K87" t="s">
        <v>33</v>
      </c>
      <c r="L87" t="str">
        <f t="shared" si="3"/>
        <v>AgenciasPREMIUMSIN CATEGORIA</v>
      </c>
      <c r="M87" s="72">
        <v>50</v>
      </c>
    </row>
    <row r="88" spans="9:13">
      <c r="I88" t="s">
        <v>41</v>
      </c>
      <c r="J88" t="s">
        <v>37</v>
      </c>
      <c r="K88" t="s">
        <v>34</v>
      </c>
      <c r="L88" t="str">
        <f t="shared" si="3"/>
        <v>AgenciasPREMIUMNOVATO</v>
      </c>
      <c r="M88" s="72">
        <v>60</v>
      </c>
    </row>
    <row r="89" spans="9:13">
      <c r="I89" t="s">
        <v>41</v>
      </c>
      <c r="J89" t="s">
        <v>37</v>
      </c>
      <c r="K89" t="s">
        <v>35</v>
      </c>
      <c r="L89" t="str">
        <f t="shared" si="3"/>
        <v>AgenciasPREMIUMSEMI SENIOR</v>
      </c>
      <c r="M89" s="72">
        <v>60</v>
      </c>
    </row>
    <row r="90" spans="9:13">
      <c r="I90" t="s">
        <v>41</v>
      </c>
      <c r="J90" t="s">
        <v>37</v>
      </c>
      <c r="K90" t="s">
        <v>36</v>
      </c>
      <c r="L90" t="str">
        <f t="shared" si="3"/>
        <v>AgenciasPREMIUMSENIOR</v>
      </c>
      <c r="M90" s="72">
        <v>60</v>
      </c>
    </row>
    <row r="91" spans="9:13">
      <c r="I91" t="s">
        <v>41</v>
      </c>
      <c r="J91" t="s">
        <v>37</v>
      </c>
      <c r="K91" t="s">
        <v>37</v>
      </c>
      <c r="L91" t="str">
        <f t="shared" si="3"/>
        <v>AgenciasPREMIUMPREMIUM</v>
      </c>
      <c r="M91" s="72">
        <v>65</v>
      </c>
    </row>
    <row r="92" spans="9:13">
      <c r="I92" t="s">
        <v>41</v>
      </c>
      <c r="J92" t="s">
        <v>37</v>
      </c>
      <c r="K92" t="s">
        <v>186</v>
      </c>
      <c r="L92" t="str">
        <f t="shared" si="3"/>
        <v>AgenciasPREMIUMPREMIUM+</v>
      </c>
      <c r="M92" s="72">
        <v>65</v>
      </c>
    </row>
    <row r="93" spans="9:13">
      <c r="I93" t="s">
        <v>42</v>
      </c>
      <c r="J93" t="s">
        <v>33</v>
      </c>
      <c r="K93" t="s">
        <v>33</v>
      </c>
      <c r="L93" t="str">
        <f t="shared" si="3"/>
        <v>Ventas OficinaSIN CATEGORIASIN CATEGORIA</v>
      </c>
      <c r="M93" s="72">
        <v>0</v>
      </c>
    </row>
    <row r="94" spans="9:13">
      <c r="I94" t="s">
        <v>42</v>
      </c>
      <c r="J94" t="s">
        <v>33</v>
      </c>
      <c r="K94" t="s">
        <v>34</v>
      </c>
      <c r="L94" t="str">
        <f t="shared" si="3"/>
        <v>Ventas OficinaSIN CATEGORIANOVATO</v>
      </c>
      <c r="M94" s="72">
        <v>0</v>
      </c>
    </row>
    <row r="95" spans="9:13">
      <c r="I95" t="s">
        <v>42</v>
      </c>
      <c r="J95" t="s">
        <v>33</v>
      </c>
      <c r="K95" t="s">
        <v>35</v>
      </c>
      <c r="L95" t="str">
        <f t="shared" si="3"/>
        <v>Ventas OficinaSIN CATEGORIASEMI SENIOR</v>
      </c>
      <c r="M95" s="72">
        <v>0</v>
      </c>
    </row>
    <row r="96" spans="9:13">
      <c r="I96" t="s">
        <v>42</v>
      </c>
      <c r="J96" t="s">
        <v>33</v>
      </c>
      <c r="K96" t="s">
        <v>36</v>
      </c>
      <c r="L96" t="str">
        <f t="shared" si="3"/>
        <v>Ventas OficinaSIN CATEGORIASENIOR</v>
      </c>
      <c r="M96" s="72">
        <v>0</v>
      </c>
    </row>
    <row r="97" spans="9:13">
      <c r="I97" t="s">
        <v>42</v>
      </c>
      <c r="J97" t="s">
        <v>33</v>
      </c>
      <c r="K97" t="s">
        <v>37</v>
      </c>
      <c r="L97" t="str">
        <f t="shared" si="3"/>
        <v>Ventas OficinaSIN CATEGORIAPREMIUM</v>
      </c>
      <c r="M97" s="72">
        <v>0</v>
      </c>
    </row>
    <row r="98" spans="9:13">
      <c r="I98" t="s">
        <v>42</v>
      </c>
      <c r="J98" t="s">
        <v>33</v>
      </c>
      <c r="K98" t="s">
        <v>186</v>
      </c>
      <c r="L98" t="str">
        <f t="shared" si="3"/>
        <v>Ventas OficinaSIN CATEGORIAPREMIUM+</v>
      </c>
      <c r="M98" s="72">
        <v>0</v>
      </c>
    </row>
    <row r="99" spans="9:13">
      <c r="I99" t="s">
        <v>42</v>
      </c>
      <c r="J99" t="s">
        <v>34</v>
      </c>
      <c r="K99" t="s">
        <v>33</v>
      </c>
      <c r="L99" t="str">
        <f t="shared" si="3"/>
        <v>Ventas OficinaNOVATOSIN CATEGORIA</v>
      </c>
      <c r="M99" s="72">
        <v>13</v>
      </c>
    </row>
    <row r="100" spans="9:13">
      <c r="I100" t="s">
        <v>42</v>
      </c>
      <c r="J100" t="s">
        <v>34</v>
      </c>
      <c r="K100" t="s">
        <v>34</v>
      </c>
      <c r="L100" t="str">
        <f t="shared" si="3"/>
        <v>Ventas OficinaNOVATONOVATO</v>
      </c>
      <c r="M100" s="72">
        <v>20</v>
      </c>
    </row>
    <row r="101" spans="9:13">
      <c r="I101" t="s">
        <v>42</v>
      </c>
      <c r="J101" t="s">
        <v>34</v>
      </c>
      <c r="K101" t="s">
        <v>35</v>
      </c>
      <c r="L101" t="str">
        <f t="shared" si="3"/>
        <v>Ventas OficinaNOVATOSEMI SENIOR</v>
      </c>
      <c r="M101" s="72">
        <v>20</v>
      </c>
    </row>
    <row r="102" spans="9:13">
      <c r="I102" t="s">
        <v>42</v>
      </c>
      <c r="J102" t="s">
        <v>34</v>
      </c>
      <c r="K102" t="s">
        <v>36</v>
      </c>
      <c r="L102" t="str">
        <f t="shared" si="3"/>
        <v>Ventas OficinaNOVATOSENIOR</v>
      </c>
      <c r="M102" s="72">
        <v>20</v>
      </c>
    </row>
    <row r="103" spans="9:13">
      <c r="I103" t="s">
        <v>42</v>
      </c>
      <c r="J103" t="s">
        <v>34</v>
      </c>
      <c r="K103" t="s">
        <v>37</v>
      </c>
      <c r="L103" t="str">
        <f t="shared" si="3"/>
        <v>Ventas OficinaNOVATOPREMIUM</v>
      </c>
      <c r="M103" s="72">
        <v>20</v>
      </c>
    </row>
    <row r="104" spans="9:13">
      <c r="I104" t="s">
        <v>42</v>
      </c>
      <c r="J104" t="s">
        <v>34</v>
      </c>
      <c r="K104" t="s">
        <v>186</v>
      </c>
      <c r="L104" t="str">
        <f t="shared" si="3"/>
        <v>Ventas OficinaNOVATOPREMIUM+</v>
      </c>
      <c r="M104" s="72">
        <v>20</v>
      </c>
    </row>
    <row r="105" spans="9:13">
      <c r="I105" t="s">
        <v>42</v>
      </c>
      <c r="J105" t="s">
        <v>35</v>
      </c>
      <c r="K105" t="s">
        <v>33</v>
      </c>
      <c r="L105" t="str">
        <f t="shared" si="3"/>
        <v>Ventas OficinaSEMI SENIORSIN CATEGORIA</v>
      </c>
      <c r="M105" s="72">
        <v>30</v>
      </c>
    </row>
    <row r="106" spans="9:13">
      <c r="I106" t="s">
        <v>42</v>
      </c>
      <c r="J106" t="s">
        <v>35</v>
      </c>
      <c r="K106" t="s">
        <v>34</v>
      </c>
      <c r="L106" t="str">
        <f t="shared" si="3"/>
        <v>Ventas OficinaSEMI SENIORNOVATO</v>
      </c>
      <c r="M106" s="72">
        <v>35</v>
      </c>
    </row>
    <row r="107" spans="9:13">
      <c r="I107" t="s">
        <v>42</v>
      </c>
      <c r="J107" t="s">
        <v>35</v>
      </c>
      <c r="K107" t="s">
        <v>35</v>
      </c>
      <c r="L107" t="str">
        <f t="shared" si="3"/>
        <v>Ventas OficinaSEMI SENIORSEMI SENIOR</v>
      </c>
      <c r="M107" s="72">
        <v>40</v>
      </c>
    </row>
    <row r="108" spans="9:13">
      <c r="I108" t="s">
        <v>42</v>
      </c>
      <c r="J108" t="s">
        <v>35</v>
      </c>
      <c r="K108" t="s">
        <v>36</v>
      </c>
      <c r="L108" t="str">
        <f t="shared" si="3"/>
        <v>Ventas OficinaSEMI SENIORSENIOR</v>
      </c>
      <c r="M108" s="72">
        <v>40</v>
      </c>
    </row>
    <row r="109" spans="9:13">
      <c r="I109" t="s">
        <v>42</v>
      </c>
      <c r="J109" t="s">
        <v>35</v>
      </c>
      <c r="K109" t="s">
        <v>37</v>
      </c>
      <c r="L109" t="str">
        <f t="shared" si="3"/>
        <v>Ventas OficinaSEMI SENIORPREMIUM</v>
      </c>
      <c r="M109" s="72">
        <v>40</v>
      </c>
    </row>
    <row r="110" spans="9:13">
      <c r="I110" t="s">
        <v>42</v>
      </c>
      <c r="J110" t="s">
        <v>35</v>
      </c>
      <c r="K110" t="s">
        <v>186</v>
      </c>
      <c r="L110" t="str">
        <f t="shared" si="3"/>
        <v>Ventas OficinaSEMI SENIORPREMIUM+</v>
      </c>
      <c r="M110" s="72">
        <v>40</v>
      </c>
    </row>
    <row r="111" spans="9:13">
      <c r="I111" t="s">
        <v>42</v>
      </c>
      <c r="J111" t="s">
        <v>36</v>
      </c>
      <c r="K111" t="s">
        <v>33</v>
      </c>
      <c r="L111" t="str">
        <f t="shared" si="3"/>
        <v>Ventas OficinaSENIORSIN CATEGORIA</v>
      </c>
      <c r="M111" s="72">
        <v>45</v>
      </c>
    </row>
    <row r="112" spans="9:13">
      <c r="I112" t="s">
        <v>42</v>
      </c>
      <c r="J112" t="s">
        <v>36</v>
      </c>
      <c r="K112" t="s">
        <v>34</v>
      </c>
      <c r="L112" t="str">
        <f t="shared" si="3"/>
        <v>Ventas OficinaSENIORNOVATO</v>
      </c>
      <c r="M112" s="72">
        <v>55</v>
      </c>
    </row>
    <row r="113" spans="9:13">
      <c r="I113" t="s">
        <v>42</v>
      </c>
      <c r="J113" t="s">
        <v>36</v>
      </c>
      <c r="K113" t="s">
        <v>35</v>
      </c>
      <c r="L113" t="str">
        <f t="shared" si="3"/>
        <v>Ventas OficinaSENIORSEMI SENIOR</v>
      </c>
      <c r="M113" s="72">
        <v>55</v>
      </c>
    </row>
    <row r="114" spans="9:13">
      <c r="I114" t="s">
        <v>42</v>
      </c>
      <c r="J114" t="s">
        <v>36</v>
      </c>
      <c r="K114" t="s">
        <v>36</v>
      </c>
      <c r="L114" t="str">
        <f t="shared" si="3"/>
        <v>Ventas OficinaSENIORSENIOR</v>
      </c>
      <c r="M114" s="72">
        <v>60</v>
      </c>
    </row>
    <row r="115" spans="9:13">
      <c r="I115" t="s">
        <v>42</v>
      </c>
      <c r="J115" t="s">
        <v>36</v>
      </c>
      <c r="K115" t="s">
        <v>37</v>
      </c>
      <c r="L115" t="str">
        <f t="shared" si="3"/>
        <v>Ventas OficinaSENIORPREMIUM</v>
      </c>
      <c r="M115" s="72">
        <v>60</v>
      </c>
    </row>
    <row r="116" spans="9:13">
      <c r="I116" t="s">
        <v>42</v>
      </c>
      <c r="J116" t="s">
        <v>36</v>
      </c>
      <c r="K116" t="s">
        <v>186</v>
      </c>
      <c r="L116" t="str">
        <f t="shared" si="3"/>
        <v>Ventas OficinaSENIORPREMIUM+</v>
      </c>
      <c r="M116" s="72">
        <v>60</v>
      </c>
    </row>
    <row r="117" spans="9:13">
      <c r="I117" t="s">
        <v>42</v>
      </c>
      <c r="J117" t="s">
        <v>37</v>
      </c>
      <c r="K117" t="s">
        <v>33</v>
      </c>
      <c r="L117" t="str">
        <f t="shared" si="3"/>
        <v>Ventas OficinaPREMIUMSIN CATEGORIA</v>
      </c>
      <c r="M117" s="72">
        <v>80</v>
      </c>
    </row>
    <row r="118" spans="9:13">
      <c r="I118" t="s">
        <v>42</v>
      </c>
      <c r="J118" t="s">
        <v>37</v>
      </c>
      <c r="K118" t="s">
        <v>34</v>
      </c>
      <c r="L118" t="str">
        <f t="shared" si="3"/>
        <v>Ventas OficinaPREMIUMNOVATO</v>
      </c>
      <c r="M118" s="72">
        <v>90</v>
      </c>
    </row>
    <row r="119" spans="9:13">
      <c r="I119" t="s">
        <v>42</v>
      </c>
      <c r="J119" t="s">
        <v>37</v>
      </c>
      <c r="K119" t="s">
        <v>35</v>
      </c>
      <c r="L119" t="str">
        <f t="shared" si="3"/>
        <v>Ventas OficinaPREMIUMSEMI SENIOR</v>
      </c>
      <c r="M119" s="72">
        <v>90</v>
      </c>
    </row>
    <row r="120" spans="9:13">
      <c r="I120" t="s">
        <v>42</v>
      </c>
      <c r="J120" t="s">
        <v>37</v>
      </c>
      <c r="K120" t="s">
        <v>36</v>
      </c>
      <c r="L120" t="str">
        <f t="shared" si="3"/>
        <v>Ventas OficinaPREMIUMSENIOR</v>
      </c>
      <c r="M120" s="72">
        <v>90</v>
      </c>
    </row>
    <row r="121" spans="9:13">
      <c r="I121" t="s">
        <v>42</v>
      </c>
      <c r="J121" t="s">
        <v>37</v>
      </c>
      <c r="K121" t="s">
        <v>37</v>
      </c>
      <c r="L121" t="str">
        <f t="shared" si="3"/>
        <v>Ventas OficinaPREMIUMPREMIUM</v>
      </c>
      <c r="M121" s="72">
        <v>95</v>
      </c>
    </row>
    <row r="122" spans="9:13">
      <c r="I122" t="s">
        <v>42</v>
      </c>
      <c r="J122" t="s">
        <v>37</v>
      </c>
      <c r="K122" t="s">
        <v>186</v>
      </c>
      <c r="L122" t="str">
        <f t="shared" si="3"/>
        <v>Ventas OficinaPREMIUMPREMIUM+</v>
      </c>
      <c r="M122" s="72">
        <v>95</v>
      </c>
    </row>
  </sheetData>
  <mergeCells count="5">
    <mergeCell ref="A14:C14"/>
    <mergeCell ref="A2:C2"/>
    <mergeCell ref="E2:G2"/>
    <mergeCell ref="J1:L1"/>
    <mergeCell ref="Q1:S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N21"/>
  <sheetViews>
    <sheetView showGridLines="0" zoomScale="70" zoomScaleNormal="70" workbookViewId="0">
      <selection activeCell="L3" sqref="L3"/>
    </sheetView>
  </sheetViews>
  <sheetFormatPr baseColWidth="10" defaultColWidth="41.5703125" defaultRowHeight="15"/>
  <cols>
    <col min="1" max="1" width="4" style="7" bestFit="1" customWidth="1"/>
    <col min="2" max="2" width="7.7109375" style="7" bestFit="1" customWidth="1"/>
    <col min="3" max="3" width="12.5703125" style="7" bestFit="1" customWidth="1"/>
    <col min="4" max="4" width="21.85546875" style="7" bestFit="1" customWidth="1"/>
    <col min="5" max="5" width="31.7109375" style="7" bestFit="1" customWidth="1"/>
    <col min="6" max="6" width="3.42578125" style="7" bestFit="1" customWidth="1"/>
    <col min="7" max="7" width="7.5703125" style="34" bestFit="1" customWidth="1"/>
    <col min="8" max="8" width="6.5703125" style="7" bestFit="1" customWidth="1"/>
    <col min="9" max="9" width="24.42578125" style="7" bestFit="1" customWidth="1"/>
    <col min="10" max="10" width="7.7109375" style="7" bestFit="1" customWidth="1"/>
    <col min="11" max="11" width="6.85546875" style="7" bestFit="1" customWidth="1"/>
    <col min="12" max="12" width="6.42578125" style="7" bestFit="1" customWidth="1"/>
    <col min="13" max="13" width="10.5703125" style="7" bestFit="1" customWidth="1"/>
    <col min="14" max="14" width="8.140625" style="7" bestFit="1" customWidth="1"/>
    <col min="15" max="16384" width="41.5703125" style="7"/>
  </cols>
  <sheetData>
    <row r="1" spans="1:14" ht="30">
      <c r="A1" s="48" t="s">
        <v>133</v>
      </c>
      <c r="B1" s="48" t="s">
        <v>47</v>
      </c>
      <c r="C1" s="48" t="s">
        <v>134</v>
      </c>
      <c r="D1" s="48" t="s">
        <v>135</v>
      </c>
      <c r="E1" s="49" t="s">
        <v>136</v>
      </c>
      <c r="F1" s="48" t="s">
        <v>137</v>
      </c>
      <c r="G1" s="50" t="s">
        <v>138</v>
      </c>
      <c r="H1" s="48" t="s">
        <v>139</v>
      </c>
      <c r="I1" s="48" t="s">
        <v>143</v>
      </c>
      <c r="J1" s="48" t="s">
        <v>145</v>
      </c>
      <c r="K1" s="48" t="s">
        <v>141</v>
      </c>
      <c r="L1" s="48" t="s">
        <v>147</v>
      </c>
      <c r="M1" s="54" t="s">
        <v>101</v>
      </c>
      <c r="N1" s="54" t="s">
        <v>142</v>
      </c>
    </row>
    <row r="2" spans="1:14">
      <c r="A2" s="12"/>
      <c r="B2" s="9"/>
      <c r="C2" s="9"/>
      <c r="D2" s="9"/>
      <c r="E2" s="9"/>
      <c r="F2" s="9"/>
      <c r="G2" s="51"/>
      <c r="H2" s="9"/>
      <c r="I2" s="12"/>
      <c r="J2" s="12"/>
      <c r="K2" s="12"/>
      <c r="L2" s="12"/>
      <c r="M2" s="33">
        <f>IFERROR(VLOOKUP(A2,COMISIONES!$C:$AP,27,0),0)</f>
        <v>0</v>
      </c>
      <c r="N2" s="53">
        <f>M2*B2</f>
        <v>0</v>
      </c>
    </row>
    <row r="3" spans="1:14">
      <c r="A3" s="12"/>
      <c r="B3" s="9"/>
      <c r="C3" s="9"/>
      <c r="D3" s="9"/>
      <c r="E3" s="9"/>
      <c r="F3" s="9"/>
      <c r="G3" s="51"/>
      <c r="H3" s="9"/>
      <c r="I3" s="12"/>
      <c r="J3" s="12"/>
      <c r="K3" s="12"/>
      <c r="L3" s="12"/>
      <c r="M3" s="33">
        <f>IFERROR(VLOOKUP(A3,COMISIONES!$C:$AP,27,0),0)</f>
        <v>0</v>
      </c>
      <c r="N3" s="53">
        <f t="shared" ref="N3:N21" si="0">M3*B3</f>
        <v>0</v>
      </c>
    </row>
    <row r="4" spans="1:14">
      <c r="A4" s="12"/>
      <c r="B4" s="9"/>
      <c r="C4" s="9"/>
      <c r="D4" s="9"/>
      <c r="E4" s="9"/>
      <c r="F4" s="9"/>
      <c r="G4" s="51"/>
      <c r="H4" s="9"/>
      <c r="I4" s="12"/>
      <c r="J4" s="12"/>
      <c r="K4" s="12"/>
      <c r="L4" s="12"/>
      <c r="M4" s="33">
        <f>IFERROR(VLOOKUP(A4,COMISIONES!$C:$AP,27,0),0)</f>
        <v>0</v>
      </c>
      <c r="N4" s="53">
        <f t="shared" si="0"/>
        <v>0</v>
      </c>
    </row>
    <row r="5" spans="1:14">
      <c r="A5" s="12"/>
      <c r="B5" s="9"/>
      <c r="C5" s="9"/>
      <c r="D5" s="9"/>
      <c r="E5" s="9"/>
      <c r="F5" s="9"/>
      <c r="G5" s="51"/>
      <c r="H5" s="9"/>
      <c r="I5" s="12"/>
      <c r="J5" s="12"/>
      <c r="K5" s="12"/>
      <c r="L5" s="12"/>
      <c r="M5" s="33">
        <f>IFERROR(VLOOKUP(A5,COMISIONES!$C:$AP,27,0),0)</f>
        <v>0</v>
      </c>
      <c r="N5" s="53">
        <f t="shared" si="0"/>
        <v>0</v>
      </c>
    </row>
    <row r="6" spans="1:14">
      <c r="A6" s="12"/>
      <c r="B6" s="9"/>
      <c r="C6" s="9"/>
      <c r="D6" s="9"/>
      <c r="E6" s="9"/>
      <c r="F6" s="9"/>
      <c r="G6" s="51"/>
      <c r="H6" s="9"/>
      <c r="I6" s="12"/>
      <c r="J6" s="12"/>
      <c r="K6" s="12"/>
      <c r="L6" s="12"/>
      <c r="M6" s="33">
        <f>IFERROR(VLOOKUP(A6,COMISIONES!$C:$AP,27,0),0)</f>
        <v>0</v>
      </c>
      <c r="N6" s="53">
        <f t="shared" si="0"/>
        <v>0</v>
      </c>
    </row>
    <row r="7" spans="1:14">
      <c r="A7" s="12"/>
      <c r="B7" s="9"/>
      <c r="C7" s="9"/>
      <c r="D7" s="9"/>
      <c r="E7" s="9"/>
      <c r="F7" s="9"/>
      <c r="G7" s="51"/>
      <c r="H7" s="9"/>
      <c r="I7" s="12"/>
      <c r="J7" s="12"/>
      <c r="K7" s="12"/>
      <c r="L7" s="12"/>
      <c r="M7" s="33">
        <f>IFERROR(VLOOKUP(A7,COMISIONES!$C:$AP,27,0),0)</f>
        <v>0</v>
      </c>
      <c r="N7" s="53">
        <f t="shared" si="0"/>
        <v>0</v>
      </c>
    </row>
    <row r="8" spans="1:14">
      <c r="A8" s="12"/>
      <c r="B8" s="9"/>
      <c r="C8" s="9"/>
      <c r="D8" s="9"/>
      <c r="E8" s="9"/>
      <c r="F8" s="9"/>
      <c r="G8" s="51"/>
      <c r="H8" s="9"/>
      <c r="I8" s="12"/>
      <c r="J8" s="12"/>
      <c r="K8" s="12"/>
      <c r="L8" s="12"/>
      <c r="M8" s="33">
        <f>IFERROR(VLOOKUP(A8,COMISIONES!$C:$AP,27,0),0)</f>
        <v>0</v>
      </c>
      <c r="N8" s="53">
        <f t="shared" si="0"/>
        <v>0</v>
      </c>
    </row>
    <row r="9" spans="1:14">
      <c r="A9" s="12"/>
      <c r="B9" s="9"/>
      <c r="C9" s="9"/>
      <c r="D9" s="9"/>
      <c r="E9" s="9"/>
      <c r="F9" s="9"/>
      <c r="G9" s="51"/>
      <c r="H9" s="9"/>
      <c r="I9" s="12"/>
      <c r="J9" s="12"/>
      <c r="K9" s="12"/>
      <c r="L9" s="12"/>
      <c r="M9" s="33">
        <f>IFERROR(VLOOKUP(A9,COMISIONES!$C:$AP,27,0),0)</f>
        <v>0</v>
      </c>
      <c r="N9" s="53">
        <f t="shared" si="0"/>
        <v>0</v>
      </c>
    </row>
    <row r="10" spans="1:14">
      <c r="A10" s="12"/>
      <c r="B10" s="9"/>
      <c r="C10" s="9"/>
      <c r="D10" s="9"/>
      <c r="E10" s="9"/>
      <c r="F10" s="9"/>
      <c r="G10" s="51"/>
      <c r="H10" s="9"/>
      <c r="I10" s="12"/>
      <c r="J10" s="12"/>
      <c r="K10" s="12"/>
      <c r="L10" s="12"/>
      <c r="M10" s="33">
        <f>IFERROR(VLOOKUP(A10,COMISIONES!$C:$AP,27,0),0)</f>
        <v>0</v>
      </c>
      <c r="N10" s="53">
        <f t="shared" si="0"/>
        <v>0</v>
      </c>
    </row>
    <row r="11" spans="1:14">
      <c r="A11" s="12"/>
      <c r="B11" s="9"/>
      <c r="C11" s="9"/>
      <c r="D11" s="9"/>
      <c r="E11" s="9"/>
      <c r="F11" s="9"/>
      <c r="G11" s="51"/>
      <c r="H11" s="9"/>
      <c r="I11" s="12"/>
      <c r="J11" s="12"/>
      <c r="K11" s="12"/>
      <c r="L11" s="12"/>
      <c r="M11" s="33">
        <f>IFERROR(VLOOKUP(A11,COMISIONES!$C:$AP,27,0),0)</f>
        <v>0</v>
      </c>
      <c r="N11" s="53">
        <f t="shared" si="0"/>
        <v>0</v>
      </c>
    </row>
    <row r="12" spans="1:14">
      <c r="A12" s="12"/>
      <c r="B12" s="9"/>
      <c r="C12" s="9"/>
      <c r="D12" s="9"/>
      <c r="E12" s="9"/>
      <c r="F12" s="9"/>
      <c r="G12" s="51"/>
      <c r="H12" s="9"/>
      <c r="I12" s="12"/>
      <c r="J12" s="12"/>
      <c r="K12" s="12"/>
      <c r="L12" s="12"/>
      <c r="M12" s="33">
        <f>IFERROR(VLOOKUP(A12,COMISIONES!$C:$AP,27,0),0)</f>
        <v>0</v>
      </c>
      <c r="N12" s="53">
        <f t="shared" si="0"/>
        <v>0</v>
      </c>
    </row>
    <row r="13" spans="1:14">
      <c r="A13" s="12"/>
      <c r="B13" s="9"/>
      <c r="C13" s="9"/>
      <c r="D13" s="9"/>
      <c r="E13" s="9"/>
      <c r="F13" s="9"/>
      <c r="G13" s="51"/>
      <c r="H13" s="9"/>
      <c r="I13" s="12"/>
      <c r="J13" s="12"/>
      <c r="K13" s="12"/>
      <c r="L13" s="12"/>
      <c r="M13" s="33">
        <f>IFERROR(VLOOKUP(A13,COMISIONES!$C:$AP,27,0),0)</f>
        <v>0</v>
      </c>
      <c r="N13" s="53">
        <f t="shared" si="0"/>
        <v>0</v>
      </c>
    </row>
    <row r="14" spans="1:14">
      <c r="A14" s="12"/>
      <c r="B14" s="9"/>
      <c r="C14" s="9"/>
      <c r="D14" s="9"/>
      <c r="E14" s="9"/>
      <c r="F14" s="9"/>
      <c r="G14" s="51"/>
      <c r="H14" s="9"/>
      <c r="I14" s="12"/>
      <c r="J14" s="12"/>
      <c r="K14" s="12"/>
      <c r="L14" s="12"/>
      <c r="M14" s="33">
        <f>IFERROR(VLOOKUP(A14,COMISIONES!$C:$AP,27,0),0)</f>
        <v>0</v>
      </c>
      <c r="N14" s="53">
        <f t="shared" si="0"/>
        <v>0</v>
      </c>
    </row>
    <row r="15" spans="1:14">
      <c r="A15" s="12"/>
      <c r="B15" s="9"/>
      <c r="C15" s="9"/>
      <c r="D15" s="9"/>
      <c r="E15" s="9"/>
      <c r="F15" s="9"/>
      <c r="G15" s="51"/>
      <c r="H15" s="9"/>
      <c r="I15" s="12"/>
      <c r="J15" s="12"/>
      <c r="K15" s="12"/>
      <c r="L15" s="12"/>
      <c r="M15" s="33">
        <f>IFERROR(VLOOKUP(A15,COMISIONES!$C:$AP,27,0),0)</f>
        <v>0</v>
      </c>
      <c r="N15" s="53">
        <f t="shared" si="0"/>
        <v>0</v>
      </c>
    </row>
    <row r="16" spans="1:14">
      <c r="A16" s="12"/>
      <c r="B16" s="9"/>
      <c r="C16" s="9"/>
      <c r="D16" s="9"/>
      <c r="E16" s="9"/>
      <c r="F16" s="9"/>
      <c r="G16" s="51"/>
      <c r="H16" s="9"/>
      <c r="I16" s="12"/>
      <c r="J16" s="12"/>
      <c r="K16" s="12"/>
      <c r="L16" s="12"/>
      <c r="M16" s="33">
        <f>IFERROR(VLOOKUP(A16,COMISIONES!$C:$AP,27,0),0)</f>
        <v>0</v>
      </c>
      <c r="N16" s="53">
        <f t="shared" si="0"/>
        <v>0</v>
      </c>
    </row>
    <row r="17" spans="1:14">
      <c r="A17" s="12"/>
      <c r="B17" s="9"/>
      <c r="C17" s="9"/>
      <c r="D17" s="9"/>
      <c r="E17" s="9"/>
      <c r="F17" s="9"/>
      <c r="G17" s="51"/>
      <c r="H17" s="9"/>
      <c r="I17" s="12"/>
      <c r="J17" s="12"/>
      <c r="K17" s="12"/>
      <c r="L17" s="12"/>
      <c r="M17" s="33">
        <f>IFERROR(VLOOKUP(A17,COMISIONES!$C:$AP,27,0),0)</f>
        <v>0</v>
      </c>
      <c r="N17" s="53">
        <f t="shared" si="0"/>
        <v>0</v>
      </c>
    </row>
    <row r="18" spans="1:14">
      <c r="A18" s="12"/>
      <c r="B18" s="9"/>
      <c r="C18" s="9"/>
      <c r="D18" s="9"/>
      <c r="E18" s="9"/>
      <c r="F18" s="9"/>
      <c r="G18" s="51"/>
      <c r="H18" s="9"/>
      <c r="I18" s="12"/>
      <c r="J18" s="12"/>
      <c r="K18" s="12"/>
      <c r="L18" s="12"/>
      <c r="M18" s="33">
        <f>IFERROR(VLOOKUP(A18,COMISIONES!$C:$AP,27,0),0)</f>
        <v>0</v>
      </c>
      <c r="N18" s="53">
        <f t="shared" si="0"/>
        <v>0</v>
      </c>
    </row>
    <row r="19" spans="1:14">
      <c r="A19" s="12"/>
      <c r="B19" s="9"/>
      <c r="C19" s="9"/>
      <c r="D19" s="9"/>
      <c r="E19" s="9"/>
      <c r="F19" s="9"/>
      <c r="G19" s="51"/>
      <c r="H19" s="9"/>
      <c r="I19" s="12"/>
      <c r="J19" s="12"/>
      <c r="K19" s="12"/>
      <c r="L19" s="12"/>
      <c r="M19" s="33">
        <f>IFERROR(VLOOKUP(A19,COMISIONES!$C:$AP,27,0),0)</f>
        <v>0</v>
      </c>
      <c r="N19" s="53">
        <f t="shared" si="0"/>
        <v>0</v>
      </c>
    </row>
    <row r="20" spans="1:14">
      <c r="A20" s="12"/>
      <c r="B20" s="9"/>
      <c r="C20" s="9"/>
      <c r="D20" s="9"/>
      <c r="E20" s="9"/>
      <c r="F20" s="9"/>
      <c r="G20" s="51"/>
      <c r="H20" s="9"/>
      <c r="I20" s="12"/>
      <c r="J20" s="12"/>
      <c r="K20" s="12"/>
      <c r="L20" s="12"/>
      <c r="M20" s="33">
        <f>IFERROR(VLOOKUP(A20,COMISIONES!$C:$AP,27,0),0)</f>
        <v>0</v>
      </c>
      <c r="N20" s="53">
        <f t="shared" si="0"/>
        <v>0</v>
      </c>
    </row>
    <row r="21" spans="1:14">
      <c r="A21" s="12"/>
      <c r="B21" s="9"/>
      <c r="C21" s="9"/>
      <c r="D21" s="9"/>
      <c r="E21" s="9"/>
      <c r="F21" s="9"/>
      <c r="G21" s="51"/>
      <c r="H21" s="9"/>
      <c r="I21" s="12"/>
      <c r="J21" s="12"/>
      <c r="K21" s="12"/>
      <c r="L21" s="12"/>
      <c r="M21" s="33">
        <f>IFERROR(VLOOKUP(A21,COMISIONES!$C:$AP,27,0),0)</f>
        <v>0</v>
      </c>
      <c r="N21" s="53">
        <f t="shared" si="0"/>
        <v>0</v>
      </c>
    </row>
  </sheetData>
  <conditionalFormatting sqref="E1:E2">
    <cfRule type="duplicateValues" dxfId="42" priority="967"/>
  </conditionalFormatting>
  <conditionalFormatting sqref="E3:E8">
    <cfRule type="duplicateValues" dxfId="41" priority="1685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O37"/>
  <sheetViews>
    <sheetView showGridLines="0" zoomScale="60" zoomScaleNormal="60" workbookViewId="0">
      <selection activeCell="L3" sqref="L3"/>
    </sheetView>
  </sheetViews>
  <sheetFormatPr baseColWidth="10" defaultColWidth="82.85546875" defaultRowHeight="15"/>
  <cols>
    <col min="1" max="1" width="11.140625" style="46" bestFit="1" customWidth="1"/>
    <col min="2" max="2" width="8.28515625" style="46" bestFit="1" customWidth="1"/>
    <col min="3" max="3" width="19.140625" style="45" bestFit="1" customWidth="1"/>
    <col min="4" max="4" width="22.85546875" style="45" bestFit="1" customWidth="1"/>
    <col min="5" max="5" width="33.140625" style="80" bestFit="1" customWidth="1"/>
    <col min="6" max="6" width="15" style="45" bestFit="1" customWidth="1"/>
    <col min="7" max="7" width="19.42578125" style="45" bestFit="1" customWidth="1"/>
    <col min="8" max="8" width="6.85546875" style="45" bestFit="1" customWidth="1"/>
    <col min="9" max="9" width="25.85546875" style="45" bestFit="1" customWidth="1"/>
    <col min="10" max="10" width="9.42578125" style="46" bestFit="1" customWidth="1"/>
    <col min="11" max="11" width="42.42578125" style="82" bestFit="1" customWidth="1"/>
    <col min="12" max="12" width="42.42578125" style="82" customWidth="1"/>
    <col min="13" max="13" width="12.7109375" style="82" bestFit="1" customWidth="1"/>
    <col min="14" max="14" width="10.85546875" style="45" bestFit="1" customWidth="1"/>
    <col min="15" max="15" width="12.28515625" style="45" bestFit="1" customWidth="1"/>
    <col min="16" max="16384" width="82.85546875" style="45"/>
  </cols>
  <sheetData>
    <row r="1" spans="1:15" ht="30">
      <c r="A1" s="60" t="s">
        <v>133</v>
      </c>
      <c r="B1" s="60" t="s">
        <v>47</v>
      </c>
      <c r="C1" s="48" t="s">
        <v>134</v>
      </c>
      <c r="D1" s="48" t="s">
        <v>135</v>
      </c>
      <c r="E1" s="49" t="s">
        <v>136</v>
      </c>
      <c r="F1" s="48" t="s">
        <v>137</v>
      </c>
      <c r="G1" s="50" t="s">
        <v>138</v>
      </c>
      <c r="H1" s="48" t="s">
        <v>139</v>
      </c>
      <c r="I1" s="48" t="s">
        <v>143</v>
      </c>
      <c r="J1" s="60" t="s">
        <v>145</v>
      </c>
      <c r="K1" s="48" t="s">
        <v>141</v>
      </c>
      <c r="L1" s="48" t="s">
        <v>103</v>
      </c>
      <c r="M1" s="48" t="s">
        <v>147</v>
      </c>
      <c r="N1" s="54" t="s">
        <v>101</v>
      </c>
      <c r="O1" s="54" t="s">
        <v>142</v>
      </c>
    </row>
    <row r="2" spans="1:15" s="41" customFormat="1" ht="24" customHeight="1">
      <c r="A2" s="126"/>
      <c r="B2" s="124"/>
      <c r="C2" s="124"/>
      <c r="D2" s="124"/>
      <c r="E2" s="125"/>
      <c r="F2" s="124"/>
      <c r="G2" s="124"/>
      <c r="H2" s="124"/>
      <c r="I2" s="124"/>
      <c r="J2" s="126"/>
      <c r="K2" s="124"/>
      <c r="L2" s="124"/>
      <c r="M2" s="124"/>
      <c r="N2" s="74">
        <f>IFERROR(VLOOKUP(A2,COMISIONES!$C:$AP,27,0),0)</f>
        <v>0</v>
      </c>
      <c r="O2" s="53">
        <f t="shared" ref="O2:O37" si="0">N2*B2</f>
        <v>0</v>
      </c>
    </row>
    <row r="3" spans="1:15" s="41" customFormat="1">
      <c r="A3"/>
      <c r="B3" s="83"/>
      <c r="C3" s="83"/>
      <c r="D3"/>
      <c r="E3" s="117"/>
      <c r="F3" s="83"/>
      <c r="G3" s="117"/>
      <c r="H3" s="83"/>
      <c r="I3" s="114"/>
      <c r="J3" s="83"/>
      <c r="K3" s="8"/>
      <c r="L3" s="83"/>
      <c r="M3" s="83"/>
      <c r="N3" s="74">
        <f>IFERROR(VLOOKUP(A3,COMISIONES!$C:$AP,27,0),0)</f>
        <v>0</v>
      </c>
      <c r="O3" s="53">
        <f t="shared" si="0"/>
        <v>0</v>
      </c>
    </row>
    <row r="4" spans="1:15" s="41" customFormat="1">
      <c r="A4" s="77"/>
      <c r="B4" s="77"/>
      <c r="C4" s="9"/>
      <c r="D4" s="9"/>
      <c r="E4" s="52"/>
      <c r="F4" s="9"/>
      <c r="G4" s="51"/>
      <c r="H4" s="9"/>
      <c r="I4" s="12"/>
      <c r="J4" s="10"/>
      <c r="K4" s="12"/>
      <c r="L4" s="12"/>
      <c r="M4" s="12"/>
      <c r="N4" s="74">
        <f>IFERROR(VLOOKUP(A4,COMISIONES!$C:$AP,27,0),0)</f>
        <v>0</v>
      </c>
      <c r="O4" s="53">
        <f t="shared" si="0"/>
        <v>0</v>
      </c>
    </row>
    <row r="5" spans="1:15" s="41" customFormat="1">
      <c r="A5" s="77"/>
      <c r="B5" s="77"/>
      <c r="C5" s="9"/>
      <c r="D5" s="9"/>
      <c r="E5" s="52"/>
      <c r="F5" s="9"/>
      <c r="G5" s="51"/>
      <c r="H5" s="9"/>
      <c r="I5" s="12"/>
      <c r="J5" s="10"/>
      <c r="K5" s="12"/>
      <c r="L5" s="12"/>
      <c r="M5" s="12"/>
      <c r="N5" s="74">
        <f>IFERROR(VLOOKUP(A5,COMISIONES!$C:$AP,27,0),0)</f>
        <v>0</v>
      </c>
      <c r="O5" s="53">
        <f t="shared" si="0"/>
        <v>0</v>
      </c>
    </row>
    <row r="6" spans="1:15" s="41" customFormat="1">
      <c r="A6" s="77"/>
      <c r="B6" s="77"/>
      <c r="C6" s="9"/>
      <c r="D6" s="9"/>
      <c r="E6" s="52"/>
      <c r="F6" s="9"/>
      <c r="G6" s="51"/>
      <c r="H6" s="9"/>
      <c r="I6" s="12"/>
      <c r="J6" s="10"/>
      <c r="K6" s="12"/>
      <c r="L6" s="12"/>
      <c r="M6" s="12"/>
      <c r="N6" s="74">
        <f>IFERROR(VLOOKUP(A6,COMISIONES!$C:$AP,27,0),0)</f>
        <v>0</v>
      </c>
      <c r="O6" s="53">
        <f t="shared" si="0"/>
        <v>0</v>
      </c>
    </row>
    <row r="7" spans="1:15" s="41" customFormat="1">
      <c r="A7" s="77"/>
      <c r="B7" s="77"/>
      <c r="C7" s="9"/>
      <c r="D7" s="9"/>
      <c r="E7" s="52"/>
      <c r="F7" s="9"/>
      <c r="G7" s="51"/>
      <c r="H7" s="9"/>
      <c r="I7" s="12"/>
      <c r="J7" s="10"/>
      <c r="K7" s="12"/>
      <c r="L7" s="12"/>
      <c r="M7" s="12"/>
      <c r="N7" s="74">
        <f>IFERROR(VLOOKUP(A7,COMISIONES!$C:$AP,27,0),0)</f>
        <v>0</v>
      </c>
      <c r="O7" s="53">
        <f t="shared" si="0"/>
        <v>0</v>
      </c>
    </row>
    <row r="8" spans="1:15" s="41" customFormat="1">
      <c r="A8" s="77"/>
      <c r="B8" s="77"/>
      <c r="C8" s="9"/>
      <c r="D8" s="9"/>
      <c r="E8" s="52"/>
      <c r="F8" s="9"/>
      <c r="G8" s="51"/>
      <c r="H8" s="9"/>
      <c r="I8" s="12"/>
      <c r="J8" s="10"/>
      <c r="K8" s="12"/>
      <c r="L8" s="12"/>
      <c r="M8" s="12"/>
      <c r="N8" s="74">
        <f>IFERROR(VLOOKUP(A8,COMISIONES!$C:$AP,27,0),0)</f>
        <v>0</v>
      </c>
      <c r="O8" s="53">
        <f t="shared" si="0"/>
        <v>0</v>
      </c>
    </row>
    <row r="9" spans="1:15" s="41" customFormat="1">
      <c r="A9" s="77"/>
      <c r="B9" s="77"/>
      <c r="C9" s="9"/>
      <c r="D9" s="9"/>
      <c r="E9" s="52"/>
      <c r="F9" s="9"/>
      <c r="G9" s="51"/>
      <c r="H9" s="9"/>
      <c r="I9" s="12"/>
      <c r="J9" s="10"/>
      <c r="K9" s="12"/>
      <c r="L9" s="12"/>
      <c r="M9" s="12"/>
      <c r="N9" s="74">
        <f>IFERROR(VLOOKUP(A9,COMISIONES!$C:$AP,27,0),0)</f>
        <v>0</v>
      </c>
      <c r="O9" s="53">
        <f t="shared" si="0"/>
        <v>0</v>
      </c>
    </row>
    <row r="10" spans="1:15" s="41" customFormat="1">
      <c r="A10" s="77"/>
      <c r="B10" s="77"/>
      <c r="C10" s="9"/>
      <c r="D10" s="9"/>
      <c r="E10" s="52"/>
      <c r="F10" s="9"/>
      <c r="G10" s="51"/>
      <c r="H10" s="9"/>
      <c r="I10" s="12"/>
      <c r="J10" s="10"/>
      <c r="K10" s="12"/>
      <c r="L10" s="12"/>
      <c r="M10" s="12"/>
      <c r="N10" s="74">
        <f>IFERROR(VLOOKUP(A10,COMISIONES!$C:$AP,27,0),0)</f>
        <v>0</v>
      </c>
      <c r="O10" s="53">
        <f t="shared" si="0"/>
        <v>0</v>
      </c>
    </row>
    <row r="11" spans="1:15" s="41" customFormat="1">
      <c r="A11" s="78"/>
      <c r="B11" s="78"/>
      <c r="C11" s="75"/>
      <c r="D11" s="75"/>
      <c r="E11" s="79"/>
      <c r="F11" s="75"/>
      <c r="G11" s="75"/>
      <c r="H11" s="75"/>
      <c r="I11" s="75"/>
      <c r="J11" s="76"/>
      <c r="K11" s="81"/>
      <c r="L11" s="81"/>
      <c r="M11" s="81"/>
      <c r="N11" s="74">
        <f>IFERROR(VLOOKUP(A11,COMISIONES!$C:$AP,27,0),0)</f>
        <v>0</v>
      </c>
      <c r="O11" s="53">
        <f t="shared" si="0"/>
        <v>0</v>
      </c>
    </row>
    <row r="12" spans="1:15" s="41" customFormat="1">
      <c r="A12" s="78"/>
      <c r="B12" s="78"/>
      <c r="C12" s="75"/>
      <c r="D12" s="75"/>
      <c r="E12" s="79"/>
      <c r="F12" s="75"/>
      <c r="G12" s="75"/>
      <c r="H12" s="75"/>
      <c r="I12" s="75"/>
      <c r="J12" s="76"/>
      <c r="K12" s="81"/>
      <c r="L12" s="81"/>
      <c r="M12" s="81"/>
      <c r="N12" s="74">
        <f>IFERROR(VLOOKUP(A12,COMISIONES!$C:$AP,27,0),0)</f>
        <v>0</v>
      </c>
      <c r="O12" s="53">
        <f t="shared" si="0"/>
        <v>0</v>
      </c>
    </row>
    <row r="13" spans="1:15" s="41" customFormat="1">
      <c r="A13" s="78"/>
      <c r="B13" s="78"/>
      <c r="C13" s="75"/>
      <c r="D13" s="75"/>
      <c r="E13" s="79"/>
      <c r="F13" s="75"/>
      <c r="G13" s="75"/>
      <c r="H13" s="75"/>
      <c r="I13" s="75"/>
      <c r="J13" s="76"/>
      <c r="K13" s="81"/>
      <c r="L13" s="81"/>
      <c r="M13" s="81"/>
      <c r="N13" s="74">
        <f>IFERROR(VLOOKUP(A13,COMISIONES!$C:$AP,27,0),0)</f>
        <v>0</v>
      </c>
      <c r="O13" s="53">
        <f t="shared" si="0"/>
        <v>0</v>
      </c>
    </row>
    <row r="14" spans="1:15">
      <c r="A14" s="78"/>
      <c r="B14" s="78"/>
      <c r="C14" s="75"/>
      <c r="D14" s="75"/>
      <c r="E14" s="79"/>
      <c r="F14" s="75"/>
      <c r="G14" s="75"/>
      <c r="H14" s="75"/>
      <c r="I14" s="75"/>
      <c r="J14" s="76"/>
      <c r="K14" s="81"/>
      <c r="L14" s="81"/>
      <c r="M14" s="81"/>
      <c r="N14" s="74">
        <f>IFERROR(VLOOKUP(A14,COMISIONES!$C:$AP,27,0),0)</f>
        <v>0</v>
      </c>
      <c r="O14" s="53">
        <f t="shared" si="0"/>
        <v>0</v>
      </c>
    </row>
    <row r="15" spans="1:15">
      <c r="A15" s="78"/>
      <c r="B15" s="78"/>
      <c r="C15" s="75"/>
      <c r="D15" s="75"/>
      <c r="E15" s="79"/>
      <c r="F15" s="75"/>
      <c r="G15" s="75"/>
      <c r="H15" s="75"/>
      <c r="I15" s="75"/>
      <c r="J15" s="76"/>
      <c r="K15" s="81"/>
      <c r="L15" s="81"/>
      <c r="M15" s="81"/>
      <c r="N15" s="74">
        <f>IFERROR(VLOOKUP(A15,COMISIONES!$C:$AP,27,0),0)</f>
        <v>0</v>
      </c>
      <c r="O15" s="53">
        <f t="shared" si="0"/>
        <v>0</v>
      </c>
    </row>
    <row r="16" spans="1:15">
      <c r="A16" s="77"/>
      <c r="B16" s="77"/>
      <c r="C16" s="9"/>
      <c r="D16" s="9"/>
      <c r="E16" s="52"/>
      <c r="F16" s="9"/>
      <c r="G16" s="51"/>
      <c r="H16" s="9"/>
      <c r="I16" s="12"/>
      <c r="J16" s="10"/>
      <c r="K16" s="12"/>
      <c r="L16" s="12"/>
      <c r="M16" s="12"/>
      <c r="N16" s="74">
        <f>IFERROR(VLOOKUP(A16,COMISIONES!$C:$AP,27,0),0)</f>
        <v>0</v>
      </c>
      <c r="O16" s="53">
        <f t="shared" si="0"/>
        <v>0</v>
      </c>
    </row>
    <row r="17" spans="1:15">
      <c r="A17" s="78"/>
      <c r="B17" s="78"/>
      <c r="C17" s="75"/>
      <c r="D17" s="75"/>
      <c r="E17" s="79"/>
      <c r="F17" s="75"/>
      <c r="G17" s="75"/>
      <c r="H17" s="75"/>
      <c r="I17" s="75"/>
      <c r="J17" s="76"/>
      <c r="K17" s="81"/>
      <c r="L17" s="81"/>
      <c r="M17" s="81"/>
      <c r="N17" s="74">
        <f>IFERROR(VLOOKUP(A17,COMISIONES!$C:$AP,27,0),0)</f>
        <v>0</v>
      </c>
      <c r="O17" s="53">
        <f t="shared" si="0"/>
        <v>0</v>
      </c>
    </row>
    <row r="18" spans="1:15">
      <c r="A18" s="78"/>
      <c r="B18" s="78"/>
      <c r="C18" s="75"/>
      <c r="D18" s="75"/>
      <c r="E18" s="79"/>
      <c r="F18" s="75"/>
      <c r="G18" s="75"/>
      <c r="H18" s="75"/>
      <c r="I18" s="75"/>
      <c r="J18" s="76"/>
      <c r="K18" s="81"/>
      <c r="L18" s="81"/>
      <c r="M18" s="81"/>
      <c r="N18" s="74">
        <f>IFERROR(VLOOKUP(A18,COMISIONES!$C:$AP,27,0),0)</f>
        <v>0</v>
      </c>
      <c r="O18" s="53">
        <f t="shared" si="0"/>
        <v>0</v>
      </c>
    </row>
    <row r="19" spans="1:15">
      <c r="A19" s="78"/>
      <c r="B19" s="78"/>
      <c r="C19" s="75"/>
      <c r="D19" s="75"/>
      <c r="E19" s="79"/>
      <c r="F19" s="75"/>
      <c r="G19" s="75"/>
      <c r="H19" s="75"/>
      <c r="I19" s="75"/>
      <c r="J19" s="76"/>
      <c r="K19" s="81"/>
      <c r="L19" s="81"/>
      <c r="M19" s="81"/>
      <c r="N19" s="74">
        <f>IFERROR(VLOOKUP(A19,COMISIONES!$C:$AP,27,0),0)</f>
        <v>0</v>
      </c>
      <c r="O19" s="53">
        <f t="shared" si="0"/>
        <v>0</v>
      </c>
    </row>
    <row r="20" spans="1:15">
      <c r="A20" s="78"/>
      <c r="B20" s="78"/>
      <c r="C20" s="75"/>
      <c r="D20" s="75"/>
      <c r="E20" s="79"/>
      <c r="F20" s="75"/>
      <c r="G20" s="75"/>
      <c r="H20" s="75"/>
      <c r="I20" s="75"/>
      <c r="J20" s="76"/>
      <c r="K20" s="81"/>
      <c r="L20" s="81"/>
      <c r="M20" s="81"/>
      <c r="N20" s="74">
        <f>IFERROR(VLOOKUP(A20,COMISIONES!$C:$AP,27,0),0)</f>
        <v>0</v>
      </c>
      <c r="O20" s="53">
        <f t="shared" si="0"/>
        <v>0</v>
      </c>
    </row>
    <row r="21" spans="1:15">
      <c r="A21" s="78"/>
      <c r="B21" s="78"/>
      <c r="C21" s="75"/>
      <c r="D21" s="75"/>
      <c r="E21" s="79"/>
      <c r="F21" s="75"/>
      <c r="G21" s="75"/>
      <c r="H21" s="75"/>
      <c r="I21" s="75"/>
      <c r="J21" s="76"/>
      <c r="K21" s="81"/>
      <c r="L21" s="81"/>
      <c r="M21" s="81"/>
      <c r="N21" s="74">
        <f>IFERROR(VLOOKUP(A21,COMISIONES!$C:$AP,27,0),0)</f>
        <v>0</v>
      </c>
      <c r="O21" s="53">
        <f t="shared" si="0"/>
        <v>0</v>
      </c>
    </row>
    <row r="22" spans="1:15">
      <c r="A22" s="77"/>
      <c r="B22" s="77"/>
      <c r="C22" s="9"/>
      <c r="D22" s="9"/>
      <c r="E22" s="52"/>
      <c r="F22" s="9"/>
      <c r="G22" s="51"/>
      <c r="H22" s="9"/>
      <c r="I22" s="12"/>
      <c r="J22" s="10"/>
      <c r="K22" s="12"/>
      <c r="L22" s="12"/>
      <c r="M22" s="12"/>
      <c r="N22" s="74">
        <f>IFERROR(VLOOKUP(A22,COMISIONES!$C:$AP,27,0),0)</f>
        <v>0</v>
      </c>
      <c r="O22" s="53">
        <f t="shared" si="0"/>
        <v>0</v>
      </c>
    </row>
    <row r="23" spans="1:15">
      <c r="A23" s="77"/>
      <c r="B23" s="77"/>
      <c r="C23" s="9"/>
      <c r="D23" s="9"/>
      <c r="E23" s="52"/>
      <c r="F23" s="9"/>
      <c r="G23" s="51"/>
      <c r="H23" s="9"/>
      <c r="I23" s="12"/>
      <c r="J23" s="10"/>
      <c r="K23" s="12"/>
      <c r="L23" s="12"/>
      <c r="M23" s="12"/>
      <c r="N23" s="74">
        <f>IFERROR(VLOOKUP(A23,COMISIONES!$C:$AP,27,0),0)</f>
        <v>0</v>
      </c>
      <c r="O23" s="53">
        <f t="shared" si="0"/>
        <v>0</v>
      </c>
    </row>
    <row r="24" spans="1:15">
      <c r="A24" s="78"/>
      <c r="B24" s="78"/>
      <c r="C24" s="75"/>
      <c r="D24" s="75"/>
      <c r="E24" s="79"/>
      <c r="F24" s="75"/>
      <c r="G24" s="75"/>
      <c r="H24" s="75"/>
      <c r="I24" s="75"/>
      <c r="J24" s="76"/>
      <c r="K24" s="81"/>
      <c r="L24" s="81"/>
      <c r="M24" s="81"/>
      <c r="N24" s="74">
        <f>IFERROR(VLOOKUP(A24,COMISIONES!$C:$AP,27,0),0)</f>
        <v>0</v>
      </c>
      <c r="O24" s="53">
        <f t="shared" si="0"/>
        <v>0</v>
      </c>
    </row>
    <row r="25" spans="1:15">
      <c r="A25" s="78"/>
      <c r="B25" s="78"/>
      <c r="C25" s="75"/>
      <c r="D25" s="75"/>
      <c r="E25" s="79"/>
      <c r="F25" s="75"/>
      <c r="G25" s="75"/>
      <c r="H25" s="75"/>
      <c r="I25" s="75"/>
      <c r="J25" s="76"/>
      <c r="K25" s="81"/>
      <c r="L25" s="81"/>
      <c r="M25" s="81"/>
      <c r="N25" s="74">
        <f>IFERROR(VLOOKUP(A25,COMISIONES!$C:$AP,27,0),0)</f>
        <v>0</v>
      </c>
      <c r="O25" s="53">
        <f t="shared" si="0"/>
        <v>0</v>
      </c>
    </row>
    <row r="26" spans="1:15">
      <c r="A26" s="78"/>
      <c r="B26" s="78"/>
      <c r="C26" s="75"/>
      <c r="D26" s="75"/>
      <c r="E26" s="79"/>
      <c r="F26" s="75"/>
      <c r="G26" s="75"/>
      <c r="H26" s="75"/>
      <c r="I26" s="75"/>
      <c r="J26" s="76"/>
      <c r="K26" s="81"/>
      <c r="L26" s="81"/>
      <c r="M26" s="81"/>
      <c r="N26" s="74">
        <f>IFERROR(VLOOKUP(A26,COMISIONES!$C:$AP,27,0),0)</f>
        <v>0</v>
      </c>
      <c r="O26" s="53">
        <f t="shared" si="0"/>
        <v>0</v>
      </c>
    </row>
    <row r="27" spans="1:15">
      <c r="A27" s="78"/>
      <c r="B27" s="78"/>
      <c r="C27" s="75"/>
      <c r="D27" s="75"/>
      <c r="E27" s="79"/>
      <c r="F27" s="75"/>
      <c r="G27" s="75"/>
      <c r="H27" s="75"/>
      <c r="I27" s="75"/>
      <c r="J27" s="76"/>
      <c r="K27" s="81"/>
      <c r="L27" s="81"/>
      <c r="M27" s="81"/>
      <c r="N27" s="74">
        <f>IFERROR(VLOOKUP(A27,COMISIONES!$C:$AP,27,0),0)</f>
        <v>0</v>
      </c>
      <c r="O27" s="53">
        <f t="shared" si="0"/>
        <v>0</v>
      </c>
    </row>
    <row r="28" spans="1:15">
      <c r="A28" s="78"/>
      <c r="B28" s="78"/>
      <c r="C28" s="75"/>
      <c r="D28" s="75"/>
      <c r="E28" s="79"/>
      <c r="F28" s="75"/>
      <c r="G28" s="75"/>
      <c r="H28" s="75"/>
      <c r="I28" s="75"/>
      <c r="J28" s="76"/>
      <c r="K28" s="81"/>
      <c r="L28" s="81"/>
      <c r="M28" s="81"/>
      <c r="N28" s="74">
        <f>IFERROR(VLOOKUP(A28,COMISIONES!$C:$AP,27,0),0)</f>
        <v>0</v>
      </c>
      <c r="O28" s="53">
        <f t="shared" si="0"/>
        <v>0</v>
      </c>
    </row>
    <row r="29" spans="1:15">
      <c r="A29" s="78"/>
      <c r="B29" s="78"/>
      <c r="C29" s="75"/>
      <c r="D29" s="75"/>
      <c r="E29" s="79"/>
      <c r="F29" s="75"/>
      <c r="G29" s="75"/>
      <c r="H29" s="75"/>
      <c r="I29" s="75"/>
      <c r="J29" s="76"/>
      <c r="K29" s="81"/>
      <c r="L29" s="81"/>
      <c r="M29" s="81"/>
      <c r="N29" s="74">
        <f>IFERROR(VLOOKUP(A29,COMISIONES!$C:$AP,27,0),0)</f>
        <v>0</v>
      </c>
      <c r="O29" s="53">
        <f t="shared" si="0"/>
        <v>0</v>
      </c>
    </row>
    <row r="30" spans="1:15">
      <c r="A30" s="78"/>
      <c r="B30" s="78"/>
      <c r="C30" s="75"/>
      <c r="D30" s="75"/>
      <c r="E30" s="79"/>
      <c r="F30" s="75"/>
      <c r="G30" s="75"/>
      <c r="H30" s="75"/>
      <c r="I30" s="75"/>
      <c r="J30" s="76"/>
      <c r="K30" s="81"/>
      <c r="L30" s="81"/>
      <c r="M30" s="81"/>
      <c r="N30" s="74">
        <f>IFERROR(VLOOKUP(A30,COMISIONES!$C:$AP,27,0),0)</f>
        <v>0</v>
      </c>
      <c r="O30" s="53">
        <f t="shared" si="0"/>
        <v>0</v>
      </c>
    </row>
    <row r="31" spans="1:15">
      <c r="A31" s="78"/>
      <c r="B31" s="78"/>
      <c r="C31" s="75"/>
      <c r="D31" s="75"/>
      <c r="E31" s="79"/>
      <c r="F31" s="75"/>
      <c r="G31" s="75"/>
      <c r="H31" s="75"/>
      <c r="I31" s="75"/>
      <c r="J31" s="76"/>
      <c r="K31" s="81"/>
      <c r="L31" s="81"/>
      <c r="M31" s="81"/>
      <c r="N31" s="74">
        <f>IFERROR(VLOOKUP(A31,COMISIONES!$C:$AP,27,0),0)</f>
        <v>0</v>
      </c>
      <c r="O31" s="53">
        <f t="shared" si="0"/>
        <v>0</v>
      </c>
    </row>
    <row r="32" spans="1:15">
      <c r="A32" s="78"/>
      <c r="B32" s="78"/>
      <c r="C32" s="75"/>
      <c r="D32" s="75"/>
      <c r="E32" s="79"/>
      <c r="F32" s="75"/>
      <c r="G32" s="75"/>
      <c r="H32" s="75"/>
      <c r="I32" s="75"/>
      <c r="J32" s="76"/>
      <c r="K32" s="81"/>
      <c r="L32" s="81"/>
      <c r="M32" s="81"/>
      <c r="N32" s="74">
        <f>IFERROR(VLOOKUP(A32,COMISIONES!$C:$AP,27,0),0)</f>
        <v>0</v>
      </c>
      <c r="O32" s="53">
        <f t="shared" si="0"/>
        <v>0</v>
      </c>
    </row>
    <row r="33" spans="1:15">
      <c r="A33" s="78"/>
      <c r="B33" s="78"/>
      <c r="C33" s="75"/>
      <c r="D33" s="75"/>
      <c r="E33" s="79"/>
      <c r="F33" s="75"/>
      <c r="G33" s="75"/>
      <c r="H33" s="75"/>
      <c r="I33" s="75"/>
      <c r="J33" s="76"/>
      <c r="K33" s="81"/>
      <c r="L33" s="81"/>
      <c r="M33" s="81"/>
      <c r="N33" s="74">
        <f>IFERROR(VLOOKUP(A33,COMISIONES!$C:$AP,27,0),0)</f>
        <v>0</v>
      </c>
      <c r="O33" s="53">
        <f t="shared" si="0"/>
        <v>0</v>
      </c>
    </row>
    <row r="34" spans="1:15">
      <c r="A34" s="78"/>
      <c r="B34" s="78"/>
      <c r="C34" s="75"/>
      <c r="D34" s="75"/>
      <c r="E34" s="79"/>
      <c r="F34" s="75"/>
      <c r="G34" s="75"/>
      <c r="H34" s="75"/>
      <c r="I34" s="75"/>
      <c r="J34" s="76"/>
      <c r="K34" s="81"/>
      <c r="L34" s="81"/>
      <c r="M34" s="81"/>
      <c r="N34" s="74">
        <f>IFERROR(VLOOKUP(A34,COMISIONES!$C:$AP,27,0),0)</f>
        <v>0</v>
      </c>
      <c r="O34" s="53">
        <f t="shared" si="0"/>
        <v>0</v>
      </c>
    </row>
    <row r="35" spans="1:15">
      <c r="A35" s="78"/>
      <c r="B35" s="78"/>
      <c r="C35" s="75"/>
      <c r="D35" s="75"/>
      <c r="E35" s="79"/>
      <c r="F35" s="75"/>
      <c r="G35" s="75"/>
      <c r="H35" s="75"/>
      <c r="I35" s="75"/>
      <c r="J35" s="76"/>
      <c r="K35" s="81"/>
      <c r="L35" s="81"/>
      <c r="M35" s="81"/>
      <c r="N35" s="74">
        <f>IFERROR(VLOOKUP(A35,COMISIONES!$C:$AP,27,0),0)</f>
        <v>0</v>
      </c>
      <c r="O35" s="53">
        <f t="shared" si="0"/>
        <v>0</v>
      </c>
    </row>
    <row r="36" spans="1:15">
      <c r="A36" s="78"/>
      <c r="B36" s="78"/>
      <c r="C36" s="75"/>
      <c r="D36" s="75"/>
      <c r="E36" s="79"/>
      <c r="F36" s="75"/>
      <c r="G36" s="75"/>
      <c r="H36" s="75"/>
      <c r="I36" s="75"/>
      <c r="J36" s="76"/>
      <c r="K36" s="81"/>
      <c r="L36" s="81"/>
      <c r="M36" s="81"/>
      <c r="N36" s="74">
        <f>IFERROR(VLOOKUP(A36,COMISIONES!$C:$AP,27,0),0)</f>
        <v>0</v>
      </c>
      <c r="O36" s="53">
        <f t="shared" si="0"/>
        <v>0</v>
      </c>
    </row>
    <row r="37" spans="1:15">
      <c r="A37" s="78"/>
      <c r="B37" s="78"/>
      <c r="C37" s="75"/>
      <c r="D37" s="75"/>
      <c r="E37" s="79"/>
      <c r="F37" s="75"/>
      <c r="G37" s="75"/>
      <c r="H37" s="75"/>
      <c r="I37" s="75"/>
      <c r="J37" s="76"/>
      <c r="K37" s="81"/>
      <c r="L37" s="81"/>
      <c r="M37" s="81"/>
      <c r="N37" s="74">
        <f>IFERROR(VLOOKUP(A37,COMISIONES!$C:$AP,27,0),0)</f>
        <v>0</v>
      </c>
      <c r="O37" s="53">
        <f t="shared" si="0"/>
        <v>0</v>
      </c>
    </row>
  </sheetData>
  <autoFilter ref="A1:O37" xr:uid="{00000000-0001-0000-1100-000000000000}"/>
  <sortState xmlns:xlrd2="http://schemas.microsoft.com/office/spreadsheetml/2017/richdata2" ref="A2:O37">
    <sortCondition descending="1" ref="B2:B37"/>
    <sortCondition ref="K2:K37"/>
  </sortState>
  <conditionalFormatting sqref="D1 D3:D1048576">
    <cfRule type="duplicateValues" dxfId="40" priority="2196"/>
  </conditionalFormatting>
  <conditionalFormatting sqref="D14:D1048576 D1">
    <cfRule type="duplicateValues" dxfId="39" priority="219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tabColor rgb="FF00B050"/>
  </sheetPr>
  <dimension ref="A1:R633"/>
  <sheetViews>
    <sheetView showGridLines="0" tabSelected="1" topLeftCell="E1" zoomScale="80" zoomScaleNormal="80" workbookViewId="0">
      <selection activeCell="K329" sqref="K329"/>
    </sheetView>
  </sheetViews>
  <sheetFormatPr baseColWidth="10" defaultColWidth="51.85546875" defaultRowHeight="15"/>
  <cols>
    <col min="1" max="1" width="11.85546875" style="7" bestFit="1" customWidth="1"/>
    <col min="2" max="2" width="8" style="7" bestFit="1" customWidth="1"/>
    <col min="3" max="3" width="12.85546875" style="7" bestFit="1" customWidth="1"/>
    <col min="4" max="4" width="22.5703125" style="7" bestFit="1" customWidth="1"/>
    <col min="5" max="5" width="32.5703125" style="34" bestFit="1" customWidth="1"/>
    <col min="6" max="6" width="15.5703125" style="7" bestFit="1" customWidth="1"/>
    <col min="7" max="7" width="25.7109375" style="7" customWidth="1"/>
    <col min="8" max="8" width="6.7109375" style="7" bestFit="1" customWidth="1"/>
    <col min="9" max="9" width="24.85546875" style="7" bestFit="1" customWidth="1"/>
    <col min="10" max="10" width="9" style="7" bestFit="1" customWidth="1"/>
    <col min="11" max="11" width="35.85546875" style="7" bestFit="1" customWidth="1"/>
    <col min="12" max="12" width="35.85546875" style="7" customWidth="1"/>
    <col min="13" max="13" width="12.5703125" style="7" bestFit="1" customWidth="1"/>
    <col min="14" max="14" width="10.85546875" style="7" bestFit="1" customWidth="1"/>
    <col min="15" max="15" width="10.7109375" style="7" bestFit="1" customWidth="1"/>
    <col min="16" max="16" width="14.28515625" style="7" bestFit="1" customWidth="1"/>
    <col min="19" max="16384" width="51.85546875" style="7"/>
  </cols>
  <sheetData>
    <row r="1" spans="1:18" s="43" customFormat="1" ht="30">
      <c r="A1" s="48" t="s">
        <v>133</v>
      </c>
      <c r="B1" s="48" t="s">
        <v>47</v>
      </c>
      <c r="C1" s="48" t="s">
        <v>134</v>
      </c>
      <c r="D1" s="48" t="s">
        <v>135</v>
      </c>
      <c r="E1" s="49" t="s">
        <v>136</v>
      </c>
      <c r="F1" s="48" t="s">
        <v>138</v>
      </c>
      <c r="G1" s="50" t="s">
        <v>137</v>
      </c>
      <c r="H1" s="48" t="s">
        <v>139</v>
      </c>
      <c r="I1" s="48" t="s">
        <v>143</v>
      </c>
      <c r="J1" s="48" t="s">
        <v>145</v>
      </c>
      <c r="K1" s="48" t="s">
        <v>141</v>
      </c>
      <c r="L1" s="48" t="s">
        <v>103</v>
      </c>
      <c r="M1" s="48" t="s">
        <v>147</v>
      </c>
      <c r="N1" s="102" t="s">
        <v>101</v>
      </c>
      <c r="O1" s="102" t="s">
        <v>142</v>
      </c>
      <c r="P1" s="43" t="s">
        <v>263</v>
      </c>
      <c r="Q1"/>
      <c r="R1"/>
    </row>
    <row r="2" spans="1:18" hidden="1">
      <c r="A2" s="98">
        <v>20004638</v>
      </c>
      <c r="B2" s="98">
        <v>2</v>
      </c>
      <c r="C2" s="98" t="s">
        <v>55</v>
      </c>
      <c r="D2" s="98"/>
      <c r="E2" s="213">
        <v>45139</v>
      </c>
      <c r="F2" s="98" t="s">
        <v>3294</v>
      </c>
      <c r="G2" s="140" t="s">
        <v>3250</v>
      </c>
      <c r="H2" s="98"/>
      <c r="I2" s="140" t="s">
        <v>3567</v>
      </c>
      <c r="J2" s="98">
        <v>98009</v>
      </c>
      <c r="K2" s="98" t="s">
        <v>51</v>
      </c>
      <c r="L2" s="98" t="s">
        <v>80</v>
      </c>
      <c r="M2" s="98" t="s">
        <v>40</v>
      </c>
      <c r="N2" s="237">
        <f>+VLOOKUP(A2,COMISIONES!$C$2:$AR$33,42,0)</f>
        <v>10</v>
      </c>
      <c r="O2" s="53">
        <f t="shared" ref="O2:O65" si="0">N2*B2</f>
        <v>20</v>
      </c>
      <c r="P2" s="7">
        <f>+VLOOKUP(A2,COMISIONES!$C$2:$C$33,1,0)</f>
        <v>20004638</v>
      </c>
    </row>
    <row r="3" spans="1:18" hidden="1">
      <c r="A3" s="98">
        <v>20001487</v>
      </c>
      <c r="B3" s="98">
        <v>2</v>
      </c>
      <c r="C3" s="98" t="s">
        <v>55</v>
      </c>
      <c r="D3" s="98"/>
      <c r="E3" s="213">
        <v>45139</v>
      </c>
      <c r="F3" s="98" t="s">
        <v>976</v>
      </c>
      <c r="G3" s="140" t="s">
        <v>3215</v>
      </c>
      <c r="H3" s="98"/>
      <c r="I3" s="140" t="s">
        <v>3327</v>
      </c>
      <c r="J3" s="98">
        <v>98003</v>
      </c>
      <c r="K3" s="98" t="s">
        <v>51</v>
      </c>
      <c r="L3" s="98" t="s">
        <v>80</v>
      </c>
      <c r="M3" s="98" t="s">
        <v>40</v>
      </c>
      <c r="N3" s="237">
        <f>+VLOOKUP(A3,COMISIONES!$C$2:$AR$33,42,0)</f>
        <v>30</v>
      </c>
      <c r="O3" s="53">
        <f t="shared" si="0"/>
        <v>60</v>
      </c>
      <c r="P3" s="7">
        <f>+VLOOKUP(A3,COMISIONES!$C$2:$C$33,1,0)</f>
        <v>20001487</v>
      </c>
    </row>
    <row r="4" spans="1:18" hidden="1">
      <c r="A4" s="98">
        <v>20002708</v>
      </c>
      <c r="B4" s="98">
        <v>2</v>
      </c>
      <c r="C4" s="98" t="s">
        <v>55</v>
      </c>
      <c r="D4" s="98"/>
      <c r="E4" s="213">
        <v>45139</v>
      </c>
      <c r="F4" s="98" t="s">
        <v>3300</v>
      </c>
      <c r="G4" s="140" t="s">
        <v>3256</v>
      </c>
      <c r="H4" s="98"/>
      <c r="I4" s="140" t="s">
        <v>3596</v>
      </c>
      <c r="J4" s="98">
        <v>98021</v>
      </c>
      <c r="K4" s="98" t="s">
        <v>49</v>
      </c>
      <c r="L4" s="98" t="s">
        <v>80</v>
      </c>
      <c r="M4" s="98" t="s">
        <v>40</v>
      </c>
      <c r="N4" s="237">
        <f>+VLOOKUP(A4,COMISIONES!$C$2:$AR$33,42,0)</f>
        <v>15</v>
      </c>
      <c r="O4" s="53">
        <f t="shared" si="0"/>
        <v>30</v>
      </c>
      <c r="P4" s="7">
        <f>+VLOOKUP(A4,COMISIONES!$C$2:$C$33,1,0)</f>
        <v>20002708</v>
      </c>
    </row>
    <row r="5" spans="1:18" hidden="1">
      <c r="A5" s="98">
        <v>20007943</v>
      </c>
      <c r="B5" s="98">
        <v>2</v>
      </c>
      <c r="C5" s="98" t="s">
        <v>55</v>
      </c>
      <c r="D5" s="98"/>
      <c r="E5" s="213">
        <v>45139</v>
      </c>
      <c r="F5" s="98" t="s">
        <v>2720</v>
      </c>
      <c r="G5" s="140" t="s">
        <v>2721</v>
      </c>
      <c r="H5" s="98"/>
      <c r="I5" s="140" t="s">
        <v>3589</v>
      </c>
      <c r="J5" s="98">
        <v>98077</v>
      </c>
      <c r="K5" s="98" t="s">
        <v>51</v>
      </c>
      <c r="L5" s="98" t="s">
        <v>80</v>
      </c>
      <c r="M5" s="98" t="s">
        <v>40</v>
      </c>
      <c r="N5" s="237">
        <f>+VLOOKUP(A5,COMISIONES!$C$2:$AR$33,42,0)</f>
        <v>10</v>
      </c>
      <c r="O5" s="53">
        <f t="shared" si="0"/>
        <v>20</v>
      </c>
      <c r="P5" s="7">
        <f>+VLOOKUP(A5,COMISIONES!$C$2:$C$33,1,0)</f>
        <v>20007943</v>
      </c>
    </row>
    <row r="6" spans="1:18" hidden="1">
      <c r="A6" s="98">
        <v>20007726</v>
      </c>
      <c r="B6" s="98">
        <v>2</v>
      </c>
      <c r="C6" s="98" t="s">
        <v>55</v>
      </c>
      <c r="D6" s="98"/>
      <c r="E6" s="213">
        <v>45139</v>
      </c>
      <c r="F6" s="98" t="s">
        <v>2030</v>
      </c>
      <c r="G6" s="140" t="s">
        <v>2031</v>
      </c>
      <c r="H6" s="98"/>
      <c r="I6" s="140" t="s">
        <v>3497</v>
      </c>
      <c r="J6" s="98">
        <v>98051</v>
      </c>
      <c r="K6" s="98" t="s">
        <v>49</v>
      </c>
      <c r="L6" s="98" t="s">
        <v>80</v>
      </c>
      <c r="M6" s="98" t="s">
        <v>40</v>
      </c>
      <c r="N6" s="237">
        <f>+VLOOKUP(A6,COMISIONES!$C$2:$AR$33,42,0)</f>
        <v>30</v>
      </c>
      <c r="O6" s="53">
        <f t="shared" si="0"/>
        <v>60</v>
      </c>
      <c r="P6" s="7">
        <f>+VLOOKUP(A6,COMISIONES!$C$2:$C$33,1,0)</f>
        <v>20007726</v>
      </c>
    </row>
    <row r="7" spans="1:18" hidden="1">
      <c r="A7" s="98">
        <v>20009690</v>
      </c>
      <c r="B7" s="98">
        <v>2</v>
      </c>
      <c r="C7" s="98" t="s">
        <v>55</v>
      </c>
      <c r="D7" s="98"/>
      <c r="E7" s="213">
        <v>45139</v>
      </c>
      <c r="F7" s="98" t="s">
        <v>1869</v>
      </c>
      <c r="G7" s="140" t="s">
        <v>1870</v>
      </c>
      <c r="H7" s="83"/>
      <c r="I7" s="140" t="s">
        <v>3459</v>
      </c>
      <c r="J7" s="98">
        <v>98068</v>
      </c>
      <c r="K7" s="98" t="s">
        <v>49</v>
      </c>
      <c r="L7" s="98" t="s">
        <v>80</v>
      </c>
      <c r="M7" s="98" t="s">
        <v>40</v>
      </c>
      <c r="N7" s="237">
        <f>+VLOOKUP(A7,COMISIONES!$C$2:$AR$33,42,0)</f>
        <v>30</v>
      </c>
      <c r="O7" s="53">
        <f t="shared" si="0"/>
        <v>60</v>
      </c>
      <c r="P7" s="7">
        <f>+VLOOKUP(A7,COMISIONES!$C$2:$C$33,1,0)</f>
        <v>20009690</v>
      </c>
    </row>
    <row r="8" spans="1:18" hidden="1">
      <c r="A8" s="98">
        <v>20008711</v>
      </c>
      <c r="B8" s="98">
        <v>2</v>
      </c>
      <c r="C8" s="98" t="s">
        <v>55</v>
      </c>
      <c r="D8" s="98"/>
      <c r="E8" s="213">
        <v>45139</v>
      </c>
      <c r="F8" s="98" t="s">
        <v>862</v>
      </c>
      <c r="G8" s="140" t="s">
        <v>863</v>
      </c>
      <c r="H8" s="83"/>
      <c r="I8" s="140" t="s">
        <v>3305</v>
      </c>
      <c r="J8" s="98">
        <v>98055</v>
      </c>
      <c r="K8" s="98" t="s">
        <v>50</v>
      </c>
      <c r="L8" s="98" t="s">
        <v>80</v>
      </c>
      <c r="M8" s="98" t="s">
        <v>40</v>
      </c>
      <c r="N8" s="237">
        <f>+VLOOKUP(A8,COMISIONES!$C$2:$AR$33,42,0)</f>
        <v>15</v>
      </c>
      <c r="O8" s="53">
        <f t="shared" si="0"/>
        <v>30</v>
      </c>
      <c r="P8" s="7">
        <f>+VLOOKUP(A8,COMISIONES!$C$2:$C$33,1,0)</f>
        <v>20008711</v>
      </c>
    </row>
    <row r="9" spans="1:18" hidden="1">
      <c r="A9" s="98">
        <v>20009174</v>
      </c>
      <c r="B9" s="98">
        <v>2</v>
      </c>
      <c r="C9" s="98" t="s">
        <v>55</v>
      </c>
      <c r="D9" s="98"/>
      <c r="E9" s="213">
        <v>45139</v>
      </c>
      <c r="F9" s="98" t="s">
        <v>3279</v>
      </c>
      <c r="G9" s="140" t="s">
        <v>3234</v>
      </c>
      <c r="H9" s="8"/>
      <c r="I9" s="140" t="s">
        <v>3432</v>
      </c>
      <c r="J9" s="98">
        <v>98064</v>
      </c>
      <c r="K9" s="98" t="s">
        <v>52</v>
      </c>
      <c r="L9" s="98" t="s">
        <v>80</v>
      </c>
      <c r="M9" s="98" t="s">
        <v>40</v>
      </c>
      <c r="N9" s="237">
        <f>+VLOOKUP(A9,COMISIONES!$C$2:$AR$33,42,0)</f>
        <v>20</v>
      </c>
      <c r="O9" s="53">
        <f t="shared" si="0"/>
        <v>40</v>
      </c>
      <c r="P9" s="7">
        <f>+VLOOKUP(A9,COMISIONES!$C$2:$C$33,1,0)</f>
        <v>20009174</v>
      </c>
    </row>
    <row r="10" spans="1:18" hidden="1">
      <c r="A10" s="98">
        <v>20001487</v>
      </c>
      <c r="B10" s="98">
        <v>2</v>
      </c>
      <c r="C10" s="98" t="s">
        <v>55</v>
      </c>
      <c r="D10" s="98"/>
      <c r="E10" s="213">
        <v>45139</v>
      </c>
      <c r="F10" s="98" t="s">
        <v>1390</v>
      </c>
      <c r="G10" s="140" t="s">
        <v>1391</v>
      </c>
      <c r="H10" s="98"/>
      <c r="I10" s="140" t="s">
        <v>3378</v>
      </c>
      <c r="J10" s="98">
        <v>98003</v>
      </c>
      <c r="K10" s="98" t="s">
        <v>51</v>
      </c>
      <c r="L10" s="98" t="s">
        <v>80</v>
      </c>
      <c r="M10" s="98" t="s">
        <v>40</v>
      </c>
      <c r="N10" s="237">
        <f>+VLOOKUP(A10,COMISIONES!$C$2:$AR$33,42,0)</f>
        <v>30</v>
      </c>
      <c r="O10" s="53">
        <f t="shared" si="0"/>
        <v>60</v>
      </c>
      <c r="P10" s="7">
        <f>+VLOOKUP(A10,COMISIONES!$C$2:$C$33,1,0)</f>
        <v>20001487</v>
      </c>
    </row>
    <row r="11" spans="1:18" hidden="1">
      <c r="A11" s="98">
        <v>20007726</v>
      </c>
      <c r="B11" s="98">
        <v>2</v>
      </c>
      <c r="C11" s="98" t="s">
        <v>55</v>
      </c>
      <c r="D11" s="98"/>
      <c r="E11" s="213">
        <v>45139</v>
      </c>
      <c r="F11" s="98" t="s">
        <v>1351</v>
      </c>
      <c r="G11" s="140" t="s">
        <v>1352</v>
      </c>
      <c r="H11" s="98"/>
      <c r="I11" s="140" t="s">
        <v>3376</v>
      </c>
      <c r="J11" s="98">
        <v>98051</v>
      </c>
      <c r="K11" s="98" t="s">
        <v>49</v>
      </c>
      <c r="L11" s="98" t="s">
        <v>80</v>
      </c>
      <c r="M11" s="98" t="s">
        <v>40</v>
      </c>
      <c r="N11" s="237">
        <f>+VLOOKUP(A11,COMISIONES!$C$2:$AR$33,42,0)</f>
        <v>30</v>
      </c>
      <c r="O11" s="53">
        <f t="shared" si="0"/>
        <v>60</v>
      </c>
      <c r="P11" s="7">
        <f>+VLOOKUP(A11,COMISIONES!$C$2:$C$33,1,0)</f>
        <v>20007726</v>
      </c>
    </row>
    <row r="12" spans="1:18" hidden="1">
      <c r="A12" s="98">
        <v>20010101</v>
      </c>
      <c r="B12" s="98">
        <v>2</v>
      </c>
      <c r="C12" s="98" t="s">
        <v>55</v>
      </c>
      <c r="D12" s="98"/>
      <c r="E12" s="213">
        <v>45139</v>
      </c>
      <c r="F12" s="98" t="s">
        <v>2477</v>
      </c>
      <c r="G12" s="140" t="s">
        <v>2478</v>
      </c>
      <c r="H12" s="83"/>
      <c r="I12" s="140" t="s">
        <v>3879</v>
      </c>
      <c r="J12" s="98">
        <v>98072</v>
      </c>
      <c r="K12" s="98" t="s">
        <v>49</v>
      </c>
      <c r="L12" s="98" t="s">
        <v>80</v>
      </c>
      <c r="M12" s="98" t="s">
        <v>40</v>
      </c>
      <c r="N12" s="237">
        <f>+VLOOKUP(A12,COMISIONES!$C$2:$AR$33,42,0)</f>
        <v>30</v>
      </c>
      <c r="O12" s="53">
        <f t="shared" si="0"/>
        <v>60</v>
      </c>
      <c r="P12" s="7">
        <f>+VLOOKUP(A12,COMISIONES!$C$2:$C$33,1,0)</f>
        <v>20010101</v>
      </c>
    </row>
    <row r="13" spans="1:18" hidden="1">
      <c r="A13" s="98">
        <v>20010617</v>
      </c>
      <c r="B13" s="98">
        <v>2</v>
      </c>
      <c r="C13" s="98" t="s">
        <v>55</v>
      </c>
      <c r="D13" s="98"/>
      <c r="E13" s="213">
        <v>45139</v>
      </c>
      <c r="F13" s="98" t="s">
        <v>2318</v>
      </c>
      <c r="G13" s="140" t="s">
        <v>2319</v>
      </c>
      <c r="H13" s="98"/>
      <c r="I13" s="140" t="s">
        <v>3520</v>
      </c>
      <c r="J13" s="98">
        <v>98079</v>
      </c>
      <c r="K13" s="98" t="s">
        <v>49</v>
      </c>
      <c r="L13" s="98" t="s">
        <v>80</v>
      </c>
      <c r="M13" s="98" t="s">
        <v>40</v>
      </c>
      <c r="N13" s="237">
        <f>+VLOOKUP(A13,COMISIONES!$C$2:$AR$33,42,0)</f>
        <v>5</v>
      </c>
      <c r="O13" s="53">
        <f t="shared" si="0"/>
        <v>10</v>
      </c>
      <c r="P13" s="7">
        <f>+VLOOKUP(A13,COMISIONES!$C$2:$C$33,1,0)</f>
        <v>20010617</v>
      </c>
    </row>
    <row r="14" spans="1:18" hidden="1">
      <c r="A14" s="98">
        <v>20010766</v>
      </c>
      <c r="B14" s="98">
        <v>2</v>
      </c>
      <c r="C14" s="98" t="s">
        <v>55</v>
      </c>
      <c r="D14" s="98"/>
      <c r="E14" s="213">
        <v>45139</v>
      </c>
      <c r="F14" s="98" t="s">
        <v>1979</v>
      </c>
      <c r="G14" s="140" t="s">
        <v>1980</v>
      </c>
      <c r="H14" s="83"/>
      <c r="I14" s="140" t="s">
        <v>3473</v>
      </c>
      <c r="J14" s="98">
        <v>98080</v>
      </c>
      <c r="K14" s="98" t="s">
        <v>51</v>
      </c>
      <c r="L14" s="98" t="s">
        <v>80</v>
      </c>
      <c r="M14" s="98" t="s">
        <v>40</v>
      </c>
      <c r="N14" s="237">
        <f>+VLOOKUP(A14,COMISIONES!$C$2:$AR$33,42,0)</f>
        <v>10</v>
      </c>
      <c r="O14" s="53">
        <f t="shared" si="0"/>
        <v>20</v>
      </c>
      <c r="P14" s="7">
        <f>+VLOOKUP(A14,COMISIONES!$C$2:$C$33,1,0)</f>
        <v>20010766</v>
      </c>
    </row>
    <row r="15" spans="1:18" hidden="1">
      <c r="A15" s="98">
        <v>20006233</v>
      </c>
      <c r="B15" s="98">
        <v>2</v>
      </c>
      <c r="C15" s="98" t="s">
        <v>55</v>
      </c>
      <c r="D15" s="98"/>
      <c r="E15" s="213">
        <v>45139</v>
      </c>
      <c r="F15" s="98" t="s">
        <v>1887</v>
      </c>
      <c r="G15" s="140" t="s">
        <v>1888</v>
      </c>
      <c r="H15" s="98"/>
      <c r="I15" s="140" t="s">
        <v>3462</v>
      </c>
      <c r="J15" s="98">
        <v>98008</v>
      </c>
      <c r="K15" s="98" t="s">
        <v>52</v>
      </c>
      <c r="L15" s="98" t="s">
        <v>80</v>
      </c>
      <c r="M15" s="98" t="s">
        <v>40</v>
      </c>
      <c r="N15" s="237">
        <f>+VLOOKUP(A15,COMISIONES!$C$2:$AR$33,42,0)</f>
        <v>15</v>
      </c>
      <c r="O15" s="53">
        <f t="shared" si="0"/>
        <v>30</v>
      </c>
      <c r="P15" s="7">
        <f>+VLOOKUP(A15,COMISIONES!$C$2:$C$33,1,0)</f>
        <v>20006233</v>
      </c>
    </row>
    <row r="16" spans="1:18" hidden="1">
      <c r="A16" s="98">
        <v>20000661</v>
      </c>
      <c r="B16" s="98">
        <v>2</v>
      </c>
      <c r="C16" s="98" t="s">
        <v>55</v>
      </c>
      <c r="D16" s="98"/>
      <c r="E16" s="213">
        <v>45139</v>
      </c>
      <c r="F16" s="98" t="s">
        <v>1779</v>
      </c>
      <c r="G16" s="140" t="s">
        <v>1780</v>
      </c>
      <c r="H16" s="98"/>
      <c r="I16" s="140" t="s">
        <v>3448</v>
      </c>
      <c r="J16" s="98">
        <v>98013</v>
      </c>
      <c r="K16" s="98" t="s">
        <v>51</v>
      </c>
      <c r="L16" s="98" t="s">
        <v>80</v>
      </c>
      <c r="M16" s="98" t="s">
        <v>40</v>
      </c>
      <c r="N16" s="237">
        <f>+VLOOKUP(A16,COMISIONES!$C$2:$AR$33,42,0)</f>
        <v>15</v>
      </c>
      <c r="O16" s="53">
        <f t="shared" si="0"/>
        <v>30</v>
      </c>
      <c r="P16" s="7">
        <f>+VLOOKUP(A16,COMISIONES!$C$2:$C$33,1,0)</f>
        <v>20000661</v>
      </c>
    </row>
    <row r="17" spans="1:16" hidden="1">
      <c r="A17" s="98">
        <v>20005527</v>
      </c>
      <c r="B17" s="98">
        <v>2</v>
      </c>
      <c r="C17" s="98" t="s">
        <v>55</v>
      </c>
      <c r="D17" s="98"/>
      <c r="E17" s="213">
        <v>45139</v>
      </c>
      <c r="F17" s="98" t="s">
        <v>1387</v>
      </c>
      <c r="G17" s="140" t="s">
        <v>1388</v>
      </c>
      <c r="H17" s="98"/>
      <c r="I17" s="140" t="s">
        <v>3377</v>
      </c>
      <c r="J17" s="98">
        <v>98041</v>
      </c>
      <c r="K17" s="98" t="s">
        <v>52</v>
      </c>
      <c r="L17" s="98" t="s">
        <v>80</v>
      </c>
      <c r="M17" s="98" t="s">
        <v>40</v>
      </c>
      <c r="N17" s="237">
        <f>+VLOOKUP(A17,COMISIONES!$C$2:$AR$33,42,0)</f>
        <v>10</v>
      </c>
      <c r="O17" s="53">
        <f t="shared" si="0"/>
        <v>20</v>
      </c>
      <c r="P17" s="7">
        <f>+VLOOKUP(A17,COMISIONES!$C$2:$C$33,1,0)</f>
        <v>20005527</v>
      </c>
    </row>
    <row r="18" spans="1:16" hidden="1">
      <c r="A18" s="98">
        <v>20009688</v>
      </c>
      <c r="B18" s="98">
        <v>2</v>
      </c>
      <c r="C18" s="98" t="s">
        <v>55</v>
      </c>
      <c r="D18" s="98"/>
      <c r="E18" s="213">
        <v>45139</v>
      </c>
      <c r="F18" s="98" t="s">
        <v>1151</v>
      </c>
      <c r="G18" s="140" t="s">
        <v>1152</v>
      </c>
      <c r="H18" s="98"/>
      <c r="I18" s="140" t="s">
        <v>3360</v>
      </c>
      <c r="J18" s="98">
        <v>98075</v>
      </c>
      <c r="K18" s="98" t="s">
        <v>52</v>
      </c>
      <c r="L18" s="98" t="s">
        <v>80</v>
      </c>
      <c r="M18" s="98" t="s">
        <v>40</v>
      </c>
      <c r="N18" s="237">
        <f>+VLOOKUP(A18,COMISIONES!$C$2:$AR$33,42,0)</f>
        <v>15</v>
      </c>
      <c r="O18" s="53">
        <f t="shared" si="0"/>
        <v>30</v>
      </c>
      <c r="P18" s="7">
        <f>+VLOOKUP(A18,COMISIONES!$C$2:$C$33,1,0)</f>
        <v>20009688</v>
      </c>
    </row>
    <row r="19" spans="1:16" hidden="1">
      <c r="A19" s="98">
        <v>20001487</v>
      </c>
      <c r="B19" s="98">
        <v>2</v>
      </c>
      <c r="C19" s="98" t="s">
        <v>55</v>
      </c>
      <c r="D19" s="98"/>
      <c r="E19" s="213">
        <v>45139</v>
      </c>
      <c r="F19" s="98" t="s">
        <v>1003</v>
      </c>
      <c r="G19" s="140" t="s">
        <v>1004</v>
      </c>
      <c r="H19" s="83"/>
      <c r="I19" s="140" t="s">
        <v>3326</v>
      </c>
      <c r="J19" s="98">
        <v>98003</v>
      </c>
      <c r="K19" s="98" t="s">
        <v>51</v>
      </c>
      <c r="L19" s="98" t="s">
        <v>80</v>
      </c>
      <c r="M19" s="98" t="s">
        <v>40</v>
      </c>
      <c r="N19" s="237">
        <f>+VLOOKUP(A19,COMISIONES!$C$2:$AR$33,42,0)</f>
        <v>30</v>
      </c>
      <c r="O19" s="53">
        <f t="shared" si="0"/>
        <v>60</v>
      </c>
      <c r="P19" s="7">
        <f>+VLOOKUP(A19,COMISIONES!$C$2:$C$33,1,0)</f>
        <v>20001487</v>
      </c>
    </row>
    <row r="20" spans="1:16" hidden="1">
      <c r="A20" s="98">
        <v>20007726</v>
      </c>
      <c r="B20" s="98">
        <v>2</v>
      </c>
      <c r="C20" s="98" t="s">
        <v>55</v>
      </c>
      <c r="D20" s="98"/>
      <c r="E20" s="213">
        <v>45139</v>
      </c>
      <c r="F20" s="98" t="s">
        <v>912</v>
      </c>
      <c r="G20" s="140" t="s">
        <v>913</v>
      </c>
      <c r="H20" s="98"/>
      <c r="I20" s="140" t="s">
        <v>3313</v>
      </c>
      <c r="J20" s="98">
        <v>98051</v>
      </c>
      <c r="K20" s="98" t="s">
        <v>49</v>
      </c>
      <c r="L20" s="98" t="s">
        <v>80</v>
      </c>
      <c r="M20" s="98" t="s">
        <v>40</v>
      </c>
      <c r="N20" s="237">
        <f>+VLOOKUP(A20,COMISIONES!$C$2:$AR$33,42,0)</f>
        <v>30</v>
      </c>
      <c r="O20" s="53">
        <f t="shared" si="0"/>
        <v>60</v>
      </c>
      <c r="P20" s="7">
        <f>+VLOOKUP(A20,COMISIONES!$C$2:$C$33,1,0)</f>
        <v>20007726</v>
      </c>
    </row>
    <row r="21" spans="1:16" hidden="1">
      <c r="A21" s="98">
        <v>20007726</v>
      </c>
      <c r="B21" s="98">
        <v>2</v>
      </c>
      <c r="C21" s="98" t="s">
        <v>55</v>
      </c>
      <c r="D21" s="98"/>
      <c r="E21" s="213">
        <v>45139</v>
      </c>
      <c r="F21" s="98" t="s">
        <v>868</v>
      </c>
      <c r="G21" s="140" t="s">
        <v>869</v>
      </c>
      <c r="H21" s="98"/>
      <c r="I21" s="140" t="s">
        <v>3306</v>
      </c>
      <c r="J21" s="98">
        <v>98051</v>
      </c>
      <c r="K21" s="98" t="s">
        <v>49</v>
      </c>
      <c r="L21" s="98" t="s">
        <v>80</v>
      </c>
      <c r="M21" s="98" t="s">
        <v>40</v>
      </c>
      <c r="N21" s="237">
        <f>+VLOOKUP(A21,COMISIONES!$C$2:$AR$33,42,0)</f>
        <v>30</v>
      </c>
      <c r="O21" s="53">
        <f t="shared" si="0"/>
        <v>60</v>
      </c>
      <c r="P21" s="7">
        <f>+VLOOKUP(A21,COMISIONES!$C$2:$C$33,1,0)</f>
        <v>20007726</v>
      </c>
    </row>
    <row r="22" spans="1:16" hidden="1">
      <c r="A22" s="98">
        <v>20009174</v>
      </c>
      <c r="B22" s="98">
        <v>2</v>
      </c>
      <c r="C22" s="98" t="s">
        <v>55</v>
      </c>
      <c r="D22" s="98"/>
      <c r="E22" s="213">
        <v>45139</v>
      </c>
      <c r="F22" s="98" t="s">
        <v>844</v>
      </c>
      <c r="G22" s="140" t="s">
        <v>845</v>
      </c>
      <c r="H22" s="83"/>
      <c r="I22" s="140" t="s">
        <v>3304</v>
      </c>
      <c r="J22" s="98">
        <v>98064</v>
      </c>
      <c r="K22" s="98" t="s">
        <v>52</v>
      </c>
      <c r="L22" s="98" t="s">
        <v>80</v>
      </c>
      <c r="M22" s="98" t="s">
        <v>40</v>
      </c>
      <c r="N22" s="237">
        <f>+VLOOKUP(A22,COMISIONES!$C$2:$AR$33,42,0)</f>
        <v>20</v>
      </c>
      <c r="O22" s="53">
        <f t="shared" si="0"/>
        <v>40</v>
      </c>
      <c r="P22" s="7">
        <f>+VLOOKUP(A22,COMISIONES!$C$2:$C$33,1,0)</f>
        <v>20009174</v>
      </c>
    </row>
    <row r="23" spans="1:16" hidden="1">
      <c r="A23" s="98">
        <v>20000033</v>
      </c>
      <c r="B23" s="98">
        <v>2</v>
      </c>
      <c r="C23" s="98" t="s">
        <v>55</v>
      </c>
      <c r="D23" s="98"/>
      <c r="E23" s="213">
        <v>45139</v>
      </c>
      <c r="F23" s="98" t="s">
        <v>2861</v>
      </c>
      <c r="G23" s="140" t="s">
        <v>2862</v>
      </c>
      <c r="H23" s="98"/>
      <c r="I23" s="140" t="s">
        <v>3571</v>
      </c>
      <c r="J23" s="98">
        <v>98000</v>
      </c>
      <c r="K23" s="98" t="s">
        <v>51</v>
      </c>
      <c r="L23" s="98" t="s">
        <v>80</v>
      </c>
      <c r="M23" s="98" t="s">
        <v>40</v>
      </c>
      <c r="N23" s="237">
        <f>+VLOOKUP(A23,COMISIONES!$C$2:$AR$33,42,0)</f>
        <v>15</v>
      </c>
      <c r="O23" s="53">
        <f t="shared" si="0"/>
        <v>30</v>
      </c>
      <c r="P23" s="7">
        <f>+VLOOKUP(A23,COMISIONES!$C$2:$C$33,1,0)</f>
        <v>20000033</v>
      </c>
    </row>
    <row r="24" spans="1:16" hidden="1">
      <c r="A24" s="98">
        <v>20004161</v>
      </c>
      <c r="B24" s="98">
        <v>2</v>
      </c>
      <c r="C24" s="98" t="s">
        <v>55</v>
      </c>
      <c r="D24" s="98"/>
      <c r="E24" s="213">
        <v>45139</v>
      </c>
      <c r="F24" s="98" t="s">
        <v>1800</v>
      </c>
      <c r="G24" s="140" t="s">
        <v>1801</v>
      </c>
      <c r="H24" s="83"/>
      <c r="I24" s="140" t="s">
        <v>3442</v>
      </c>
      <c r="J24" s="98">
        <v>98019</v>
      </c>
      <c r="K24" s="98" t="s">
        <v>49</v>
      </c>
      <c r="L24" s="98" t="s">
        <v>80</v>
      </c>
      <c r="M24" s="98" t="s">
        <v>40</v>
      </c>
      <c r="N24" s="237">
        <f>+VLOOKUP(A24,COMISIONES!$C$2:$AR$33,42,0)</f>
        <v>32.5</v>
      </c>
      <c r="O24" s="53">
        <f t="shared" si="0"/>
        <v>65</v>
      </c>
      <c r="P24" s="7">
        <f>+VLOOKUP(A24,COMISIONES!$C$2:$C$33,1,0)</f>
        <v>20004161</v>
      </c>
    </row>
    <row r="25" spans="1:16" hidden="1">
      <c r="A25" s="98">
        <v>20004161</v>
      </c>
      <c r="B25" s="98">
        <v>2</v>
      </c>
      <c r="C25" s="98" t="s">
        <v>55</v>
      </c>
      <c r="D25" s="98"/>
      <c r="E25" s="213">
        <v>45139</v>
      </c>
      <c r="F25" s="98" t="s">
        <v>1699</v>
      </c>
      <c r="G25" s="140" t="s">
        <v>1700</v>
      </c>
      <c r="H25" s="83"/>
      <c r="I25" s="140" t="s">
        <v>3435</v>
      </c>
      <c r="J25" s="98">
        <v>98019</v>
      </c>
      <c r="K25" s="98" t="s">
        <v>49</v>
      </c>
      <c r="L25" s="98" t="s">
        <v>80</v>
      </c>
      <c r="M25" s="98" t="s">
        <v>40</v>
      </c>
      <c r="N25" s="237">
        <f>+VLOOKUP(A25,COMISIONES!$C$2:$AR$33,42,0)</f>
        <v>32.5</v>
      </c>
      <c r="O25" s="53">
        <f t="shared" si="0"/>
        <v>65</v>
      </c>
      <c r="P25" s="7">
        <f>+VLOOKUP(A25,COMISIONES!$C$2:$C$33,1,0)</f>
        <v>20004161</v>
      </c>
    </row>
    <row r="26" spans="1:16" hidden="1">
      <c r="A26" s="98">
        <v>20001487</v>
      </c>
      <c r="B26" s="98">
        <v>2</v>
      </c>
      <c r="C26" s="98" t="s">
        <v>55</v>
      </c>
      <c r="D26" s="98"/>
      <c r="E26" s="213">
        <v>45139</v>
      </c>
      <c r="F26" s="98" t="s">
        <v>1474</v>
      </c>
      <c r="G26" s="140" t="s">
        <v>1475</v>
      </c>
      <c r="H26" s="98"/>
      <c r="I26" s="140" t="s">
        <v>3391</v>
      </c>
      <c r="J26" s="98">
        <v>98003</v>
      </c>
      <c r="K26" s="98" t="s">
        <v>51</v>
      </c>
      <c r="L26" s="98" t="s">
        <v>80</v>
      </c>
      <c r="M26" s="98" t="s">
        <v>40</v>
      </c>
      <c r="N26" s="237">
        <f>+VLOOKUP(A26,COMISIONES!$C$2:$AR$33,42,0)</f>
        <v>30</v>
      </c>
      <c r="O26" s="53">
        <f t="shared" si="0"/>
        <v>60</v>
      </c>
      <c r="P26" s="7">
        <f>+VLOOKUP(A26,COMISIONES!$C$2:$C$33,1,0)</f>
        <v>20001487</v>
      </c>
    </row>
    <row r="27" spans="1:16" hidden="1">
      <c r="A27" s="98">
        <v>20007943</v>
      </c>
      <c r="B27" s="98">
        <v>2</v>
      </c>
      <c r="C27" s="98" t="s">
        <v>55</v>
      </c>
      <c r="D27" s="98"/>
      <c r="E27" s="213">
        <v>45139</v>
      </c>
      <c r="F27" s="98" t="s">
        <v>1425</v>
      </c>
      <c r="G27" s="140" t="s">
        <v>1426</v>
      </c>
      <c r="H27" s="98"/>
      <c r="I27" s="140" t="s">
        <v>3387</v>
      </c>
      <c r="J27" s="98">
        <v>98077</v>
      </c>
      <c r="K27" s="98" t="s">
        <v>51</v>
      </c>
      <c r="L27" s="98" t="s">
        <v>80</v>
      </c>
      <c r="M27" s="98" t="s">
        <v>40</v>
      </c>
      <c r="N27" s="237">
        <f>+VLOOKUP(A27,COMISIONES!$C$2:$AR$33,42,0)</f>
        <v>10</v>
      </c>
      <c r="O27" s="53">
        <f t="shared" si="0"/>
        <v>20</v>
      </c>
      <c r="P27" s="7">
        <f>+VLOOKUP(A27,COMISIONES!$C$2:$C$33,1,0)</f>
        <v>20007943</v>
      </c>
    </row>
    <row r="28" spans="1:16" hidden="1">
      <c r="A28" s="98">
        <v>20004638</v>
      </c>
      <c r="B28" s="98">
        <v>2</v>
      </c>
      <c r="C28" s="98" t="s">
        <v>55</v>
      </c>
      <c r="D28" s="98"/>
      <c r="E28" s="213">
        <v>45139</v>
      </c>
      <c r="F28" s="98" t="s">
        <v>1256</v>
      </c>
      <c r="G28" s="140" t="s">
        <v>1257</v>
      </c>
      <c r="H28" s="98"/>
      <c r="I28" s="140" t="s">
        <v>3369</v>
      </c>
      <c r="J28" s="98">
        <v>98009</v>
      </c>
      <c r="K28" s="98" t="s">
        <v>51</v>
      </c>
      <c r="L28" s="98" t="s">
        <v>80</v>
      </c>
      <c r="M28" s="98" t="s">
        <v>40</v>
      </c>
      <c r="N28" s="237">
        <f>+VLOOKUP(A28,COMISIONES!$C$2:$AR$33,42,0)</f>
        <v>10</v>
      </c>
      <c r="O28" s="53">
        <f t="shared" si="0"/>
        <v>20</v>
      </c>
      <c r="P28" s="7">
        <f>+VLOOKUP(A28,COMISIONES!$C$2:$C$33,1,0)</f>
        <v>20004638</v>
      </c>
    </row>
    <row r="29" spans="1:16" hidden="1">
      <c r="A29" s="98">
        <v>20004566</v>
      </c>
      <c r="B29" s="98">
        <v>2</v>
      </c>
      <c r="C29" s="98" t="s">
        <v>55</v>
      </c>
      <c r="D29" s="98"/>
      <c r="E29" s="213">
        <v>45139</v>
      </c>
      <c r="F29" s="98" t="s">
        <v>1052</v>
      </c>
      <c r="G29" s="140" t="s">
        <v>1053</v>
      </c>
      <c r="H29" s="98"/>
      <c r="I29" s="140" t="s">
        <v>3338</v>
      </c>
      <c r="J29" s="98">
        <v>98023</v>
      </c>
      <c r="K29" s="98" t="s">
        <v>50</v>
      </c>
      <c r="L29" s="98" t="s">
        <v>80</v>
      </c>
      <c r="M29" s="98" t="s">
        <v>40</v>
      </c>
      <c r="N29" s="237">
        <f>+VLOOKUP(A29,COMISIONES!$C$2:$AR$33,42,0)</f>
        <v>20</v>
      </c>
      <c r="O29" s="53">
        <f t="shared" si="0"/>
        <v>40</v>
      </c>
      <c r="P29" s="7">
        <f>+VLOOKUP(A29,COMISIONES!$C$2:$C$33,1,0)</f>
        <v>20004566</v>
      </c>
    </row>
    <row r="30" spans="1:16" hidden="1">
      <c r="A30" s="98">
        <v>20004235</v>
      </c>
      <c r="B30" s="98">
        <v>2</v>
      </c>
      <c r="C30" s="98" t="s">
        <v>55</v>
      </c>
      <c r="D30" s="98"/>
      <c r="E30" s="213">
        <v>45139</v>
      </c>
      <c r="F30" s="98" t="s">
        <v>988</v>
      </c>
      <c r="G30" s="140" t="s">
        <v>989</v>
      </c>
      <c r="H30" s="98"/>
      <c r="I30" s="140" t="s">
        <v>3325</v>
      </c>
      <c r="J30" s="98">
        <v>98002</v>
      </c>
      <c r="K30" s="98" t="s">
        <v>49</v>
      </c>
      <c r="L30" s="98" t="s">
        <v>80</v>
      </c>
      <c r="M30" s="98" t="s">
        <v>40</v>
      </c>
      <c r="N30" s="237">
        <f>+VLOOKUP(A30,COMISIONES!$C$2:$AR$33,42,0)</f>
        <v>15</v>
      </c>
      <c r="O30" s="53">
        <f t="shared" si="0"/>
        <v>30</v>
      </c>
      <c r="P30" s="7">
        <f>+VLOOKUP(A30,COMISIONES!$C$2:$C$33,1,0)</f>
        <v>20004235</v>
      </c>
    </row>
    <row r="31" spans="1:16" hidden="1">
      <c r="A31" s="98">
        <v>20004566</v>
      </c>
      <c r="B31" s="98">
        <v>2</v>
      </c>
      <c r="C31" s="98" t="s">
        <v>55</v>
      </c>
      <c r="D31" s="98"/>
      <c r="E31" s="213">
        <v>45139</v>
      </c>
      <c r="F31" s="98" t="s">
        <v>900</v>
      </c>
      <c r="G31" s="140" t="s">
        <v>901</v>
      </c>
      <c r="H31" s="8"/>
      <c r="I31" s="140" t="s">
        <v>3312</v>
      </c>
      <c r="J31" s="98">
        <v>98023</v>
      </c>
      <c r="K31" s="98" t="s">
        <v>50</v>
      </c>
      <c r="L31" s="98" t="s">
        <v>80</v>
      </c>
      <c r="M31" s="98" t="s">
        <v>40</v>
      </c>
      <c r="N31" s="237">
        <f>+VLOOKUP(A31,COMISIONES!$C$2:$AR$33,42,0)</f>
        <v>20</v>
      </c>
      <c r="O31" s="53">
        <f t="shared" si="0"/>
        <v>40</v>
      </c>
      <c r="P31" s="7">
        <f>+VLOOKUP(A31,COMISIONES!$C$2:$C$33,1,0)</f>
        <v>20004566</v>
      </c>
    </row>
    <row r="32" spans="1:16" hidden="1">
      <c r="A32" s="98">
        <v>20010604</v>
      </c>
      <c r="B32" s="98">
        <v>2</v>
      </c>
      <c r="C32" s="98" t="s">
        <v>55</v>
      </c>
      <c r="D32" s="98"/>
      <c r="E32" s="213">
        <v>45139</v>
      </c>
      <c r="F32" s="98" t="s">
        <v>2726</v>
      </c>
      <c r="G32" s="140" t="s">
        <v>2727</v>
      </c>
      <c r="H32" s="98"/>
      <c r="I32" s="140" t="s">
        <v>3550</v>
      </c>
      <c r="J32" s="98">
        <v>98078</v>
      </c>
      <c r="K32" s="98" t="s">
        <v>50</v>
      </c>
      <c r="L32" s="98" t="s">
        <v>80</v>
      </c>
      <c r="M32" s="98" t="s">
        <v>40</v>
      </c>
      <c r="N32" s="237">
        <f>+VLOOKUP(A32,COMISIONES!$C$2:$AR$33,42,0)</f>
        <v>10</v>
      </c>
      <c r="O32" s="53">
        <f t="shared" si="0"/>
        <v>20</v>
      </c>
      <c r="P32" s="7">
        <f>+VLOOKUP(A32,COMISIONES!$C$2:$C$33,1,0)</f>
        <v>20010604</v>
      </c>
    </row>
    <row r="33" spans="1:16" hidden="1">
      <c r="A33" s="98">
        <v>20004235</v>
      </c>
      <c r="B33" s="98">
        <v>2</v>
      </c>
      <c r="C33" s="98" t="s">
        <v>55</v>
      </c>
      <c r="D33" s="98"/>
      <c r="E33" s="213">
        <v>45139</v>
      </c>
      <c r="F33" s="98" t="s">
        <v>2636</v>
      </c>
      <c r="G33" s="140" t="s">
        <v>2637</v>
      </c>
      <c r="H33" s="98"/>
      <c r="I33" s="140" t="s">
        <v>3547</v>
      </c>
      <c r="J33" s="98">
        <v>98002</v>
      </c>
      <c r="K33" s="98" t="s">
        <v>49</v>
      </c>
      <c r="L33" s="98" t="s">
        <v>80</v>
      </c>
      <c r="M33" s="98" t="s">
        <v>40</v>
      </c>
      <c r="N33" s="237">
        <f>+VLOOKUP(A33,COMISIONES!$C$2:$AR$33,42,0)</f>
        <v>15</v>
      </c>
      <c r="O33" s="53">
        <f t="shared" si="0"/>
        <v>30</v>
      </c>
      <c r="P33" s="7">
        <f>+VLOOKUP(A33,COMISIONES!$C$2:$C$33,1,0)</f>
        <v>20004235</v>
      </c>
    </row>
    <row r="34" spans="1:16" hidden="1">
      <c r="A34" s="98">
        <v>20004638</v>
      </c>
      <c r="B34" s="98">
        <v>2</v>
      </c>
      <c r="C34" s="98" t="s">
        <v>55</v>
      </c>
      <c r="D34" s="98"/>
      <c r="E34" s="213">
        <v>45139</v>
      </c>
      <c r="F34" s="98" t="s">
        <v>2306</v>
      </c>
      <c r="G34" s="140" t="s">
        <v>2307</v>
      </c>
      <c r="H34" s="83"/>
      <c r="I34" s="140" t="s">
        <v>3526</v>
      </c>
      <c r="J34" s="98">
        <v>98009</v>
      </c>
      <c r="K34" s="98" t="s">
        <v>51</v>
      </c>
      <c r="L34" s="98" t="s">
        <v>80</v>
      </c>
      <c r="M34" s="98" t="s">
        <v>40</v>
      </c>
      <c r="N34" s="237">
        <f>+VLOOKUP(A34,COMISIONES!$C$2:$AR$33,42,0)</f>
        <v>10</v>
      </c>
      <c r="O34" s="53">
        <f t="shared" si="0"/>
        <v>20</v>
      </c>
      <c r="P34" s="7">
        <f>+VLOOKUP(A34,COMISIONES!$C$2:$C$33,1,0)</f>
        <v>20004638</v>
      </c>
    </row>
    <row r="35" spans="1:16" hidden="1">
      <c r="A35" s="98">
        <v>20007352</v>
      </c>
      <c r="B35" s="98">
        <v>2</v>
      </c>
      <c r="C35" s="98" t="s">
        <v>55</v>
      </c>
      <c r="D35" s="98"/>
      <c r="E35" s="213">
        <v>45139</v>
      </c>
      <c r="F35" s="98" t="s">
        <v>2054</v>
      </c>
      <c r="G35" s="140" t="s">
        <v>2055</v>
      </c>
      <c r="H35" s="98"/>
      <c r="I35" s="140" t="s">
        <v>3498</v>
      </c>
      <c r="J35" s="98">
        <v>98034</v>
      </c>
      <c r="K35" s="98" t="s">
        <v>52</v>
      </c>
      <c r="L35" s="98" t="s">
        <v>80</v>
      </c>
      <c r="M35" s="98" t="s">
        <v>40</v>
      </c>
      <c r="N35" s="237">
        <f>+VLOOKUP(A35,COMISIONES!$C$2:$AR$33,42,0)</f>
        <v>15</v>
      </c>
      <c r="O35" s="53">
        <f t="shared" si="0"/>
        <v>30</v>
      </c>
      <c r="P35" s="7">
        <f>+VLOOKUP(A35,COMISIONES!$C$2:$C$33,1,0)</f>
        <v>20007352</v>
      </c>
    </row>
    <row r="36" spans="1:16" hidden="1">
      <c r="A36" s="98">
        <v>20007726</v>
      </c>
      <c r="B36" s="98">
        <v>2</v>
      </c>
      <c r="C36" s="98" t="s">
        <v>55</v>
      </c>
      <c r="D36" s="98"/>
      <c r="E36" s="213">
        <v>45139</v>
      </c>
      <c r="F36" s="98" t="s">
        <v>1803</v>
      </c>
      <c r="G36" s="140" t="s">
        <v>1804</v>
      </c>
      <c r="H36" s="98"/>
      <c r="I36" s="140" t="s">
        <v>3450</v>
      </c>
      <c r="J36" s="98">
        <v>98051</v>
      </c>
      <c r="K36" s="98" t="s">
        <v>49</v>
      </c>
      <c r="L36" s="98" t="s">
        <v>80</v>
      </c>
      <c r="M36" s="98" t="s">
        <v>40</v>
      </c>
      <c r="N36" s="237">
        <f>+VLOOKUP(A36,COMISIONES!$C$2:$AR$33,42,0)</f>
        <v>30</v>
      </c>
      <c r="O36" s="53">
        <f t="shared" si="0"/>
        <v>60</v>
      </c>
      <c r="P36" s="7">
        <f>+VLOOKUP(A36,COMISIONES!$C$2:$C$33,1,0)</f>
        <v>20007726</v>
      </c>
    </row>
    <row r="37" spans="1:16" hidden="1">
      <c r="A37" s="98">
        <v>20009688</v>
      </c>
      <c r="B37" s="98">
        <v>2</v>
      </c>
      <c r="C37" s="98" t="s">
        <v>55</v>
      </c>
      <c r="D37" s="98"/>
      <c r="E37" s="213">
        <v>45139</v>
      </c>
      <c r="F37" s="98" t="s">
        <v>1755</v>
      </c>
      <c r="G37" s="140" t="s">
        <v>1756</v>
      </c>
      <c r="H37" s="98"/>
      <c r="I37" s="140" t="s">
        <v>3451</v>
      </c>
      <c r="J37" s="98">
        <v>98075</v>
      </c>
      <c r="K37" s="98" t="s">
        <v>52</v>
      </c>
      <c r="L37" s="98" t="s">
        <v>80</v>
      </c>
      <c r="M37" s="98" t="s">
        <v>40</v>
      </c>
      <c r="N37" s="237">
        <f>+VLOOKUP(A37,COMISIONES!$C$2:$AR$33,42,0)</f>
        <v>15</v>
      </c>
      <c r="O37" s="53">
        <f t="shared" si="0"/>
        <v>30</v>
      </c>
      <c r="P37" s="7">
        <f>+VLOOKUP(A37,COMISIONES!$C$2:$C$33,1,0)</f>
        <v>20009688</v>
      </c>
    </row>
    <row r="38" spans="1:16" hidden="1">
      <c r="A38" s="98">
        <v>20004235</v>
      </c>
      <c r="B38" s="98">
        <v>2</v>
      </c>
      <c r="C38" s="98" t="s">
        <v>55</v>
      </c>
      <c r="D38" s="98"/>
      <c r="E38" s="213">
        <v>45139</v>
      </c>
      <c r="F38" s="98" t="s">
        <v>1740</v>
      </c>
      <c r="G38" s="140" t="s">
        <v>1741</v>
      </c>
      <c r="H38" s="98"/>
      <c r="I38" s="140" t="s">
        <v>3440</v>
      </c>
      <c r="J38" s="98">
        <v>98002</v>
      </c>
      <c r="K38" s="98" t="s">
        <v>49</v>
      </c>
      <c r="L38" s="98" t="s">
        <v>80</v>
      </c>
      <c r="M38" s="98" t="s">
        <v>40</v>
      </c>
      <c r="N38" s="237">
        <f>+VLOOKUP(A38,COMISIONES!$C$2:$AR$33,42,0)</f>
        <v>15</v>
      </c>
      <c r="O38" s="53">
        <f t="shared" si="0"/>
        <v>30</v>
      </c>
      <c r="P38" s="7">
        <f>+VLOOKUP(A38,COMISIONES!$C$2:$C$33,1,0)</f>
        <v>20004235</v>
      </c>
    </row>
    <row r="39" spans="1:16" hidden="1">
      <c r="A39" s="98">
        <v>20008700</v>
      </c>
      <c r="B39" s="98">
        <v>2</v>
      </c>
      <c r="C39" s="98" t="s">
        <v>55</v>
      </c>
      <c r="D39" s="98"/>
      <c r="E39" s="213">
        <v>45139</v>
      </c>
      <c r="F39" s="98" t="s">
        <v>1693</v>
      </c>
      <c r="G39" s="140" t="s">
        <v>1694</v>
      </c>
      <c r="H39" s="98"/>
      <c r="I39" s="140" t="s">
        <v>3433</v>
      </c>
      <c r="J39" s="98">
        <v>98056</v>
      </c>
      <c r="K39" s="98" t="s">
        <v>50</v>
      </c>
      <c r="L39" s="98" t="s">
        <v>80</v>
      </c>
      <c r="M39" s="98" t="s">
        <v>40</v>
      </c>
      <c r="N39" s="237">
        <f>+VLOOKUP(A39,COMISIONES!$C$2:$AR$33,42,0)</f>
        <v>10</v>
      </c>
      <c r="O39" s="53">
        <f t="shared" si="0"/>
        <v>20</v>
      </c>
      <c r="P39" s="7">
        <f>+VLOOKUP(A39,COMISIONES!$C$2:$C$33,1,0)</f>
        <v>20008700</v>
      </c>
    </row>
    <row r="40" spans="1:16" hidden="1">
      <c r="A40" s="98">
        <v>20006360</v>
      </c>
      <c r="B40" s="98">
        <v>2</v>
      </c>
      <c r="C40" s="98" t="s">
        <v>55</v>
      </c>
      <c r="D40" s="98"/>
      <c r="E40" s="213">
        <v>45139</v>
      </c>
      <c r="F40" s="98" t="s">
        <v>1576</v>
      </c>
      <c r="G40" s="140" t="s">
        <v>1577</v>
      </c>
      <c r="H40" s="10"/>
      <c r="I40" s="140" t="s">
        <v>3420</v>
      </c>
      <c r="J40" s="98">
        <v>98012</v>
      </c>
      <c r="K40" s="98" t="s">
        <v>50</v>
      </c>
      <c r="L40" s="98" t="s">
        <v>80</v>
      </c>
      <c r="M40" s="98" t="s">
        <v>40</v>
      </c>
      <c r="N40" s="237">
        <f>+VLOOKUP(A40,COMISIONES!$C$2:$AR$33,42,0)</f>
        <v>10</v>
      </c>
      <c r="O40" s="53">
        <f t="shared" si="0"/>
        <v>20</v>
      </c>
      <c r="P40" s="7">
        <f>+VLOOKUP(A40,COMISIONES!$C$2:$C$33,1,0)</f>
        <v>20006360</v>
      </c>
    </row>
    <row r="41" spans="1:16" hidden="1">
      <c r="A41" s="98">
        <v>20008439</v>
      </c>
      <c r="B41" s="98">
        <v>2</v>
      </c>
      <c r="C41" s="98" t="s">
        <v>55</v>
      </c>
      <c r="D41" s="98"/>
      <c r="E41" s="213">
        <v>45139</v>
      </c>
      <c r="F41" s="98" t="s">
        <v>1501</v>
      </c>
      <c r="G41" s="140" t="s">
        <v>1502</v>
      </c>
      <c r="H41" s="98"/>
      <c r="I41" s="140" t="s">
        <v>3407</v>
      </c>
      <c r="J41" s="98">
        <v>98049</v>
      </c>
      <c r="K41" s="98" t="s">
        <v>50</v>
      </c>
      <c r="L41" s="98" t="s">
        <v>80</v>
      </c>
      <c r="M41" s="98" t="s">
        <v>40</v>
      </c>
      <c r="N41" s="237">
        <f>+VLOOKUP(A41,COMISIONES!$C$2:$AR$33,42,0)</f>
        <v>15</v>
      </c>
      <c r="O41" s="53">
        <f t="shared" si="0"/>
        <v>30</v>
      </c>
      <c r="P41" s="7">
        <f>+VLOOKUP(A41,COMISIONES!$C$2:$C$33,1,0)</f>
        <v>20008439</v>
      </c>
    </row>
    <row r="42" spans="1:16" hidden="1">
      <c r="A42" s="98">
        <v>20007726</v>
      </c>
      <c r="B42" s="98">
        <v>2</v>
      </c>
      <c r="C42" s="98" t="s">
        <v>55</v>
      </c>
      <c r="D42" s="98"/>
      <c r="E42" s="213">
        <v>45139</v>
      </c>
      <c r="F42" s="98" t="s">
        <v>1061</v>
      </c>
      <c r="G42" s="140" t="s">
        <v>1062</v>
      </c>
      <c r="H42" s="83"/>
      <c r="I42" s="140" t="s">
        <v>3339</v>
      </c>
      <c r="J42" s="98">
        <v>98051</v>
      </c>
      <c r="K42" s="98" t="s">
        <v>49</v>
      </c>
      <c r="L42" s="98" t="s">
        <v>80</v>
      </c>
      <c r="M42" s="98" t="s">
        <v>40</v>
      </c>
      <c r="N42" s="237">
        <f>+VLOOKUP(A42,COMISIONES!$C$2:$AR$33,42,0)</f>
        <v>30</v>
      </c>
      <c r="O42" s="53">
        <f t="shared" si="0"/>
        <v>60</v>
      </c>
      <c r="P42" s="7">
        <f>+VLOOKUP(A42,COMISIONES!$C$2:$C$33,1,0)</f>
        <v>20007726</v>
      </c>
    </row>
    <row r="43" spans="1:16" hidden="1">
      <c r="A43" s="98">
        <v>20004161</v>
      </c>
      <c r="B43" s="98">
        <v>2</v>
      </c>
      <c r="C43" s="98" t="s">
        <v>55</v>
      </c>
      <c r="D43" s="98"/>
      <c r="E43" s="213">
        <v>45139</v>
      </c>
      <c r="F43" s="98" t="s">
        <v>951</v>
      </c>
      <c r="G43" s="140" t="s">
        <v>952</v>
      </c>
      <c r="H43" s="10"/>
      <c r="I43" s="140" t="s">
        <v>3317</v>
      </c>
      <c r="J43" s="98">
        <v>98019</v>
      </c>
      <c r="K43" s="98" t="s">
        <v>49</v>
      </c>
      <c r="L43" s="98" t="s">
        <v>80</v>
      </c>
      <c r="M43" s="98" t="s">
        <v>40</v>
      </c>
      <c r="N43" s="237">
        <f>+VLOOKUP(A43,COMISIONES!$C$2:$AR$33,42,0)</f>
        <v>32.5</v>
      </c>
      <c r="O43" s="53">
        <f t="shared" si="0"/>
        <v>65</v>
      </c>
      <c r="P43" s="7">
        <f>+VLOOKUP(A43,COMISIONES!$C$2:$C$33,1,0)</f>
        <v>20004161</v>
      </c>
    </row>
    <row r="44" spans="1:16" hidden="1">
      <c r="A44" s="98">
        <v>20010766</v>
      </c>
      <c r="B44" s="98">
        <v>2</v>
      </c>
      <c r="C44" s="98" t="s">
        <v>55</v>
      </c>
      <c r="D44" s="98"/>
      <c r="E44" s="213">
        <v>45139</v>
      </c>
      <c r="F44" s="98" t="s">
        <v>2552</v>
      </c>
      <c r="G44" s="140" t="s">
        <v>2553</v>
      </c>
      <c r="H44" s="98"/>
      <c r="I44" s="140" t="s">
        <v>3541</v>
      </c>
      <c r="J44" s="98">
        <v>98080</v>
      </c>
      <c r="K44" s="98" t="s">
        <v>51</v>
      </c>
      <c r="L44" s="98" t="s">
        <v>80</v>
      </c>
      <c r="M44" s="98" t="s">
        <v>40</v>
      </c>
      <c r="N44" s="237">
        <f>+VLOOKUP(A44,COMISIONES!$C$2:$AR$33,42,0)</f>
        <v>10</v>
      </c>
      <c r="O44" s="53">
        <f t="shared" si="0"/>
        <v>20</v>
      </c>
      <c r="P44" s="7">
        <f>+VLOOKUP(A44,COMISIONES!$C$2:$C$33,1,0)</f>
        <v>20010766</v>
      </c>
    </row>
    <row r="45" spans="1:16" hidden="1">
      <c r="A45" s="98">
        <v>20010766</v>
      </c>
      <c r="B45" s="98">
        <v>2</v>
      </c>
      <c r="C45" s="98" t="s">
        <v>55</v>
      </c>
      <c r="D45" s="98"/>
      <c r="E45" s="213">
        <v>45139</v>
      </c>
      <c r="F45" s="98" t="s">
        <v>2416</v>
      </c>
      <c r="G45" s="140" t="s">
        <v>2417</v>
      </c>
      <c r="H45" s="98"/>
      <c r="I45" s="140" t="s">
        <v>3534</v>
      </c>
      <c r="J45" s="98">
        <v>98080</v>
      </c>
      <c r="K45" s="98" t="s">
        <v>51</v>
      </c>
      <c r="L45" s="98" t="s">
        <v>80</v>
      </c>
      <c r="M45" s="98" t="s">
        <v>40</v>
      </c>
      <c r="N45" s="237">
        <f>+VLOOKUP(A45,COMISIONES!$C$2:$AR$33,42,0)</f>
        <v>10</v>
      </c>
      <c r="O45" s="53">
        <f t="shared" si="0"/>
        <v>20</v>
      </c>
      <c r="P45" s="7">
        <f>+VLOOKUP(A45,COMISIONES!$C$2:$C$33,1,0)</f>
        <v>20010766</v>
      </c>
    </row>
    <row r="46" spans="1:16" hidden="1">
      <c r="A46" s="98">
        <v>20007352</v>
      </c>
      <c r="B46" s="98">
        <v>2</v>
      </c>
      <c r="C46" s="98" t="s">
        <v>55</v>
      </c>
      <c r="D46" s="98"/>
      <c r="E46" s="213">
        <v>45139</v>
      </c>
      <c r="F46" s="98" t="s">
        <v>2210</v>
      </c>
      <c r="G46" s="140" t="s">
        <v>2211</v>
      </c>
      <c r="H46" s="98"/>
      <c r="I46" s="140" t="s">
        <v>3514</v>
      </c>
      <c r="J46" s="98">
        <v>98034</v>
      </c>
      <c r="K46" s="98" t="s">
        <v>52</v>
      </c>
      <c r="L46" s="98" t="s">
        <v>80</v>
      </c>
      <c r="M46" s="98" t="s">
        <v>40</v>
      </c>
      <c r="N46" s="237">
        <f>+VLOOKUP(A46,COMISIONES!$C$2:$AR$33,42,0)</f>
        <v>15</v>
      </c>
      <c r="O46" s="53">
        <f t="shared" si="0"/>
        <v>30</v>
      </c>
      <c r="P46" s="7">
        <f>+VLOOKUP(A46,COMISIONES!$C$2:$C$33,1,0)</f>
        <v>20007352</v>
      </c>
    </row>
    <row r="47" spans="1:16" hidden="1">
      <c r="A47" s="98">
        <v>20007943</v>
      </c>
      <c r="B47" s="98">
        <v>2</v>
      </c>
      <c r="C47" s="98" t="s">
        <v>55</v>
      </c>
      <c r="D47" s="98"/>
      <c r="E47" s="213">
        <v>45139</v>
      </c>
      <c r="F47" s="98" t="s">
        <v>3281</v>
      </c>
      <c r="G47" s="140" t="s">
        <v>3236</v>
      </c>
      <c r="H47" s="98"/>
      <c r="I47" s="140" t="s">
        <v>3449</v>
      </c>
      <c r="J47" s="98">
        <v>98077</v>
      </c>
      <c r="K47" s="98" t="s">
        <v>51</v>
      </c>
      <c r="L47" s="98" t="s">
        <v>80</v>
      </c>
      <c r="M47" s="98" t="s">
        <v>40</v>
      </c>
      <c r="N47" s="237">
        <f>+VLOOKUP(A47,COMISIONES!$C$2:$AR$33,42,0)</f>
        <v>10</v>
      </c>
      <c r="O47" s="53">
        <f t="shared" si="0"/>
        <v>20</v>
      </c>
      <c r="P47" s="7">
        <f>+VLOOKUP(A47,COMISIONES!$C$2:$C$33,1,0)</f>
        <v>20007943</v>
      </c>
    </row>
    <row r="48" spans="1:16" hidden="1">
      <c r="A48" s="98">
        <v>20009269</v>
      </c>
      <c r="B48" s="98">
        <v>2</v>
      </c>
      <c r="C48" s="98" t="s">
        <v>55</v>
      </c>
      <c r="D48" s="98"/>
      <c r="E48" s="213">
        <v>45139</v>
      </c>
      <c r="F48" s="98" t="s">
        <v>1687</v>
      </c>
      <c r="G48" s="140" t="s">
        <v>1688</v>
      </c>
      <c r="H48" s="98"/>
      <c r="I48" s="140" t="s">
        <v>3436</v>
      </c>
      <c r="J48" s="98">
        <v>98065</v>
      </c>
      <c r="K48" s="98" t="s">
        <v>49</v>
      </c>
      <c r="L48" s="98" t="s">
        <v>80</v>
      </c>
      <c r="M48" s="98" t="s">
        <v>40</v>
      </c>
      <c r="N48" s="237">
        <f>+VLOOKUP(A48,COMISIONES!$C$2:$AR$33,42,0)</f>
        <v>30</v>
      </c>
      <c r="O48" s="53">
        <f t="shared" si="0"/>
        <v>60</v>
      </c>
      <c r="P48" s="7">
        <f>+VLOOKUP(A48,COMISIONES!$C$2:$C$33,1,0)</f>
        <v>20009269</v>
      </c>
    </row>
    <row r="49" spans="1:16" hidden="1">
      <c r="A49" s="98">
        <v>20000033</v>
      </c>
      <c r="B49" s="98">
        <v>2</v>
      </c>
      <c r="C49" s="98" t="s">
        <v>55</v>
      </c>
      <c r="D49" s="98"/>
      <c r="E49" s="213">
        <v>45139</v>
      </c>
      <c r="F49" s="98" t="s">
        <v>1410</v>
      </c>
      <c r="G49" s="140" t="s">
        <v>1411</v>
      </c>
      <c r="H49" s="98"/>
      <c r="I49" s="140" t="s">
        <v>3385</v>
      </c>
      <c r="J49" s="98">
        <v>98000</v>
      </c>
      <c r="K49" s="98" t="s">
        <v>51</v>
      </c>
      <c r="L49" s="98" t="s">
        <v>80</v>
      </c>
      <c r="M49" s="98" t="s">
        <v>40</v>
      </c>
      <c r="N49" s="237">
        <f>+VLOOKUP(A49,COMISIONES!$C$2:$AR$33,42,0)</f>
        <v>15</v>
      </c>
      <c r="O49" s="53">
        <f t="shared" si="0"/>
        <v>30</v>
      </c>
      <c r="P49" s="7">
        <f>+VLOOKUP(A49,COMISIONES!$C$2:$C$33,1,0)</f>
        <v>20000033</v>
      </c>
    </row>
    <row r="50" spans="1:16" hidden="1">
      <c r="A50" s="98">
        <v>20009688</v>
      </c>
      <c r="B50" s="98">
        <v>2</v>
      </c>
      <c r="C50" s="98" t="s">
        <v>55</v>
      </c>
      <c r="D50" s="98"/>
      <c r="E50" s="213">
        <v>45139</v>
      </c>
      <c r="F50" s="98" t="s">
        <v>3264</v>
      </c>
      <c r="G50" s="140" t="s">
        <v>3217</v>
      </c>
      <c r="H50" s="98"/>
      <c r="I50" s="140" t="s">
        <v>3340</v>
      </c>
      <c r="J50" s="98">
        <v>98075</v>
      </c>
      <c r="K50" s="98" t="s">
        <v>52</v>
      </c>
      <c r="L50" s="98" t="s">
        <v>80</v>
      </c>
      <c r="M50" s="98" t="s">
        <v>40</v>
      </c>
      <c r="N50" s="237">
        <f>+VLOOKUP(A50,COMISIONES!$C$2:$AR$33,42,0)</f>
        <v>15</v>
      </c>
      <c r="O50" s="53">
        <f t="shared" si="0"/>
        <v>30</v>
      </c>
      <c r="P50" s="7">
        <f>+VLOOKUP(A50,COMISIONES!$C$2:$C$33,1,0)</f>
        <v>20009688</v>
      </c>
    </row>
    <row r="51" spans="1:16" hidden="1">
      <c r="A51" s="98">
        <v>20002636</v>
      </c>
      <c r="B51" s="98">
        <v>2</v>
      </c>
      <c r="C51" s="98" t="s">
        <v>55</v>
      </c>
      <c r="D51" s="98"/>
      <c r="E51" s="213">
        <v>45139</v>
      </c>
      <c r="F51" s="98" t="s">
        <v>2876</v>
      </c>
      <c r="G51" s="140" t="s">
        <v>2877</v>
      </c>
      <c r="H51" s="8"/>
      <c r="I51" s="140" t="s">
        <v>3584</v>
      </c>
      <c r="J51" s="98">
        <v>98007</v>
      </c>
      <c r="K51" s="98" t="s">
        <v>51</v>
      </c>
      <c r="L51" s="98" t="s">
        <v>80</v>
      </c>
      <c r="M51" s="98" t="s">
        <v>40</v>
      </c>
      <c r="N51" s="237">
        <f>+VLOOKUP(A51,COMISIONES!$C$2:$AR$33,42,0)</f>
        <v>15</v>
      </c>
      <c r="O51" s="53">
        <f t="shared" si="0"/>
        <v>30</v>
      </c>
      <c r="P51" s="7">
        <f>+VLOOKUP(A51,COMISIONES!$C$2:$C$33,1,0)</f>
        <v>20002636</v>
      </c>
    </row>
    <row r="52" spans="1:16" hidden="1">
      <c r="A52" s="98">
        <v>20008625</v>
      </c>
      <c r="B52" s="98">
        <v>2</v>
      </c>
      <c r="C52" s="98" t="s">
        <v>55</v>
      </c>
      <c r="D52" s="98"/>
      <c r="E52" s="213">
        <v>45139</v>
      </c>
      <c r="F52" s="98" t="s">
        <v>1976</v>
      </c>
      <c r="G52" s="140" t="s">
        <v>1977</v>
      </c>
      <c r="H52" s="98"/>
      <c r="I52" s="140" t="s">
        <v>3472</v>
      </c>
      <c r="J52" s="98">
        <v>98053</v>
      </c>
      <c r="K52" s="98" t="s">
        <v>49</v>
      </c>
      <c r="L52" s="98" t="s">
        <v>80</v>
      </c>
      <c r="M52" s="98" t="s">
        <v>40</v>
      </c>
      <c r="N52" s="237">
        <f>+VLOOKUP(A52,COMISIONES!$C$2:$AR$33,42,0)</f>
        <v>10</v>
      </c>
      <c r="O52" s="53">
        <f t="shared" si="0"/>
        <v>20</v>
      </c>
      <c r="P52" s="7">
        <f>+VLOOKUP(A52,COMISIONES!$C$2:$C$33,1,0)</f>
        <v>20008625</v>
      </c>
    </row>
    <row r="53" spans="1:16" hidden="1">
      <c r="A53" s="98">
        <v>20009174</v>
      </c>
      <c r="B53" s="98">
        <v>2</v>
      </c>
      <c r="C53" s="98" t="s">
        <v>55</v>
      </c>
      <c r="D53" s="98"/>
      <c r="E53" s="213">
        <v>45139</v>
      </c>
      <c r="F53" s="98" t="s">
        <v>1431</v>
      </c>
      <c r="G53" s="140" t="s">
        <v>1432</v>
      </c>
      <c r="H53" s="98"/>
      <c r="I53" s="140" t="s">
        <v>3381</v>
      </c>
      <c r="J53" s="98">
        <v>98064</v>
      </c>
      <c r="K53" s="98" t="s">
        <v>52</v>
      </c>
      <c r="L53" s="98" t="s">
        <v>80</v>
      </c>
      <c r="M53" s="98" t="s">
        <v>40</v>
      </c>
      <c r="N53" s="237">
        <f>+VLOOKUP(A53,COMISIONES!$C$2:$AR$33,42,0)</f>
        <v>20</v>
      </c>
      <c r="O53" s="53">
        <f t="shared" si="0"/>
        <v>40</v>
      </c>
      <c r="P53" s="7">
        <f>+VLOOKUP(A53,COMISIONES!$C$2:$C$33,1,0)</f>
        <v>20009174</v>
      </c>
    </row>
    <row r="54" spans="1:16" hidden="1">
      <c r="A54" s="98">
        <v>20000661</v>
      </c>
      <c r="B54" s="98">
        <v>2</v>
      </c>
      <c r="C54" s="98" t="s">
        <v>55</v>
      </c>
      <c r="D54" s="98"/>
      <c r="E54" s="213">
        <v>45139</v>
      </c>
      <c r="F54" s="98" t="s">
        <v>3299</v>
      </c>
      <c r="G54" s="140" t="s">
        <v>3255</v>
      </c>
      <c r="H54" s="98"/>
      <c r="I54" s="140" t="s">
        <v>3575</v>
      </c>
      <c r="J54" s="98">
        <v>98013</v>
      </c>
      <c r="K54" s="98" t="s">
        <v>51</v>
      </c>
      <c r="L54" s="98" t="s">
        <v>80</v>
      </c>
      <c r="M54" s="98" t="s">
        <v>40</v>
      </c>
      <c r="N54" s="237">
        <f>+VLOOKUP(A54,COMISIONES!$C$2:$AR$33,42,0)</f>
        <v>15</v>
      </c>
      <c r="O54" s="53">
        <f t="shared" si="0"/>
        <v>30</v>
      </c>
      <c r="P54" s="7">
        <f>+VLOOKUP(A54,COMISIONES!$C$2:$C$33,1,0)</f>
        <v>20000661</v>
      </c>
    </row>
    <row r="55" spans="1:16" hidden="1">
      <c r="A55" s="98">
        <v>20009688</v>
      </c>
      <c r="B55" s="98">
        <v>2</v>
      </c>
      <c r="C55" s="98" t="s">
        <v>55</v>
      </c>
      <c r="D55" s="98"/>
      <c r="E55" s="213">
        <v>45139</v>
      </c>
      <c r="F55" s="98" t="s">
        <v>3280</v>
      </c>
      <c r="G55" s="140" t="s">
        <v>3235</v>
      </c>
      <c r="H55" s="8"/>
      <c r="I55" s="140" t="s">
        <v>3434</v>
      </c>
      <c r="J55" s="98">
        <v>98075</v>
      </c>
      <c r="K55" s="98" t="s">
        <v>52</v>
      </c>
      <c r="L55" s="98" t="s">
        <v>80</v>
      </c>
      <c r="M55" s="98" t="s">
        <v>40</v>
      </c>
      <c r="N55" s="237">
        <f>+VLOOKUP(A55,COMISIONES!$C$2:$AR$33,42,0)</f>
        <v>15</v>
      </c>
      <c r="O55" s="53">
        <f t="shared" si="0"/>
        <v>30</v>
      </c>
      <c r="P55" s="7">
        <f>+VLOOKUP(A55,COMISIONES!$C$2:$C$33,1,0)</f>
        <v>20009688</v>
      </c>
    </row>
    <row r="56" spans="1:16" hidden="1">
      <c r="A56" s="98">
        <v>20001487</v>
      </c>
      <c r="B56" s="98">
        <v>2</v>
      </c>
      <c r="C56" s="98" t="s">
        <v>55</v>
      </c>
      <c r="D56" s="98"/>
      <c r="E56" s="213">
        <v>45139</v>
      </c>
      <c r="F56" s="98" t="s">
        <v>3273</v>
      </c>
      <c r="G56" s="140" t="s">
        <v>3228</v>
      </c>
      <c r="H56" s="8"/>
      <c r="I56" s="140" t="s">
        <v>3392</v>
      </c>
      <c r="J56" s="98">
        <v>98003</v>
      </c>
      <c r="K56" s="98" t="s">
        <v>51</v>
      </c>
      <c r="L56" s="98" t="s">
        <v>80</v>
      </c>
      <c r="M56" s="98" t="s">
        <v>40</v>
      </c>
      <c r="N56" s="237">
        <f>+VLOOKUP(A56,COMISIONES!$C$2:$AR$33,42,0)</f>
        <v>30</v>
      </c>
      <c r="O56" s="53">
        <f t="shared" si="0"/>
        <v>60</v>
      </c>
      <c r="P56" s="7">
        <f>+VLOOKUP(A56,COMISIONES!$C$2:$C$33,1,0)</f>
        <v>20001487</v>
      </c>
    </row>
    <row r="57" spans="1:16" hidden="1">
      <c r="A57" s="98">
        <v>20002636</v>
      </c>
      <c r="B57" s="98">
        <v>2</v>
      </c>
      <c r="C57" s="98" t="s">
        <v>55</v>
      </c>
      <c r="D57" s="98"/>
      <c r="E57" s="213">
        <v>45139</v>
      </c>
      <c r="F57" s="98" t="s">
        <v>1117</v>
      </c>
      <c r="G57" s="140" t="s">
        <v>1118</v>
      </c>
      <c r="H57" s="10"/>
      <c r="I57" s="140" t="s">
        <v>3341</v>
      </c>
      <c r="J57" s="98">
        <v>98007</v>
      </c>
      <c r="K57" s="98" t="s">
        <v>51</v>
      </c>
      <c r="L57" s="98" t="s">
        <v>80</v>
      </c>
      <c r="M57" s="98" t="s">
        <v>40</v>
      </c>
      <c r="N57" s="237">
        <f>+VLOOKUP(A57,COMISIONES!$C$2:$AR$33,42,0)</f>
        <v>15</v>
      </c>
      <c r="O57" s="53">
        <f t="shared" si="0"/>
        <v>30</v>
      </c>
      <c r="P57" s="7">
        <f>+VLOOKUP(A57,COMISIONES!$C$2:$C$33,1,0)</f>
        <v>20002636</v>
      </c>
    </row>
    <row r="58" spans="1:16" hidden="1">
      <c r="A58" s="98">
        <v>20001487</v>
      </c>
      <c r="B58" s="98">
        <v>2</v>
      </c>
      <c r="C58" s="98" t="s">
        <v>55</v>
      </c>
      <c r="D58" s="98"/>
      <c r="E58" s="213">
        <v>45139</v>
      </c>
      <c r="F58" s="98" t="s">
        <v>3259</v>
      </c>
      <c r="G58" s="140" t="s">
        <v>3211</v>
      </c>
      <c r="H58" s="10"/>
      <c r="I58" s="140" t="s">
        <v>3880</v>
      </c>
      <c r="J58" s="98">
        <v>98003</v>
      </c>
      <c r="K58" s="98" t="s">
        <v>51</v>
      </c>
      <c r="L58" s="98" t="s">
        <v>80</v>
      </c>
      <c r="M58" s="98" t="s">
        <v>40</v>
      </c>
      <c r="N58" s="237">
        <f>+VLOOKUP(A58,COMISIONES!$C$2:$AR$33,42,0)</f>
        <v>30</v>
      </c>
      <c r="O58" s="53">
        <f t="shared" si="0"/>
        <v>60</v>
      </c>
      <c r="P58" s="7">
        <f>+VLOOKUP(A58,COMISIONES!$C$2:$C$33,1,0)</f>
        <v>20001487</v>
      </c>
    </row>
    <row r="59" spans="1:16" hidden="1">
      <c r="A59" s="98">
        <v>20004235</v>
      </c>
      <c r="B59" s="98">
        <v>2</v>
      </c>
      <c r="C59" s="98" t="s">
        <v>55</v>
      </c>
      <c r="D59" s="98"/>
      <c r="E59" s="213">
        <v>45139</v>
      </c>
      <c r="F59" s="98" t="s">
        <v>3267</v>
      </c>
      <c r="G59" s="140" t="s">
        <v>3220</v>
      </c>
      <c r="H59" s="98"/>
      <c r="I59" s="140" t="s">
        <v>3361</v>
      </c>
      <c r="J59" s="98">
        <v>98002</v>
      </c>
      <c r="K59" s="98" t="s">
        <v>49</v>
      </c>
      <c r="L59" s="98" t="s">
        <v>80</v>
      </c>
      <c r="M59" s="98" t="s">
        <v>40</v>
      </c>
      <c r="N59" s="237">
        <f>+VLOOKUP(A59,COMISIONES!$C$2:$AR$33,42,0)</f>
        <v>15</v>
      </c>
      <c r="O59" s="53">
        <f t="shared" si="0"/>
        <v>30</v>
      </c>
      <c r="P59" s="7">
        <f>+VLOOKUP(A59,COMISIONES!$C$2:$C$33,1,0)</f>
        <v>20004235</v>
      </c>
    </row>
    <row r="60" spans="1:16" hidden="1">
      <c r="A60" s="98">
        <v>20002636</v>
      </c>
      <c r="B60" s="98">
        <v>2</v>
      </c>
      <c r="C60" s="98" t="s">
        <v>55</v>
      </c>
      <c r="D60" s="98"/>
      <c r="E60" s="213">
        <v>45139</v>
      </c>
      <c r="F60" s="98" t="s">
        <v>3295</v>
      </c>
      <c r="G60" s="140" t="s">
        <v>3251</v>
      </c>
      <c r="H60" s="98"/>
      <c r="I60" s="140" t="s">
        <v>3573</v>
      </c>
      <c r="J60" s="98">
        <v>98007</v>
      </c>
      <c r="K60" s="98" t="s">
        <v>51</v>
      </c>
      <c r="L60" s="98" t="s">
        <v>80</v>
      </c>
      <c r="M60" s="98" t="s">
        <v>40</v>
      </c>
      <c r="N60" s="237">
        <f>+VLOOKUP(A60,COMISIONES!$C$2:$AR$33,42,0)</f>
        <v>15</v>
      </c>
      <c r="O60" s="53">
        <f t="shared" si="0"/>
        <v>30</v>
      </c>
      <c r="P60" s="7">
        <f>+VLOOKUP(A60,COMISIONES!$C$2:$C$33,1,0)</f>
        <v>20002636</v>
      </c>
    </row>
    <row r="61" spans="1:16" hidden="1">
      <c r="A61" s="98">
        <v>20008439</v>
      </c>
      <c r="B61" s="98">
        <v>2</v>
      </c>
      <c r="C61" s="98" t="s">
        <v>55</v>
      </c>
      <c r="D61" s="98"/>
      <c r="E61" s="213">
        <v>45139</v>
      </c>
      <c r="F61" s="98" t="s">
        <v>3287</v>
      </c>
      <c r="G61" s="140" t="s">
        <v>3242</v>
      </c>
      <c r="H61" s="98"/>
      <c r="I61" s="140" t="s">
        <v>3495</v>
      </c>
      <c r="J61" s="98">
        <v>98049</v>
      </c>
      <c r="K61" s="98" t="s">
        <v>50</v>
      </c>
      <c r="L61" s="98" t="s">
        <v>80</v>
      </c>
      <c r="M61" s="98" t="s">
        <v>40</v>
      </c>
      <c r="N61" s="237">
        <f>+VLOOKUP(A61,COMISIONES!$C$2:$AR$33,42,0)</f>
        <v>15</v>
      </c>
      <c r="O61" s="53">
        <f t="shared" si="0"/>
        <v>30</v>
      </c>
      <c r="P61" s="7">
        <f>+VLOOKUP(A61,COMISIONES!$C$2:$C$33,1,0)</f>
        <v>20008439</v>
      </c>
    </row>
    <row r="62" spans="1:16" hidden="1">
      <c r="A62" s="98">
        <v>20009174</v>
      </c>
      <c r="B62" s="98">
        <v>2</v>
      </c>
      <c r="C62" s="98" t="s">
        <v>55</v>
      </c>
      <c r="D62" s="98"/>
      <c r="E62" s="213">
        <v>45139</v>
      </c>
      <c r="F62" s="98" t="s">
        <v>3272</v>
      </c>
      <c r="G62" s="140" t="s">
        <v>3225</v>
      </c>
      <c r="H62" s="98"/>
      <c r="I62" s="140" t="s">
        <v>3380</v>
      </c>
      <c r="J62" s="98">
        <v>98064</v>
      </c>
      <c r="K62" s="98" t="s">
        <v>52</v>
      </c>
      <c r="L62" s="98" t="s">
        <v>80</v>
      </c>
      <c r="M62" s="98" t="s">
        <v>40</v>
      </c>
      <c r="N62" s="237">
        <f>+VLOOKUP(A62,COMISIONES!$C$2:$AR$33,42,0)</f>
        <v>20</v>
      </c>
      <c r="O62" s="53">
        <f t="shared" si="0"/>
        <v>40</v>
      </c>
      <c r="P62" s="7">
        <f>+VLOOKUP(A62,COMISIONES!$C$2:$C$33,1,0)</f>
        <v>20009174</v>
      </c>
    </row>
    <row r="63" spans="1:16" hidden="1">
      <c r="A63" s="98">
        <v>20004566</v>
      </c>
      <c r="B63" s="98">
        <v>2</v>
      </c>
      <c r="C63" s="98" t="s">
        <v>55</v>
      </c>
      <c r="D63" s="98"/>
      <c r="E63" s="213">
        <v>45139</v>
      </c>
      <c r="F63" s="98" t="s">
        <v>3301</v>
      </c>
      <c r="G63" s="140" t="s">
        <v>3258</v>
      </c>
      <c r="H63" s="98"/>
      <c r="I63" s="140" t="s">
        <v>3610</v>
      </c>
      <c r="J63" s="98">
        <v>98023</v>
      </c>
      <c r="K63" s="98" t="s">
        <v>50</v>
      </c>
      <c r="L63" s="98" t="s">
        <v>80</v>
      </c>
      <c r="M63" s="98" t="s">
        <v>40</v>
      </c>
      <c r="N63" s="237">
        <f>+VLOOKUP(A63,COMISIONES!$C$2:$AR$33,42,0)</f>
        <v>20</v>
      </c>
      <c r="O63" s="53">
        <f t="shared" si="0"/>
        <v>40</v>
      </c>
      <c r="P63" s="7">
        <f>+VLOOKUP(A63,COMISIONES!$C$2:$C$33,1,0)</f>
        <v>20004566</v>
      </c>
    </row>
    <row r="64" spans="1:16" hidden="1">
      <c r="A64" s="98">
        <v>20004161</v>
      </c>
      <c r="B64" s="98">
        <v>2</v>
      </c>
      <c r="C64" s="98" t="s">
        <v>55</v>
      </c>
      <c r="D64" s="98"/>
      <c r="E64" s="213">
        <v>45139</v>
      </c>
      <c r="F64" s="98" t="s">
        <v>3263</v>
      </c>
      <c r="G64" s="140" t="s">
        <v>3216</v>
      </c>
      <c r="H64" s="98"/>
      <c r="I64" s="140" t="s">
        <v>3337</v>
      </c>
      <c r="J64" s="98">
        <v>98019</v>
      </c>
      <c r="K64" s="98" t="s">
        <v>49</v>
      </c>
      <c r="L64" s="98" t="s">
        <v>80</v>
      </c>
      <c r="M64" s="98" t="s">
        <v>40</v>
      </c>
      <c r="N64" s="237">
        <f>+VLOOKUP(A64,COMISIONES!$C$2:$AR$33,42,0)</f>
        <v>32.5</v>
      </c>
      <c r="O64" s="53">
        <f t="shared" si="0"/>
        <v>65</v>
      </c>
      <c r="P64" s="7">
        <f>+VLOOKUP(A64,COMISIONES!$C$2:$C$33,1,0)</f>
        <v>20004161</v>
      </c>
    </row>
    <row r="65" spans="1:16" hidden="1">
      <c r="A65" s="98">
        <v>20009690</v>
      </c>
      <c r="B65" s="98">
        <v>2</v>
      </c>
      <c r="C65" s="98" t="s">
        <v>55</v>
      </c>
      <c r="D65" s="98"/>
      <c r="E65" s="213">
        <v>45139</v>
      </c>
      <c r="F65" s="98" t="s">
        <v>3110</v>
      </c>
      <c r="G65" s="140" t="s">
        <v>3245</v>
      </c>
      <c r="H65" s="98"/>
      <c r="I65" s="140" t="s">
        <v>3525</v>
      </c>
      <c r="J65" s="98">
        <v>98068</v>
      </c>
      <c r="K65" s="98" t="s">
        <v>49</v>
      </c>
      <c r="L65" s="98" t="s">
        <v>80</v>
      </c>
      <c r="M65" s="98" t="s">
        <v>40</v>
      </c>
      <c r="N65" s="237">
        <f>+VLOOKUP(A65,COMISIONES!$C$2:$AR$33,42,0)</f>
        <v>30</v>
      </c>
      <c r="O65" s="53">
        <f t="shared" si="0"/>
        <v>60</v>
      </c>
      <c r="P65" s="7">
        <f>+VLOOKUP(A65,COMISIONES!$C$2:$C$33,1,0)</f>
        <v>20009690</v>
      </c>
    </row>
    <row r="66" spans="1:16" hidden="1">
      <c r="A66" s="98">
        <v>20009688</v>
      </c>
      <c r="B66" s="98">
        <v>2</v>
      </c>
      <c r="C66" s="98" t="s">
        <v>55</v>
      </c>
      <c r="D66" s="98"/>
      <c r="E66" s="213">
        <v>45139</v>
      </c>
      <c r="F66" s="98" t="s">
        <v>3288</v>
      </c>
      <c r="G66" s="140" t="s">
        <v>3243</v>
      </c>
      <c r="H66" s="98"/>
      <c r="I66" s="140" t="s">
        <v>3496</v>
      </c>
      <c r="J66" s="98">
        <v>98075</v>
      </c>
      <c r="K66" s="98" t="s">
        <v>52</v>
      </c>
      <c r="L66" s="98" t="s">
        <v>80</v>
      </c>
      <c r="M66" s="98" t="s">
        <v>40</v>
      </c>
      <c r="N66" s="237">
        <f>+VLOOKUP(A66,COMISIONES!$C$2:$AR$33,42,0)</f>
        <v>15</v>
      </c>
      <c r="O66" s="53">
        <f t="shared" ref="O66:O129" si="1">N66*B66</f>
        <v>30</v>
      </c>
      <c r="P66" s="7">
        <f>+VLOOKUP(A66,COMISIONES!$C$2:$C$33,1,0)</f>
        <v>20009688</v>
      </c>
    </row>
    <row r="67" spans="1:16" hidden="1">
      <c r="A67" s="98">
        <v>20010262</v>
      </c>
      <c r="B67" s="98">
        <v>2</v>
      </c>
      <c r="C67" s="98" t="s">
        <v>55</v>
      </c>
      <c r="D67" s="98"/>
      <c r="E67" s="213">
        <v>45139</v>
      </c>
      <c r="F67" s="98" t="s">
        <v>3276</v>
      </c>
      <c r="G67" s="140" t="s">
        <v>3231</v>
      </c>
      <c r="H67" s="98"/>
      <c r="I67" s="140" t="s">
        <v>3408</v>
      </c>
      <c r="J67" s="98">
        <v>98073</v>
      </c>
      <c r="K67" s="98" t="s">
        <v>52</v>
      </c>
      <c r="L67" s="98" t="s">
        <v>80</v>
      </c>
      <c r="M67" s="98" t="s">
        <v>40</v>
      </c>
      <c r="N67" s="237">
        <f>+VLOOKUP(A67,COMISIONES!$C$2:$AR$33,42,0)</f>
        <v>15</v>
      </c>
      <c r="O67" s="53">
        <f t="shared" si="1"/>
        <v>30</v>
      </c>
      <c r="P67" s="7">
        <f>+VLOOKUP(A67,COMISIONES!$C$2:$C$33,1,0)</f>
        <v>20010262</v>
      </c>
    </row>
    <row r="68" spans="1:16" hidden="1">
      <c r="A68" s="98">
        <v>20000661</v>
      </c>
      <c r="B68" s="98">
        <v>2</v>
      </c>
      <c r="C68" s="98" t="s">
        <v>55</v>
      </c>
      <c r="D68" s="98"/>
      <c r="E68" s="213">
        <v>45139</v>
      </c>
      <c r="F68" s="98" t="s">
        <v>3270</v>
      </c>
      <c r="G68" s="140" t="s">
        <v>3223</v>
      </c>
      <c r="H68" s="98"/>
      <c r="I68" s="140" t="s">
        <v>3368</v>
      </c>
      <c r="J68" s="98">
        <v>98013</v>
      </c>
      <c r="K68" s="98" t="s">
        <v>51</v>
      </c>
      <c r="L68" s="98" t="s">
        <v>80</v>
      </c>
      <c r="M68" s="98" t="s">
        <v>40</v>
      </c>
      <c r="N68" s="237">
        <f>+VLOOKUP(A68,COMISIONES!$C$2:$AR$33,42,0)</f>
        <v>15</v>
      </c>
      <c r="O68" s="53">
        <f t="shared" si="1"/>
        <v>30</v>
      </c>
      <c r="P68" s="7">
        <f>+VLOOKUP(A68,COMISIONES!$C$2:$C$33,1,0)</f>
        <v>20000661</v>
      </c>
    </row>
    <row r="69" spans="1:16" hidden="1">
      <c r="A69" s="98">
        <v>20004638</v>
      </c>
      <c r="B69" s="98">
        <v>1</v>
      </c>
      <c r="C69" s="98" t="s">
        <v>55</v>
      </c>
      <c r="D69" s="98"/>
      <c r="E69" s="213">
        <v>45139</v>
      </c>
      <c r="F69" s="98" t="s">
        <v>3296</v>
      </c>
      <c r="G69" s="140" t="s">
        <v>3252</v>
      </c>
      <c r="H69" s="98"/>
      <c r="I69" s="140" t="s">
        <v>3881</v>
      </c>
      <c r="J69" s="98">
        <v>98009</v>
      </c>
      <c r="K69" s="98" t="s">
        <v>51</v>
      </c>
      <c r="L69" s="98" t="s">
        <v>80</v>
      </c>
      <c r="M69" s="98" t="s">
        <v>40</v>
      </c>
      <c r="N69" s="237">
        <f>+VLOOKUP(A69,COMISIONES!$C$2:$AR$33,42,0)</f>
        <v>10</v>
      </c>
      <c r="O69" s="53">
        <f t="shared" si="1"/>
        <v>10</v>
      </c>
      <c r="P69" s="7">
        <f>+VLOOKUP(A69,COMISIONES!$C$2:$C$33,1,0)</f>
        <v>20004638</v>
      </c>
    </row>
    <row r="70" spans="1:16" hidden="1">
      <c r="A70" s="98">
        <v>20002636</v>
      </c>
      <c r="B70" s="98">
        <v>1</v>
      </c>
      <c r="C70" s="98" t="s">
        <v>55</v>
      </c>
      <c r="D70" s="98"/>
      <c r="E70" s="213">
        <v>45139</v>
      </c>
      <c r="F70" s="98" t="s">
        <v>3291</v>
      </c>
      <c r="G70" s="140" t="s">
        <v>3247</v>
      </c>
      <c r="H70" s="98"/>
      <c r="I70" s="140" t="s">
        <v>3538</v>
      </c>
      <c r="J70" s="98">
        <v>98007</v>
      </c>
      <c r="K70" s="98" t="s">
        <v>51</v>
      </c>
      <c r="L70" s="98" t="s">
        <v>80</v>
      </c>
      <c r="M70" s="98" t="s">
        <v>40</v>
      </c>
      <c r="N70" s="237">
        <f>+VLOOKUP(A70,COMISIONES!$C$2:$AR$33,42,0)</f>
        <v>15</v>
      </c>
      <c r="O70" s="53">
        <f t="shared" si="1"/>
        <v>15</v>
      </c>
      <c r="P70" s="7">
        <f>+VLOOKUP(A70,COMISIONES!$C$2:$C$33,1,0)</f>
        <v>20002636</v>
      </c>
    </row>
    <row r="71" spans="1:16" hidden="1">
      <c r="A71" s="98">
        <v>20009688</v>
      </c>
      <c r="B71" s="98">
        <v>1</v>
      </c>
      <c r="C71" s="98" t="s">
        <v>55</v>
      </c>
      <c r="D71" s="98"/>
      <c r="E71" s="213">
        <v>45139</v>
      </c>
      <c r="F71" s="98" t="s">
        <v>3290</v>
      </c>
      <c r="G71" s="140" t="s">
        <v>3246</v>
      </c>
      <c r="H71" s="98"/>
      <c r="I71" s="140" t="s">
        <v>3527</v>
      </c>
      <c r="J71" s="98">
        <v>98075</v>
      </c>
      <c r="K71" s="98" t="s">
        <v>52</v>
      </c>
      <c r="L71" s="98" t="s">
        <v>80</v>
      </c>
      <c r="M71" s="98" t="s">
        <v>40</v>
      </c>
      <c r="N71" s="237">
        <f>+VLOOKUP(A71,COMISIONES!$C$2:$AR$33,42,0)</f>
        <v>15</v>
      </c>
      <c r="O71" s="53">
        <f t="shared" si="1"/>
        <v>15</v>
      </c>
      <c r="P71" s="7">
        <f>+VLOOKUP(A71,COMISIONES!$C$2:$C$33,1,0)</f>
        <v>20009688</v>
      </c>
    </row>
    <row r="72" spans="1:16" hidden="1">
      <c r="A72" s="98">
        <v>20009688</v>
      </c>
      <c r="B72" s="98">
        <v>1</v>
      </c>
      <c r="C72" s="98" t="s">
        <v>55</v>
      </c>
      <c r="D72" s="98"/>
      <c r="E72" s="213">
        <v>45139</v>
      </c>
      <c r="F72" s="98" t="s">
        <v>3282</v>
      </c>
      <c r="G72" s="140" t="s">
        <v>3237</v>
      </c>
      <c r="H72" s="98"/>
      <c r="I72" s="140" t="s">
        <v>3471</v>
      </c>
      <c r="J72" s="98">
        <v>98075</v>
      </c>
      <c r="K72" s="98" t="s">
        <v>52</v>
      </c>
      <c r="L72" s="98" t="s">
        <v>80</v>
      </c>
      <c r="M72" s="98" t="s">
        <v>40</v>
      </c>
      <c r="N72" s="237">
        <f>+VLOOKUP(A72,COMISIONES!$C$2:$AR$33,42,0)</f>
        <v>15</v>
      </c>
      <c r="O72" s="53">
        <f t="shared" si="1"/>
        <v>15</v>
      </c>
      <c r="P72" s="7">
        <f>+VLOOKUP(A72,COMISIONES!$C$2:$C$33,1,0)</f>
        <v>20009688</v>
      </c>
    </row>
    <row r="73" spans="1:16" hidden="1">
      <c r="A73" s="98">
        <v>20004235</v>
      </c>
      <c r="B73" s="98">
        <v>1</v>
      </c>
      <c r="C73" s="98" t="s">
        <v>55</v>
      </c>
      <c r="D73" s="98"/>
      <c r="E73" s="213">
        <v>45139</v>
      </c>
      <c r="F73" s="98" t="s">
        <v>1525</v>
      </c>
      <c r="G73" s="140" t="s">
        <v>3877</v>
      </c>
      <c r="H73" s="98"/>
      <c r="I73" s="140" t="s">
        <v>3882</v>
      </c>
      <c r="J73" s="98">
        <v>98002</v>
      </c>
      <c r="K73" s="98" t="s">
        <v>49</v>
      </c>
      <c r="L73" s="98" t="s">
        <v>80</v>
      </c>
      <c r="M73" s="98" t="s">
        <v>40</v>
      </c>
      <c r="N73" s="237">
        <f>+VLOOKUP(A73,COMISIONES!$C$2:$AR$33,42,0)</f>
        <v>15</v>
      </c>
      <c r="O73" s="53">
        <f t="shared" si="1"/>
        <v>15</v>
      </c>
      <c r="P73" s="7">
        <f>+VLOOKUP(A73,COMISIONES!$C$2:$C$33,1,0)</f>
        <v>20004235</v>
      </c>
    </row>
    <row r="74" spans="1:16" hidden="1">
      <c r="A74" s="98">
        <v>20007726</v>
      </c>
      <c r="B74" s="98">
        <v>1</v>
      </c>
      <c r="C74" s="98" t="s">
        <v>55</v>
      </c>
      <c r="D74" s="98"/>
      <c r="E74" s="213">
        <v>45139</v>
      </c>
      <c r="F74" s="98" t="s">
        <v>1467</v>
      </c>
      <c r="G74" s="140" t="s">
        <v>3227</v>
      </c>
      <c r="H74" s="98"/>
      <c r="I74" s="140" t="s">
        <v>3388</v>
      </c>
      <c r="J74" s="98">
        <v>98051</v>
      </c>
      <c r="K74" s="98" t="s">
        <v>49</v>
      </c>
      <c r="L74" s="98" t="s">
        <v>80</v>
      </c>
      <c r="M74" s="98" t="s">
        <v>40</v>
      </c>
      <c r="N74" s="237">
        <f>+VLOOKUP(A74,COMISIONES!$C$2:$AR$33,42,0)</f>
        <v>30</v>
      </c>
      <c r="O74" s="53">
        <f t="shared" si="1"/>
        <v>30</v>
      </c>
      <c r="P74" s="7">
        <f>+VLOOKUP(A74,COMISIONES!$C$2:$C$33,1,0)</f>
        <v>20007726</v>
      </c>
    </row>
    <row r="75" spans="1:16" hidden="1">
      <c r="A75" s="98">
        <v>20007943</v>
      </c>
      <c r="B75" s="98">
        <v>1</v>
      </c>
      <c r="C75" s="98" t="s">
        <v>55</v>
      </c>
      <c r="D75" s="98"/>
      <c r="E75" s="213">
        <v>45139</v>
      </c>
      <c r="F75" s="98" t="s">
        <v>426</v>
      </c>
      <c r="G75" s="140" t="s">
        <v>3226</v>
      </c>
      <c r="H75" s="98"/>
      <c r="I75" s="140" t="s">
        <v>3386</v>
      </c>
      <c r="J75" s="98">
        <v>98077</v>
      </c>
      <c r="K75" s="98" t="s">
        <v>51</v>
      </c>
      <c r="L75" s="98" t="s">
        <v>80</v>
      </c>
      <c r="M75" s="98" t="s">
        <v>40</v>
      </c>
      <c r="N75" s="237">
        <f>+VLOOKUP(A75,COMISIONES!$C$2:$AR$33,42,0)</f>
        <v>10</v>
      </c>
      <c r="O75" s="53">
        <f t="shared" si="1"/>
        <v>10</v>
      </c>
      <c r="P75" s="7">
        <f>+VLOOKUP(A75,COMISIONES!$C$2:$C$33,1,0)</f>
        <v>20007943</v>
      </c>
    </row>
    <row r="76" spans="1:16" hidden="1">
      <c r="A76" s="98">
        <v>20005527</v>
      </c>
      <c r="B76" s="98">
        <v>1</v>
      </c>
      <c r="C76" s="98" t="s">
        <v>55</v>
      </c>
      <c r="D76" s="98"/>
      <c r="E76" s="213">
        <v>45139</v>
      </c>
      <c r="F76" s="98" t="s">
        <v>3261</v>
      </c>
      <c r="G76" s="140" t="s">
        <v>3213</v>
      </c>
      <c r="H76" s="8"/>
      <c r="I76" s="140" t="s">
        <v>3309</v>
      </c>
      <c r="J76" s="98">
        <v>98041</v>
      </c>
      <c r="K76" s="98" t="s">
        <v>52</v>
      </c>
      <c r="L76" s="98" t="s">
        <v>80</v>
      </c>
      <c r="M76" s="98" t="s">
        <v>40</v>
      </c>
      <c r="N76" s="237">
        <f>+VLOOKUP(A76,COMISIONES!$C$2:$AR$33,42,0)</f>
        <v>10</v>
      </c>
      <c r="O76" s="53">
        <f t="shared" si="1"/>
        <v>10</v>
      </c>
      <c r="P76" s="7">
        <f>+VLOOKUP(A76,COMISIONES!$C$2:$C$33,1,0)</f>
        <v>20005527</v>
      </c>
    </row>
    <row r="77" spans="1:16" hidden="1">
      <c r="A77" s="98">
        <v>20000033</v>
      </c>
      <c r="B77" s="98">
        <v>1</v>
      </c>
      <c r="C77" s="98" t="s">
        <v>55</v>
      </c>
      <c r="D77" s="98"/>
      <c r="E77" s="213">
        <v>45139</v>
      </c>
      <c r="F77" s="98" t="s">
        <v>3292</v>
      </c>
      <c r="G77" s="140" t="s">
        <v>3248</v>
      </c>
      <c r="H77" s="8"/>
      <c r="I77" s="140" t="s">
        <v>3883</v>
      </c>
      <c r="J77" s="98">
        <v>98000</v>
      </c>
      <c r="K77" s="98" t="s">
        <v>51</v>
      </c>
      <c r="L77" s="98" t="s">
        <v>80</v>
      </c>
      <c r="M77" s="98" t="s">
        <v>40</v>
      </c>
      <c r="N77" s="237">
        <f>+VLOOKUP(A77,COMISIONES!$C$2:$AR$33,42,0)</f>
        <v>15</v>
      </c>
      <c r="O77" s="53">
        <f t="shared" si="1"/>
        <v>15</v>
      </c>
      <c r="P77" s="7">
        <f>+VLOOKUP(A77,COMISIONES!$C$2:$C$33,1,0)</f>
        <v>20000033</v>
      </c>
    </row>
    <row r="78" spans="1:16" hidden="1">
      <c r="A78" s="98">
        <v>20009688</v>
      </c>
      <c r="B78" s="98">
        <v>1</v>
      </c>
      <c r="C78" s="98" t="s">
        <v>55</v>
      </c>
      <c r="D78" s="98"/>
      <c r="E78" s="213">
        <v>45139</v>
      </c>
      <c r="F78" s="98" t="s">
        <v>3878</v>
      </c>
      <c r="G78" s="140" t="s">
        <v>3257</v>
      </c>
      <c r="H78" s="98"/>
      <c r="I78" s="140" t="s">
        <v>3609</v>
      </c>
      <c r="J78" s="98">
        <v>98075</v>
      </c>
      <c r="K78" s="98" t="s">
        <v>52</v>
      </c>
      <c r="L78" s="98" t="s">
        <v>80</v>
      </c>
      <c r="M78" s="98" t="s">
        <v>40</v>
      </c>
      <c r="N78" s="237">
        <f>+VLOOKUP(A78,COMISIONES!$C$2:$AR$33,42,0)</f>
        <v>15</v>
      </c>
      <c r="O78" s="53">
        <f t="shared" si="1"/>
        <v>15</v>
      </c>
      <c r="P78" s="7">
        <f>+VLOOKUP(A78,COMISIONES!$C$2:$C$33,1,0)</f>
        <v>20009688</v>
      </c>
    </row>
    <row r="79" spans="1:16" hidden="1">
      <c r="A79" s="98">
        <v>20009174</v>
      </c>
      <c r="B79" s="98">
        <v>1</v>
      </c>
      <c r="C79" s="98" t="s">
        <v>55</v>
      </c>
      <c r="D79" s="98"/>
      <c r="E79" s="213">
        <v>45139</v>
      </c>
      <c r="F79" s="98" t="s">
        <v>2982</v>
      </c>
      <c r="G79" s="140" t="s">
        <v>2983</v>
      </c>
      <c r="H79" s="98"/>
      <c r="I79" s="140" t="s">
        <v>3608</v>
      </c>
      <c r="J79" s="98">
        <v>98064</v>
      </c>
      <c r="K79" s="98" t="s">
        <v>52</v>
      </c>
      <c r="L79" s="98" t="s">
        <v>80</v>
      </c>
      <c r="M79" s="98" t="s">
        <v>40</v>
      </c>
      <c r="N79" s="237">
        <f>+VLOOKUP(A79,COMISIONES!$C$2:$AR$33,42,0)</f>
        <v>20</v>
      </c>
      <c r="O79" s="53">
        <f t="shared" si="1"/>
        <v>20</v>
      </c>
      <c r="P79" s="7">
        <f>+VLOOKUP(A79,COMISIONES!$C$2:$C$33,1,0)</f>
        <v>20009174</v>
      </c>
    </row>
    <row r="80" spans="1:16" hidden="1">
      <c r="A80" s="98">
        <v>20004638</v>
      </c>
      <c r="B80" s="98">
        <v>1</v>
      </c>
      <c r="C80" s="98" t="s">
        <v>55</v>
      </c>
      <c r="D80" s="98"/>
      <c r="E80" s="213">
        <v>45139</v>
      </c>
      <c r="F80" s="98" t="s">
        <v>2961</v>
      </c>
      <c r="G80" s="140" t="s">
        <v>2962</v>
      </c>
      <c r="H80" s="98"/>
      <c r="I80" s="140" t="s">
        <v>3607</v>
      </c>
      <c r="J80" s="98">
        <v>98009</v>
      </c>
      <c r="K80" s="98" t="s">
        <v>51</v>
      </c>
      <c r="L80" s="98" t="s">
        <v>80</v>
      </c>
      <c r="M80" s="98" t="s">
        <v>40</v>
      </c>
      <c r="N80" s="237">
        <f>+VLOOKUP(A80,COMISIONES!$C$2:$AR$33,42,0)</f>
        <v>10</v>
      </c>
      <c r="O80" s="53">
        <f t="shared" si="1"/>
        <v>10</v>
      </c>
      <c r="P80" s="7">
        <f>+VLOOKUP(A80,COMISIONES!$C$2:$C$33,1,0)</f>
        <v>20004638</v>
      </c>
    </row>
    <row r="81" spans="1:16" hidden="1">
      <c r="A81" s="98">
        <v>20004638</v>
      </c>
      <c r="B81" s="98">
        <v>1</v>
      </c>
      <c r="C81" s="98" t="s">
        <v>55</v>
      </c>
      <c r="D81" s="98"/>
      <c r="E81" s="213">
        <v>45139</v>
      </c>
      <c r="F81" s="98" t="s">
        <v>2958</v>
      </c>
      <c r="G81" s="140" t="s">
        <v>2959</v>
      </c>
      <c r="H81" s="83"/>
      <c r="I81" s="140" t="s">
        <v>3606</v>
      </c>
      <c r="J81" s="98">
        <v>98009</v>
      </c>
      <c r="K81" s="98" t="s">
        <v>51</v>
      </c>
      <c r="L81" s="98" t="s">
        <v>80</v>
      </c>
      <c r="M81" s="98" t="s">
        <v>40</v>
      </c>
      <c r="N81" s="237">
        <f>+VLOOKUP(A81,COMISIONES!$C$2:$AR$33,42,0)</f>
        <v>10</v>
      </c>
      <c r="O81" s="53">
        <f t="shared" si="1"/>
        <v>10</v>
      </c>
      <c r="P81" s="7">
        <f>+VLOOKUP(A81,COMISIONES!$C$2:$C$33,1,0)</f>
        <v>20004638</v>
      </c>
    </row>
    <row r="82" spans="1:16" hidden="1">
      <c r="A82" s="98">
        <v>20009592</v>
      </c>
      <c r="B82" s="98">
        <v>1</v>
      </c>
      <c r="C82" s="98" t="s">
        <v>55</v>
      </c>
      <c r="D82" s="98"/>
      <c r="E82" s="213">
        <v>45139</v>
      </c>
      <c r="F82" s="98" t="s">
        <v>2964</v>
      </c>
      <c r="G82" s="140" t="s">
        <v>2965</v>
      </c>
      <c r="H82" s="98"/>
      <c r="I82" s="140" t="s">
        <v>3605</v>
      </c>
      <c r="J82" s="98">
        <v>98076</v>
      </c>
      <c r="K82" s="98" t="s">
        <v>52</v>
      </c>
      <c r="L82" s="98" t="s">
        <v>80</v>
      </c>
      <c r="M82" s="98" t="s">
        <v>40</v>
      </c>
      <c r="N82" s="237">
        <f>+VLOOKUP(A82,COMISIONES!$C$2:$AR$33,42,0)</f>
        <v>10</v>
      </c>
      <c r="O82" s="53">
        <f t="shared" si="1"/>
        <v>10</v>
      </c>
      <c r="P82" s="7">
        <f>+VLOOKUP(A82,COMISIONES!$C$2:$C$33,1,0)</f>
        <v>20009592</v>
      </c>
    </row>
    <row r="83" spans="1:16" hidden="1">
      <c r="A83" s="98">
        <v>20009688</v>
      </c>
      <c r="B83" s="98">
        <v>1</v>
      </c>
      <c r="C83" s="98" t="s">
        <v>55</v>
      </c>
      <c r="D83" s="98"/>
      <c r="E83" s="213">
        <v>45139</v>
      </c>
      <c r="F83" s="98" t="s">
        <v>2645</v>
      </c>
      <c r="G83" s="140" t="s">
        <v>2646</v>
      </c>
      <c r="H83" s="98"/>
      <c r="I83" s="140" t="s">
        <v>3598</v>
      </c>
      <c r="J83" s="98">
        <v>98075</v>
      </c>
      <c r="K83" s="98" t="s">
        <v>52</v>
      </c>
      <c r="L83" s="98" t="s">
        <v>80</v>
      </c>
      <c r="M83" s="98" t="s">
        <v>40</v>
      </c>
      <c r="N83" s="237">
        <f>+VLOOKUP(A83,COMISIONES!$C$2:$AR$33,42,0)</f>
        <v>15</v>
      </c>
      <c r="O83" s="53">
        <f t="shared" si="1"/>
        <v>15</v>
      </c>
      <c r="P83" s="7">
        <f>+VLOOKUP(A83,COMISIONES!$C$2:$C$33,1,0)</f>
        <v>20009688</v>
      </c>
    </row>
    <row r="84" spans="1:16" hidden="1">
      <c r="A84" s="98">
        <v>20007352</v>
      </c>
      <c r="B84" s="98">
        <v>1</v>
      </c>
      <c r="C84" s="98" t="s">
        <v>55</v>
      </c>
      <c r="D84" s="98"/>
      <c r="E84" s="213">
        <v>45139</v>
      </c>
      <c r="F84" s="98" t="s">
        <v>2600</v>
      </c>
      <c r="G84" s="140" t="s">
        <v>2601</v>
      </c>
      <c r="H84" s="98"/>
      <c r="I84" s="140" t="s">
        <v>3604</v>
      </c>
      <c r="J84" s="98">
        <v>98034</v>
      </c>
      <c r="K84" s="98" t="s">
        <v>52</v>
      </c>
      <c r="L84" s="98" t="s">
        <v>80</v>
      </c>
      <c r="M84" s="98" t="s">
        <v>40</v>
      </c>
      <c r="N84" s="237">
        <f>+VLOOKUP(A84,COMISIONES!$C$2:$AR$33,42,0)</f>
        <v>15</v>
      </c>
      <c r="O84" s="53">
        <f t="shared" si="1"/>
        <v>15</v>
      </c>
      <c r="P84" s="7">
        <f>+VLOOKUP(A84,COMISIONES!$C$2:$C$33,1,0)</f>
        <v>20007352</v>
      </c>
    </row>
    <row r="85" spans="1:16" hidden="1">
      <c r="A85" s="98">
        <v>20005527</v>
      </c>
      <c r="B85" s="98">
        <v>1</v>
      </c>
      <c r="C85" s="98" t="s">
        <v>55</v>
      </c>
      <c r="D85" s="98"/>
      <c r="E85" s="213">
        <v>45139</v>
      </c>
      <c r="F85" s="98" t="s">
        <v>2513</v>
      </c>
      <c r="G85" s="140" t="s">
        <v>2514</v>
      </c>
      <c r="H85" s="98"/>
      <c r="I85" s="140" t="s">
        <v>3603</v>
      </c>
      <c r="J85" s="98">
        <v>98041</v>
      </c>
      <c r="K85" s="98" t="s">
        <v>52</v>
      </c>
      <c r="L85" s="98" t="s">
        <v>80</v>
      </c>
      <c r="M85" s="98" t="s">
        <v>40</v>
      </c>
      <c r="N85" s="237">
        <f>+VLOOKUP(A85,COMISIONES!$C$2:$AR$33,42,0)</f>
        <v>10</v>
      </c>
      <c r="O85" s="53">
        <f t="shared" si="1"/>
        <v>10</v>
      </c>
      <c r="P85" s="7">
        <f>+VLOOKUP(A85,COMISIONES!$C$2:$C$33,1,0)</f>
        <v>20005527</v>
      </c>
    </row>
    <row r="86" spans="1:16" hidden="1">
      <c r="A86" s="98">
        <v>20008711</v>
      </c>
      <c r="B86" s="98">
        <v>1</v>
      </c>
      <c r="C86" s="98" t="s">
        <v>55</v>
      </c>
      <c r="D86" s="98"/>
      <c r="E86" s="213">
        <v>45139</v>
      </c>
      <c r="F86" s="98" t="s">
        <v>2909</v>
      </c>
      <c r="G86" s="140" t="s">
        <v>2910</v>
      </c>
      <c r="H86" s="8"/>
      <c r="I86" s="140" t="s">
        <v>3593</v>
      </c>
      <c r="J86" s="98">
        <v>98055</v>
      </c>
      <c r="K86" s="98" t="s">
        <v>50</v>
      </c>
      <c r="L86" s="98" t="s">
        <v>80</v>
      </c>
      <c r="M86" s="98" t="s">
        <v>40</v>
      </c>
      <c r="N86" s="237">
        <f>+VLOOKUP(A86,COMISIONES!$C$2:$AR$33,42,0)</f>
        <v>15</v>
      </c>
      <c r="O86" s="53">
        <f t="shared" si="1"/>
        <v>15</v>
      </c>
      <c r="P86" s="7">
        <f>+VLOOKUP(A86,COMISIONES!$C$2:$C$33,1,0)</f>
        <v>20008711</v>
      </c>
    </row>
    <row r="87" spans="1:16" hidden="1">
      <c r="A87" s="98">
        <v>20009174</v>
      </c>
      <c r="B87" s="98">
        <v>1</v>
      </c>
      <c r="C87" s="98" t="s">
        <v>55</v>
      </c>
      <c r="D87" s="98"/>
      <c r="E87" s="213">
        <v>45139</v>
      </c>
      <c r="F87" s="98" t="s">
        <v>2729</v>
      </c>
      <c r="G87" s="140" t="s">
        <v>2730</v>
      </c>
      <c r="H87" s="98"/>
      <c r="I87" s="140" t="s">
        <v>3590</v>
      </c>
      <c r="J87" s="98">
        <v>98064</v>
      </c>
      <c r="K87" s="98" t="s">
        <v>52</v>
      </c>
      <c r="L87" s="98" t="s">
        <v>80</v>
      </c>
      <c r="M87" s="98" t="s">
        <v>40</v>
      </c>
      <c r="N87" s="237">
        <f>+VLOOKUP(A87,COMISIONES!$C$2:$AR$33,42,0)</f>
        <v>20</v>
      </c>
      <c r="O87" s="53">
        <f t="shared" si="1"/>
        <v>20</v>
      </c>
      <c r="P87" s="7">
        <f>+VLOOKUP(A87,COMISIONES!$C$2:$C$33,1,0)</f>
        <v>20009174</v>
      </c>
    </row>
    <row r="88" spans="1:16" hidden="1">
      <c r="A88" s="98">
        <v>20006360</v>
      </c>
      <c r="B88" s="98">
        <v>1</v>
      </c>
      <c r="C88" s="98" t="s">
        <v>55</v>
      </c>
      <c r="D88" s="98"/>
      <c r="E88" s="213">
        <v>45139</v>
      </c>
      <c r="F88" s="98" t="s">
        <v>2699</v>
      </c>
      <c r="G88" s="140" t="s">
        <v>2700</v>
      </c>
      <c r="H88" s="98"/>
      <c r="I88" s="140" t="s">
        <v>3587</v>
      </c>
      <c r="J88" s="98">
        <v>98012</v>
      </c>
      <c r="K88" s="98" t="s">
        <v>50</v>
      </c>
      <c r="L88" s="98" t="s">
        <v>80</v>
      </c>
      <c r="M88" s="98" t="s">
        <v>40</v>
      </c>
      <c r="N88" s="237">
        <f>+VLOOKUP(A88,COMISIONES!$C$2:$AR$33,42,0)</f>
        <v>10</v>
      </c>
      <c r="O88" s="53">
        <f t="shared" si="1"/>
        <v>10</v>
      </c>
      <c r="P88" s="7">
        <f>+VLOOKUP(A88,COMISIONES!$C$2:$C$33,1,0)</f>
        <v>20006360</v>
      </c>
    </row>
    <row r="89" spans="1:16" hidden="1">
      <c r="A89" s="98">
        <v>20010262</v>
      </c>
      <c r="B89" s="98">
        <v>1</v>
      </c>
      <c r="C89" s="98" t="s">
        <v>55</v>
      </c>
      <c r="D89" s="98"/>
      <c r="E89" s="213">
        <v>45139</v>
      </c>
      <c r="F89" s="98" t="s">
        <v>2690</v>
      </c>
      <c r="G89" s="140" t="s">
        <v>2691</v>
      </c>
      <c r="H89" s="98"/>
      <c r="I89" s="140" t="s">
        <v>3583</v>
      </c>
      <c r="J89" s="98">
        <v>98073</v>
      </c>
      <c r="K89" s="98" t="s">
        <v>52</v>
      </c>
      <c r="L89" s="98" t="s">
        <v>80</v>
      </c>
      <c r="M89" s="98" t="s">
        <v>40</v>
      </c>
      <c r="N89" s="237">
        <f>+VLOOKUP(A89,COMISIONES!$C$2:$AR$33,42,0)</f>
        <v>15</v>
      </c>
      <c r="O89" s="53">
        <f t="shared" si="1"/>
        <v>15</v>
      </c>
      <c r="P89" s="7">
        <f>+VLOOKUP(A89,COMISIONES!$C$2:$C$33,1,0)</f>
        <v>20010262</v>
      </c>
    </row>
    <row r="90" spans="1:16" hidden="1">
      <c r="A90" s="98">
        <v>20001487</v>
      </c>
      <c r="B90" s="98">
        <v>1</v>
      </c>
      <c r="C90" s="98" t="s">
        <v>55</v>
      </c>
      <c r="D90" s="98"/>
      <c r="E90" s="213">
        <v>45139</v>
      </c>
      <c r="F90" s="98" t="s">
        <v>2834</v>
      </c>
      <c r="G90" s="140" t="s">
        <v>2835</v>
      </c>
      <c r="H90" s="10"/>
      <c r="I90" s="140" t="s">
        <v>3568</v>
      </c>
      <c r="J90" s="98">
        <v>98003</v>
      </c>
      <c r="K90" s="98" t="s">
        <v>51</v>
      </c>
      <c r="L90" s="98" t="s">
        <v>80</v>
      </c>
      <c r="M90" s="98" t="s">
        <v>40</v>
      </c>
      <c r="N90" s="237">
        <f>+VLOOKUP(A90,COMISIONES!$C$2:$AR$33,42,0)</f>
        <v>30</v>
      </c>
      <c r="O90" s="53">
        <f t="shared" si="1"/>
        <v>30</v>
      </c>
      <c r="P90" s="7">
        <f>+VLOOKUP(A90,COMISIONES!$C$2:$C$33,1,0)</f>
        <v>20001487</v>
      </c>
    </row>
    <row r="91" spans="1:16" hidden="1">
      <c r="A91" s="98">
        <v>20005527</v>
      </c>
      <c r="B91" s="98">
        <v>1</v>
      </c>
      <c r="C91" s="98" t="s">
        <v>55</v>
      </c>
      <c r="D91" s="98"/>
      <c r="E91" s="213">
        <v>45139</v>
      </c>
      <c r="F91" s="98" t="s">
        <v>2486</v>
      </c>
      <c r="G91" s="140" t="s">
        <v>2487</v>
      </c>
      <c r="H91" s="98"/>
      <c r="I91" s="140" t="s">
        <v>3884</v>
      </c>
      <c r="J91" s="98">
        <v>98041</v>
      </c>
      <c r="K91" s="98" t="s">
        <v>52</v>
      </c>
      <c r="L91" s="98" t="s">
        <v>80</v>
      </c>
      <c r="M91" s="98" t="s">
        <v>40</v>
      </c>
      <c r="N91" s="237">
        <f>+VLOOKUP(A91,COMISIONES!$C$2:$AR$33,42,0)</f>
        <v>10</v>
      </c>
      <c r="O91" s="53">
        <f t="shared" si="1"/>
        <v>10</v>
      </c>
      <c r="P91" s="7">
        <f>+VLOOKUP(A91,COMISIONES!$C$2:$C$33,1,0)</f>
        <v>20005527</v>
      </c>
    </row>
    <row r="92" spans="1:16" hidden="1">
      <c r="A92" s="98">
        <v>20009592</v>
      </c>
      <c r="B92" s="98">
        <v>1</v>
      </c>
      <c r="C92" s="98" t="s">
        <v>55</v>
      </c>
      <c r="D92" s="98"/>
      <c r="E92" s="213">
        <v>45139</v>
      </c>
      <c r="F92" s="98" t="s">
        <v>2480</v>
      </c>
      <c r="G92" s="140" t="s">
        <v>2481</v>
      </c>
      <c r="H92" s="98"/>
      <c r="I92" s="140" t="s">
        <v>3885</v>
      </c>
      <c r="J92" s="98">
        <v>98076</v>
      </c>
      <c r="K92" s="98" t="s">
        <v>52</v>
      </c>
      <c r="L92" s="98" t="s">
        <v>80</v>
      </c>
      <c r="M92" s="98" t="s">
        <v>40</v>
      </c>
      <c r="N92" s="237">
        <f>+VLOOKUP(A92,COMISIONES!$C$2:$AR$33,42,0)</f>
        <v>10</v>
      </c>
      <c r="O92" s="53">
        <f t="shared" si="1"/>
        <v>10</v>
      </c>
      <c r="P92" s="7">
        <f>+VLOOKUP(A92,COMISIONES!$C$2:$C$33,1,0)</f>
        <v>20009592</v>
      </c>
    </row>
    <row r="93" spans="1:16" hidden="1">
      <c r="A93" s="98">
        <v>20009592</v>
      </c>
      <c r="B93" s="98">
        <v>1</v>
      </c>
      <c r="C93" s="98" t="s">
        <v>55</v>
      </c>
      <c r="D93" s="98"/>
      <c r="E93" s="213">
        <v>45139</v>
      </c>
      <c r="F93" s="98" t="s">
        <v>2368</v>
      </c>
      <c r="G93" s="140" t="s">
        <v>2369</v>
      </c>
      <c r="H93" s="83"/>
      <c r="I93" s="140" t="s">
        <v>3528</v>
      </c>
      <c r="J93" s="98">
        <v>98076</v>
      </c>
      <c r="K93" s="98" t="s">
        <v>52</v>
      </c>
      <c r="L93" s="98" t="s">
        <v>80</v>
      </c>
      <c r="M93" s="98" t="s">
        <v>40</v>
      </c>
      <c r="N93" s="237">
        <f>+VLOOKUP(A93,COMISIONES!$C$2:$AR$33,42,0)</f>
        <v>10</v>
      </c>
      <c r="O93" s="53">
        <f t="shared" si="1"/>
        <v>10</v>
      </c>
      <c r="P93" s="7">
        <f>+VLOOKUP(A93,COMISIONES!$C$2:$C$33,1,0)</f>
        <v>20009592</v>
      </c>
    </row>
    <row r="94" spans="1:16" hidden="1">
      <c r="A94" s="98">
        <v>20006162</v>
      </c>
      <c r="B94" s="98">
        <v>1</v>
      </c>
      <c r="C94" s="98" t="s">
        <v>55</v>
      </c>
      <c r="D94" s="98"/>
      <c r="E94" s="213">
        <v>45139</v>
      </c>
      <c r="F94" s="98" t="s">
        <v>2315</v>
      </c>
      <c r="G94" s="140" t="s">
        <v>2316</v>
      </c>
      <c r="H94" s="98"/>
      <c r="I94" s="140" t="s">
        <v>3523</v>
      </c>
      <c r="J94" s="98">
        <v>98069</v>
      </c>
      <c r="K94" s="98" t="s">
        <v>50</v>
      </c>
      <c r="L94" s="98" t="s">
        <v>80</v>
      </c>
      <c r="M94" s="98" t="s">
        <v>40</v>
      </c>
      <c r="N94" s="237">
        <f>+VLOOKUP(A94,COMISIONES!$C$2:$AR$33,42,0)</f>
        <v>20</v>
      </c>
      <c r="O94" s="53">
        <f t="shared" si="1"/>
        <v>20</v>
      </c>
      <c r="P94" s="7">
        <f>+VLOOKUP(A94,COMISIONES!$C$2:$C$33,1,0)</f>
        <v>20006162</v>
      </c>
    </row>
    <row r="95" spans="1:16" hidden="1">
      <c r="A95" s="98">
        <v>20009174</v>
      </c>
      <c r="B95" s="98">
        <v>1</v>
      </c>
      <c r="C95" s="98" t="s">
        <v>55</v>
      </c>
      <c r="D95" s="98"/>
      <c r="E95" s="213">
        <v>45139</v>
      </c>
      <c r="F95" s="98" t="s">
        <v>3108</v>
      </c>
      <c r="G95" s="140" t="s">
        <v>3109</v>
      </c>
      <c r="H95" s="98"/>
      <c r="I95" s="140" t="s">
        <v>3886</v>
      </c>
      <c r="J95" s="98">
        <v>98064</v>
      </c>
      <c r="K95" s="98" t="s">
        <v>52</v>
      </c>
      <c r="L95" s="98" t="s">
        <v>80</v>
      </c>
      <c r="M95" s="98" t="s">
        <v>40</v>
      </c>
      <c r="N95" s="237">
        <f>+VLOOKUP(A95,COMISIONES!$C$2:$AR$33,42,0)</f>
        <v>20</v>
      </c>
      <c r="O95" s="53">
        <f t="shared" si="1"/>
        <v>20</v>
      </c>
      <c r="P95" s="7">
        <f>+VLOOKUP(A95,COMISIONES!$C$2:$C$33,1,0)</f>
        <v>20009174</v>
      </c>
    </row>
    <row r="96" spans="1:16" hidden="1">
      <c r="A96" s="98">
        <v>20008711</v>
      </c>
      <c r="B96" s="98">
        <v>1</v>
      </c>
      <c r="C96" s="98" t="s">
        <v>55</v>
      </c>
      <c r="D96" s="98"/>
      <c r="E96" s="213">
        <v>45139</v>
      </c>
      <c r="F96" s="98" t="s">
        <v>1878</v>
      </c>
      <c r="G96" s="140" t="s">
        <v>1879</v>
      </c>
      <c r="H96" s="98"/>
      <c r="I96" s="140" t="s">
        <v>3461</v>
      </c>
      <c r="J96" s="98">
        <v>98055</v>
      </c>
      <c r="K96" s="98" t="s">
        <v>50</v>
      </c>
      <c r="L96" s="98" t="s">
        <v>80</v>
      </c>
      <c r="M96" s="98" t="s">
        <v>40</v>
      </c>
      <c r="N96" s="237">
        <f>+VLOOKUP(A96,COMISIONES!$C$2:$AR$33,42,0)</f>
        <v>15</v>
      </c>
      <c r="O96" s="53">
        <f t="shared" si="1"/>
        <v>15</v>
      </c>
      <c r="P96" s="7">
        <f>+VLOOKUP(A96,COMISIONES!$C$2:$C$33,1,0)</f>
        <v>20008711</v>
      </c>
    </row>
    <row r="97" spans="1:16" hidden="1">
      <c r="A97" s="98">
        <v>20008711</v>
      </c>
      <c r="B97" s="98">
        <v>1</v>
      </c>
      <c r="C97" s="98" t="s">
        <v>55</v>
      </c>
      <c r="D97" s="98"/>
      <c r="E97" s="213">
        <v>45139</v>
      </c>
      <c r="F97" s="98" t="s">
        <v>1866</v>
      </c>
      <c r="G97" s="140" t="s">
        <v>1867</v>
      </c>
      <c r="H97" s="83"/>
      <c r="I97" s="140" t="s">
        <v>3460</v>
      </c>
      <c r="J97" s="98">
        <v>98055</v>
      </c>
      <c r="K97" s="98" t="s">
        <v>50</v>
      </c>
      <c r="L97" s="98" t="s">
        <v>80</v>
      </c>
      <c r="M97" s="98" t="s">
        <v>40</v>
      </c>
      <c r="N97" s="237">
        <f>+VLOOKUP(A97,COMISIONES!$C$2:$AR$33,42,0)</f>
        <v>15</v>
      </c>
      <c r="O97" s="53">
        <f t="shared" si="1"/>
        <v>15</v>
      </c>
      <c r="P97" s="7">
        <f>+VLOOKUP(A97,COMISIONES!$C$2:$C$33,1,0)</f>
        <v>20008711</v>
      </c>
    </row>
    <row r="98" spans="1:16" hidden="1">
      <c r="A98" s="98">
        <v>20008711</v>
      </c>
      <c r="B98" s="98">
        <v>1</v>
      </c>
      <c r="C98" s="98" t="s">
        <v>55</v>
      </c>
      <c r="D98" s="98"/>
      <c r="E98" s="213">
        <v>45139</v>
      </c>
      <c r="F98" s="98" t="s">
        <v>1708</v>
      </c>
      <c r="G98" s="140" t="s">
        <v>1709</v>
      </c>
      <c r="H98" s="98"/>
      <c r="I98" s="140" t="s">
        <v>3427</v>
      </c>
      <c r="J98" s="98">
        <v>98055</v>
      </c>
      <c r="K98" s="98" t="s">
        <v>50</v>
      </c>
      <c r="L98" s="98" t="s">
        <v>80</v>
      </c>
      <c r="M98" s="98" t="s">
        <v>40</v>
      </c>
      <c r="N98" s="237">
        <f>+VLOOKUP(A98,COMISIONES!$C$2:$AR$33,42,0)</f>
        <v>15</v>
      </c>
      <c r="O98" s="53">
        <f t="shared" si="1"/>
        <v>15</v>
      </c>
      <c r="P98" s="7">
        <f>+VLOOKUP(A98,COMISIONES!$C$2:$C$33,1,0)</f>
        <v>20008711</v>
      </c>
    </row>
    <row r="99" spans="1:16" hidden="1">
      <c r="A99" s="98">
        <v>20006893</v>
      </c>
      <c r="B99" s="98">
        <v>1</v>
      </c>
      <c r="C99" s="98" t="s">
        <v>55</v>
      </c>
      <c r="D99" s="98"/>
      <c r="E99" s="213">
        <v>45139</v>
      </c>
      <c r="F99" s="98" t="s">
        <v>1627</v>
      </c>
      <c r="G99" s="140" t="s">
        <v>1628</v>
      </c>
      <c r="H99" s="98"/>
      <c r="I99" s="140" t="s">
        <v>3418</v>
      </c>
      <c r="J99" s="98">
        <v>98071</v>
      </c>
      <c r="K99" s="98" t="s">
        <v>51</v>
      </c>
      <c r="L99" s="98" t="s">
        <v>80</v>
      </c>
      <c r="M99" s="98" t="s">
        <v>40</v>
      </c>
      <c r="N99" s="237">
        <f>+VLOOKUP(A99,COMISIONES!$C$2:$AR$33,42,0)</f>
        <v>15</v>
      </c>
      <c r="O99" s="53">
        <f t="shared" si="1"/>
        <v>15</v>
      </c>
      <c r="P99" s="7">
        <f>+VLOOKUP(A99,COMISIONES!$C$2:$C$33,1,0)</f>
        <v>20006893</v>
      </c>
    </row>
    <row r="100" spans="1:16" hidden="1">
      <c r="A100" s="98">
        <v>20001487</v>
      </c>
      <c r="B100" s="98">
        <v>1</v>
      </c>
      <c r="C100" s="98" t="s">
        <v>55</v>
      </c>
      <c r="D100" s="98"/>
      <c r="E100" s="213">
        <v>45139</v>
      </c>
      <c r="F100" s="98" t="s">
        <v>1618</v>
      </c>
      <c r="G100" s="140" t="s">
        <v>1619</v>
      </c>
      <c r="H100" s="98"/>
      <c r="I100" s="140" t="s">
        <v>3417</v>
      </c>
      <c r="J100" s="98">
        <v>98003</v>
      </c>
      <c r="K100" s="98" t="s">
        <v>51</v>
      </c>
      <c r="L100" s="98" t="s">
        <v>80</v>
      </c>
      <c r="M100" s="98" t="s">
        <v>40</v>
      </c>
      <c r="N100" s="237">
        <f>+VLOOKUP(A100,COMISIONES!$C$2:$AR$33,42,0)</f>
        <v>30</v>
      </c>
      <c r="O100" s="53">
        <f t="shared" si="1"/>
        <v>30</v>
      </c>
      <c r="P100" s="7">
        <f>+VLOOKUP(A100,COMISIONES!$C$2:$C$33,1,0)</f>
        <v>20001487</v>
      </c>
    </row>
    <row r="101" spans="1:16" hidden="1">
      <c r="A101" s="98">
        <v>20000661</v>
      </c>
      <c r="B101" s="98">
        <v>1</v>
      </c>
      <c r="C101" s="98" t="s">
        <v>55</v>
      </c>
      <c r="D101" s="98"/>
      <c r="E101" s="213">
        <v>45139</v>
      </c>
      <c r="F101" s="98" t="s">
        <v>1588</v>
      </c>
      <c r="G101" s="140" t="s">
        <v>1589</v>
      </c>
      <c r="H101" s="83"/>
      <c r="I101" s="140" t="s">
        <v>3414</v>
      </c>
      <c r="J101" s="98">
        <v>98013</v>
      </c>
      <c r="K101" s="98" t="s">
        <v>51</v>
      </c>
      <c r="L101" s="98" t="s">
        <v>80</v>
      </c>
      <c r="M101" s="98" t="s">
        <v>40</v>
      </c>
      <c r="N101" s="237">
        <f>+VLOOKUP(A101,COMISIONES!$C$2:$AR$33,42,0)</f>
        <v>15</v>
      </c>
      <c r="O101" s="53">
        <f t="shared" si="1"/>
        <v>15</v>
      </c>
      <c r="P101" s="7">
        <f>+VLOOKUP(A101,COMISIONES!$C$2:$C$33,1,0)</f>
        <v>20000661</v>
      </c>
    </row>
    <row r="102" spans="1:16" hidden="1">
      <c r="A102" s="98">
        <v>20001487</v>
      </c>
      <c r="B102" s="98">
        <v>1</v>
      </c>
      <c r="C102" s="98" t="s">
        <v>55</v>
      </c>
      <c r="D102" s="98"/>
      <c r="E102" s="213">
        <v>45139</v>
      </c>
      <c r="F102" s="98" t="s">
        <v>1360</v>
      </c>
      <c r="G102" s="140" t="s">
        <v>1361</v>
      </c>
      <c r="H102" s="98"/>
      <c r="I102" s="140" t="s">
        <v>3375</v>
      </c>
      <c r="J102" s="98">
        <v>98003</v>
      </c>
      <c r="K102" s="98" t="s">
        <v>51</v>
      </c>
      <c r="L102" s="98" t="s">
        <v>80</v>
      </c>
      <c r="M102" s="98" t="s">
        <v>40</v>
      </c>
      <c r="N102" s="237">
        <f>+VLOOKUP(A102,COMISIONES!$C$2:$AR$33,42,0)</f>
        <v>30</v>
      </c>
      <c r="O102" s="53">
        <f t="shared" si="1"/>
        <v>30</v>
      </c>
      <c r="P102" s="7">
        <f>+VLOOKUP(A102,COMISIONES!$C$2:$C$33,1,0)</f>
        <v>20001487</v>
      </c>
    </row>
    <row r="103" spans="1:16" hidden="1">
      <c r="A103" s="98">
        <v>20000033</v>
      </c>
      <c r="B103" s="98">
        <v>1</v>
      </c>
      <c r="C103" s="98" t="s">
        <v>55</v>
      </c>
      <c r="D103" s="98"/>
      <c r="E103" s="213">
        <v>45139</v>
      </c>
      <c r="F103" s="98" t="s">
        <v>1363</v>
      </c>
      <c r="G103" s="140" t="s">
        <v>1364</v>
      </c>
      <c r="H103" s="98"/>
      <c r="I103" s="140" t="s">
        <v>3374</v>
      </c>
      <c r="J103" s="98">
        <v>98000</v>
      </c>
      <c r="K103" s="98" t="s">
        <v>51</v>
      </c>
      <c r="L103" s="98" t="s">
        <v>80</v>
      </c>
      <c r="M103" s="98" t="s">
        <v>40</v>
      </c>
      <c r="N103" s="237">
        <f>+VLOOKUP(A103,COMISIONES!$C$2:$AR$33,42,0)</f>
        <v>15</v>
      </c>
      <c r="O103" s="53">
        <f t="shared" si="1"/>
        <v>15</v>
      </c>
      <c r="P103" s="7">
        <f>+VLOOKUP(A103,COMISIONES!$C$2:$C$33,1,0)</f>
        <v>20000033</v>
      </c>
    </row>
    <row r="104" spans="1:16" hidden="1">
      <c r="A104" s="98">
        <v>20004638</v>
      </c>
      <c r="B104" s="98">
        <v>1</v>
      </c>
      <c r="C104" s="98" t="s">
        <v>55</v>
      </c>
      <c r="D104" s="98"/>
      <c r="E104" s="213">
        <v>45139</v>
      </c>
      <c r="F104" s="98" t="s">
        <v>1289</v>
      </c>
      <c r="G104" s="140" t="s">
        <v>1290</v>
      </c>
      <c r="H104" s="83"/>
      <c r="I104" s="140" t="s">
        <v>3366</v>
      </c>
      <c r="J104" s="98">
        <v>98009</v>
      </c>
      <c r="K104" s="98" t="s">
        <v>51</v>
      </c>
      <c r="L104" s="98" t="s">
        <v>80</v>
      </c>
      <c r="M104" s="98" t="s">
        <v>40</v>
      </c>
      <c r="N104" s="237">
        <f>+VLOOKUP(A104,COMISIONES!$C$2:$AR$33,42,0)</f>
        <v>10</v>
      </c>
      <c r="O104" s="53">
        <f t="shared" si="1"/>
        <v>10</v>
      </c>
      <c r="P104" s="7">
        <f>+VLOOKUP(A104,COMISIONES!$C$2:$C$33,1,0)</f>
        <v>20004638</v>
      </c>
    </row>
    <row r="105" spans="1:16" hidden="1">
      <c r="A105" s="98">
        <v>20006162</v>
      </c>
      <c r="B105" s="98">
        <v>1</v>
      </c>
      <c r="C105" s="98" t="s">
        <v>55</v>
      </c>
      <c r="D105" s="98"/>
      <c r="E105" s="213">
        <v>45139</v>
      </c>
      <c r="F105" s="98" t="s">
        <v>1214</v>
      </c>
      <c r="G105" s="140" t="s">
        <v>1215</v>
      </c>
      <c r="H105" s="98"/>
      <c r="I105" s="140" t="s">
        <v>3356</v>
      </c>
      <c r="J105" s="98">
        <v>98069</v>
      </c>
      <c r="K105" s="98" t="s">
        <v>50</v>
      </c>
      <c r="L105" s="98" t="s">
        <v>80</v>
      </c>
      <c r="M105" s="98" t="s">
        <v>40</v>
      </c>
      <c r="N105" s="237">
        <f>+VLOOKUP(A105,COMISIONES!$C$2:$AR$33,42,0)</f>
        <v>20</v>
      </c>
      <c r="O105" s="53">
        <f t="shared" si="1"/>
        <v>20</v>
      </c>
      <c r="P105" s="7">
        <f>+VLOOKUP(A105,COMISIONES!$C$2:$C$33,1,0)</f>
        <v>20006162</v>
      </c>
    </row>
    <row r="106" spans="1:16" hidden="1">
      <c r="A106" s="98">
        <v>20006162</v>
      </c>
      <c r="B106" s="98">
        <v>1</v>
      </c>
      <c r="C106" s="98" t="s">
        <v>55</v>
      </c>
      <c r="D106" s="98"/>
      <c r="E106" s="213">
        <v>45139</v>
      </c>
      <c r="F106" s="98" t="s">
        <v>1201</v>
      </c>
      <c r="G106" s="140" t="s">
        <v>1202</v>
      </c>
      <c r="H106" s="98"/>
      <c r="I106" s="140" t="s">
        <v>3354</v>
      </c>
      <c r="J106" s="98">
        <v>98069</v>
      </c>
      <c r="K106" s="98" t="s">
        <v>50</v>
      </c>
      <c r="L106" s="98" t="s">
        <v>80</v>
      </c>
      <c r="M106" s="98" t="s">
        <v>40</v>
      </c>
      <c r="N106" s="237">
        <f>+VLOOKUP(A106,COMISIONES!$C$2:$AR$33,42,0)</f>
        <v>20</v>
      </c>
      <c r="O106" s="53">
        <f t="shared" si="1"/>
        <v>20</v>
      </c>
      <c r="P106" s="7">
        <f>+VLOOKUP(A106,COMISIONES!$C$2:$C$33,1,0)</f>
        <v>20006162</v>
      </c>
    </row>
    <row r="107" spans="1:16" hidden="1">
      <c r="A107" s="98">
        <v>20010604</v>
      </c>
      <c r="B107" s="98">
        <v>1</v>
      </c>
      <c r="C107" s="98" t="s">
        <v>55</v>
      </c>
      <c r="D107" s="98"/>
      <c r="E107" s="213">
        <v>45139</v>
      </c>
      <c r="F107" s="98" t="s">
        <v>1172</v>
      </c>
      <c r="G107" s="140" t="s">
        <v>1173</v>
      </c>
      <c r="H107" s="98"/>
      <c r="I107" s="140" t="s">
        <v>3359</v>
      </c>
      <c r="J107" s="98">
        <v>98078</v>
      </c>
      <c r="K107" s="98" t="s">
        <v>50</v>
      </c>
      <c r="L107" s="98" t="s">
        <v>80</v>
      </c>
      <c r="M107" s="98" t="s">
        <v>40</v>
      </c>
      <c r="N107" s="237">
        <f>+VLOOKUP(A107,COMISIONES!$C$2:$AR$33,42,0)</f>
        <v>10</v>
      </c>
      <c r="O107" s="53">
        <f t="shared" si="1"/>
        <v>10</v>
      </c>
      <c r="P107" s="7">
        <f>+VLOOKUP(A107,COMISIONES!$C$2:$C$33,1,0)</f>
        <v>20010604</v>
      </c>
    </row>
    <row r="108" spans="1:16" hidden="1">
      <c r="A108" s="98">
        <v>20010604</v>
      </c>
      <c r="B108" s="98">
        <v>1</v>
      </c>
      <c r="C108" s="98" t="s">
        <v>55</v>
      </c>
      <c r="D108" s="98"/>
      <c r="E108" s="213">
        <v>45139</v>
      </c>
      <c r="F108" s="98" t="s">
        <v>1094</v>
      </c>
      <c r="G108" s="140" t="s">
        <v>1095</v>
      </c>
      <c r="H108" s="98"/>
      <c r="I108" s="140" t="s">
        <v>3336</v>
      </c>
      <c r="J108" s="98">
        <v>98078</v>
      </c>
      <c r="K108" s="98" t="s">
        <v>50</v>
      </c>
      <c r="L108" s="98" t="s">
        <v>80</v>
      </c>
      <c r="M108" s="98" t="s">
        <v>40</v>
      </c>
      <c r="N108" s="237">
        <f>+VLOOKUP(A108,COMISIONES!$C$2:$AR$33,42,0)</f>
        <v>10</v>
      </c>
      <c r="O108" s="53">
        <f t="shared" si="1"/>
        <v>10</v>
      </c>
      <c r="P108" s="7">
        <f>+VLOOKUP(A108,COMISIONES!$C$2:$C$33,1,0)</f>
        <v>20010604</v>
      </c>
    </row>
    <row r="109" spans="1:16" hidden="1">
      <c r="A109" s="98">
        <v>20008439</v>
      </c>
      <c r="B109" s="98">
        <v>1</v>
      </c>
      <c r="C109" s="98" t="s">
        <v>55</v>
      </c>
      <c r="D109" s="98"/>
      <c r="E109" s="213">
        <v>45139</v>
      </c>
      <c r="F109" s="98" t="s">
        <v>915</v>
      </c>
      <c r="G109" s="140" t="s">
        <v>916</v>
      </c>
      <c r="H109" s="98"/>
      <c r="I109" s="140" t="s">
        <v>3310</v>
      </c>
      <c r="J109" s="98">
        <v>98049</v>
      </c>
      <c r="K109" s="98" t="s">
        <v>50</v>
      </c>
      <c r="L109" s="98" t="s">
        <v>80</v>
      </c>
      <c r="M109" s="98" t="s">
        <v>40</v>
      </c>
      <c r="N109" s="237">
        <f>+VLOOKUP(A109,COMISIONES!$C$2:$AR$33,42,0)</f>
        <v>15</v>
      </c>
      <c r="O109" s="53">
        <f t="shared" si="1"/>
        <v>15</v>
      </c>
      <c r="P109" s="7">
        <f>+VLOOKUP(A109,COMISIONES!$C$2:$C$33,1,0)</f>
        <v>20008439</v>
      </c>
    </row>
    <row r="110" spans="1:16" hidden="1">
      <c r="A110" s="98">
        <v>20010604</v>
      </c>
      <c r="B110" s="98">
        <v>1</v>
      </c>
      <c r="C110" s="98" t="s">
        <v>55</v>
      </c>
      <c r="D110" s="98"/>
      <c r="E110" s="213">
        <v>45139</v>
      </c>
      <c r="F110" s="98" t="s">
        <v>856</v>
      </c>
      <c r="G110" s="140" t="s">
        <v>857</v>
      </c>
      <c r="H110" s="83"/>
      <c r="I110" s="140" t="s">
        <v>3303</v>
      </c>
      <c r="J110" s="98">
        <v>98078</v>
      </c>
      <c r="K110" s="98" t="s">
        <v>50</v>
      </c>
      <c r="L110" s="98" t="s">
        <v>80</v>
      </c>
      <c r="M110" s="98" t="s">
        <v>40</v>
      </c>
      <c r="N110" s="237">
        <f>+VLOOKUP(A110,COMISIONES!$C$2:$AR$33,42,0)</f>
        <v>10</v>
      </c>
      <c r="O110" s="53">
        <f t="shared" si="1"/>
        <v>10</v>
      </c>
      <c r="P110" s="7">
        <f>+VLOOKUP(A110,COMISIONES!$C$2:$C$33,1,0)</f>
        <v>20010604</v>
      </c>
    </row>
    <row r="111" spans="1:16" hidden="1">
      <c r="A111" s="98">
        <v>20004235</v>
      </c>
      <c r="B111" s="98">
        <v>1</v>
      </c>
      <c r="C111" s="98" t="s">
        <v>55</v>
      </c>
      <c r="D111" s="98"/>
      <c r="E111" s="213">
        <v>45139</v>
      </c>
      <c r="F111" s="98" t="s">
        <v>2747</v>
      </c>
      <c r="G111" s="140" t="s">
        <v>2748</v>
      </c>
      <c r="H111" s="98"/>
      <c r="I111" s="140" t="s">
        <v>3565</v>
      </c>
      <c r="J111" s="98">
        <v>98002</v>
      </c>
      <c r="K111" s="98" t="s">
        <v>49</v>
      </c>
      <c r="L111" s="98" t="s">
        <v>80</v>
      </c>
      <c r="M111" s="98" t="s">
        <v>40</v>
      </c>
      <c r="N111" s="237">
        <f>+VLOOKUP(A111,COMISIONES!$C$2:$AR$33,42,0)</f>
        <v>15</v>
      </c>
      <c r="O111" s="53">
        <f t="shared" si="1"/>
        <v>15</v>
      </c>
      <c r="P111" s="7">
        <f>+VLOOKUP(A111,COMISIONES!$C$2:$C$33,1,0)</f>
        <v>20004235</v>
      </c>
    </row>
    <row r="112" spans="1:16" hidden="1">
      <c r="A112" s="98">
        <v>20007726</v>
      </c>
      <c r="B112" s="98">
        <v>1</v>
      </c>
      <c r="C112" s="98" t="s">
        <v>55</v>
      </c>
      <c r="D112" s="98"/>
      <c r="E112" s="213">
        <v>45139</v>
      </c>
      <c r="F112" s="98" t="s">
        <v>2177</v>
      </c>
      <c r="G112" s="140" t="s">
        <v>2178</v>
      </c>
      <c r="H112" s="98"/>
      <c r="I112" s="140" t="s">
        <v>3507</v>
      </c>
      <c r="J112" s="98">
        <v>98051</v>
      </c>
      <c r="K112" s="98" t="s">
        <v>49</v>
      </c>
      <c r="L112" s="98" t="s">
        <v>80</v>
      </c>
      <c r="M112" s="98" t="s">
        <v>40</v>
      </c>
      <c r="N112" s="237">
        <f>+VLOOKUP(A112,COMISIONES!$C$2:$AR$33,42,0)</f>
        <v>30</v>
      </c>
      <c r="O112" s="53">
        <f t="shared" si="1"/>
        <v>30</v>
      </c>
      <c r="P112" s="7">
        <f>+VLOOKUP(A112,COMISIONES!$C$2:$C$33,1,0)</f>
        <v>20007726</v>
      </c>
    </row>
    <row r="113" spans="1:16" hidden="1">
      <c r="A113" s="98">
        <v>20007726</v>
      </c>
      <c r="B113" s="98">
        <v>1</v>
      </c>
      <c r="C113" s="98" t="s">
        <v>55</v>
      </c>
      <c r="D113" s="98"/>
      <c r="E113" s="213">
        <v>45139</v>
      </c>
      <c r="F113" s="98" t="s">
        <v>1935</v>
      </c>
      <c r="G113" s="140" t="s">
        <v>1936</v>
      </c>
      <c r="H113" s="83"/>
      <c r="I113" s="140" t="s">
        <v>3464</v>
      </c>
      <c r="J113" s="98">
        <v>98051</v>
      </c>
      <c r="K113" s="98" t="s">
        <v>49</v>
      </c>
      <c r="L113" s="98" t="s">
        <v>80</v>
      </c>
      <c r="M113" s="98" t="s">
        <v>40</v>
      </c>
      <c r="N113" s="237">
        <f>+VLOOKUP(A113,COMISIONES!$C$2:$AR$33,42,0)</f>
        <v>30</v>
      </c>
      <c r="O113" s="53">
        <f t="shared" si="1"/>
        <v>30</v>
      </c>
      <c r="P113" s="7">
        <f>+VLOOKUP(A113,COMISIONES!$C$2:$C$33,1,0)</f>
        <v>20007726</v>
      </c>
    </row>
    <row r="114" spans="1:16" hidden="1">
      <c r="A114" s="98">
        <v>20008625</v>
      </c>
      <c r="B114" s="98">
        <v>1</v>
      </c>
      <c r="C114" s="98" t="s">
        <v>55</v>
      </c>
      <c r="D114" s="98"/>
      <c r="E114" s="213">
        <v>45139</v>
      </c>
      <c r="F114" s="98" t="s">
        <v>1938</v>
      </c>
      <c r="G114" s="140" t="s">
        <v>1939</v>
      </c>
      <c r="H114" s="8"/>
      <c r="I114" s="140" t="s">
        <v>3470</v>
      </c>
      <c r="J114" s="98">
        <v>98053</v>
      </c>
      <c r="K114" s="98" t="s">
        <v>49</v>
      </c>
      <c r="L114" s="98" t="s">
        <v>80</v>
      </c>
      <c r="M114" s="98" t="s">
        <v>40</v>
      </c>
      <c r="N114" s="237">
        <f>+VLOOKUP(A114,COMISIONES!$C$2:$AR$33,42,0)</f>
        <v>10</v>
      </c>
      <c r="O114" s="53">
        <f t="shared" si="1"/>
        <v>10</v>
      </c>
      <c r="P114" s="7">
        <f>+VLOOKUP(A114,COMISIONES!$C$2:$C$33,1,0)</f>
        <v>20008625</v>
      </c>
    </row>
    <row r="115" spans="1:16" hidden="1">
      <c r="A115" s="98">
        <v>20010101</v>
      </c>
      <c r="B115" s="98">
        <v>1</v>
      </c>
      <c r="C115" s="98" t="s">
        <v>55</v>
      </c>
      <c r="D115" s="98"/>
      <c r="E115" s="213">
        <v>45139</v>
      </c>
      <c r="F115" s="98" t="s">
        <v>1818</v>
      </c>
      <c r="G115" s="140" t="s">
        <v>1819</v>
      </c>
      <c r="H115" s="83"/>
      <c r="I115" s="140" t="s">
        <v>3458</v>
      </c>
      <c r="J115" s="98">
        <v>98072</v>
      </c>
      <c r="K115" s="98" t="s">
        <v>49</v>
      </c>
      <c r="L115" s="98" t="s">
        <v>80</v>
      </c>
      <c r="M115" s="98" t="s">
        <v>40</v>
      </c>
      <c r="N115" s="237">
        <f>+VLOOKUP(A115,COMISIONES!$C$2:$AR$33,42,0)</f>
        <v>30</v>
      </c>
      <c r="O115" s="53">
        <f t="shared" si="1"/>
        <v>30</v>
      </c>
      <c r="P115" s="7">
        <f>+VLOOKUP(A115,COMISIONES!$C$2:$C$33,1,0)</f>
        <v>20010101</v>
      </c>
    </row>
    <row r="116" spans="1:16" hidden="1">
      <c r="A116" s="98">
        <v>20004161</v>
      </c>
      <c r="B116" s="98">
        <v>1</v>
      </c>
      <c r="C116" s="98" t="s">
        <v>55</v>
      </c>
      <c r="D116" s="98"/>
      <c r="E116" s="213">
        <v>45139</v>
      </c>
      <c r="F116" s="98" t="s">
        <v>1752</v>
      </c>
      <c r="G116" s="140" t="s">
        <v>1753</v>
      </c>
      <c r="H116" s="98"/>
      <c r="I116" s="140" t="s">
        <v>3445</v>
      </c>
      <c r="J116" s="98">
        <v>98019</v>
      </c>
      <c r="K116" s="98" t="s">
        <v>49</v>
      </c>
      <c r="L116" s="98" t="s">
        <v>80</v>
      </c>
      <c r="M116" s="98" t="s">
        <v>40</v>
      </c>
      <c r="N116" s="237">
        <f>+VLOOKUP(A116,COMISIONES!$C$2:$AR$33,42,0)</f>
        <v>32.5</v>
      </c>
      <c r="O116" s="53">
        <f t="shared" si="1"/>
        <v>32.5</v>
      </c>
      <c r="P116" s="7">
        <f>+VLOOKUP(A116,COMISIONES!$C$2:$C$33,1,0)</f>
        <v>20004161</v>
      </c>
    </row>
    <row r="117" spans="1:16" hidden="1">
      <c r="A117" s="98">
        <v>20004235</v>
      </c>
      <c r="B117" s="98">
        <v>1</v>
      </c>
      <c r="C117" s="98" t="s">
        <v>55</v>
      </c>
      <c r="D117" s="98"/>
      <c r="E117" s="213">
        <v>45139</v>
      </c>
      <c r="F117" s="98" t="s">
        <v>1024</v>
      </c>
      <c r="G117" s="140" t="s">
        <v>1025</v>
      </c>
      <c r="H117" s="98"/>
      <c r="I117" s="140" t="s">
        <v>3323</v>
      </c>
      <c r="J117" s="98">
        <v>98002</v>
      </c>
      <c r="K117" s="98" t="s">
        <v>49</v>
      </c>
      <c r="L117" s="98" t="s">
        <v>80</v>
      </c>
      <c r="M117" s="98" t="s">
        <v>40</v>
      </c>
      <c r="N117" s="237">
        <f>+VLOOKUP(A117,COMISIONES!$C$2:$AR$33,42,0)</f>
        <v>15</v>
      </c>
      <c r="O117" s="53">
        <f t="shared" si="1"/>
        <v>15</v>
      </c>
      <c r="P117" s="7">
        <f>+VLOOKUP(A117,COMISIONES!$C$2:$C$33,1,0)</f>
        <v>20004235</v>
      </c>
    </row>
    <row r="118" spans="1:16" hidden="1">
      <c r="A118" s="98">
        <v>20004235</v>
      </c>
      <c r="B118" s="98">
        <v>1</v>
      </c>
      <c r="C118" s="98" t="s">
        <v>55</v>
      </c>
      <c r="D118" s="98"/>
      <c r="E118" s="213">
        <v>45139</v>
      </c>
      <c r="F118" s="98" t="s">
        <v>891</v>
      </c>
      <c r="G118" s="140" t="s">
        <v>892</v>
      </c>
      <c r="H118" s="98"/>
      <c r="I118" s="140" t="s">
        <v>3311</v>
      </c>
      <c r="J118" s="98">
        <v>98002</v>
      </c>
      <c r="K118" s="98" t="s">
        <v>49</v>
      </c>
      <c r="L118" s="98" t="s">
        <v>80</v>
      </c>
      <c r="M118" s="98" t="s">
        <v>40</v>
      </c>
      <c r="N118" s="237">
        <f>+VLOOKUP(A118,COMISIONES!$C$2:$AR$33,42,0)</f>
        <v>15</v>
      </c>
      <c r="O118" s="53">
        <f t="shared" si="1"/>
        <v>15</v>
      </c>
      <c r="P118" s="7">
        <f>+VLOOKUP(A118,COMISIONES!$C$2:$C$33,1,0)</f>
        <v>20004235</v>
      </c>
    </row>
    <row r="119" spans="1:16" hidden="1">
      <c r="A119" s="98">
        <v>20009269</v>
      </c>
      <c r="B119" s="98">
        <v>1</v>
      </c>
      <c r="C119" s="98" t="s">
        <v>55</v>
      </c>
      <c r="D119" s="98"/>
      <c r="E119" s="213">
        <v>45139</v>
      </c>
      <c r="F119" s="98" t="s">
        <v>2618</v>
      </c>
      <c r="G119" s="140" t="s">
        <v>2619</v>
      </c>
      <c r="H119" s="98"/>
      <c r="I119" s="140" t="s">
        <v>3552</v>
      </c>
      <c r="J119" s="98">
        <v>98065</v>
      </c>
      <c r="K119" s="98" t="s">
        <v>49</v>
      </c>
      <c r="L119" s="98" t="s">
        <v>80</v>
      </c>
      <c r="M119" s="98" t="s">
        <v>40</v>
      </c>
      <c r="N119" s="237">
        <f>+VLOOKUP(A119,COMISIONES!$C$2:$AR$33,42,0)</f>
        <v>30</v>
      </c>
      <c r="O119" s="53">
        <f t="shared" si="1"/>
        <v>30</v>
      </c>
      <c r="P119" s="7">
        <f>+VLOOKUP(A119,COMISIONES!$C$2:$C$33,1,0)</f>
        <v>20009269</v>
      </c>
    </row>
    <row r="120" spans="1:16" hidden="1">
      <c r="A120" s="98">
        <v>20007726</v>
      </c>
      <c r="B120" s="98">
        <v>1</v>
      </c>
      <c r="C120" s="98" t="s">
        <v>55</v>
      </c>
      <c r="D120" s="98"/>
      <c r="E120" s="213">
        <v>45139</v>
      </c>
      <c r="F120" s="98" t="s">
        <v>2576</v>
      </c>
      <c r="G120" s="140" t="s">
        <v>2577</v>
      </c>
      <c r="H120" s="83"/>
      <c r="I120" s="140" t="s">
        <v>3554</v>
      </c>
      <c r="J120" s="98">
        <v>98051</v>
      </c>
      <c r="K120" s="98" t="s">
        <v>49</v>
      </c>
      <c r="L120" s="98" t="s">
        <v>80</v>
      </c>
      <c r="M120" s="98" t="s">
        <v>40</v>
      </c>
      <c r="N120" s="237">
        <f>+VLOOKUP(A120,COMISIONES!$C$2:$AR$33,42,0)</f>
        <v>30</v>
      </c>
      <c r="O120" s="53">
        <f t="shared" si="1"/>
        <v>30</v>
      </c>
      <c r="P120" s="7">
        <f>+VLOOKUP(A120,COMISIONES!$C$2:$C$33,1,0)</f>
        <v>20007726</v>
      </c>
    </row>
    <row r="121" spans="1:16" hidden="1">
      <c r="A121" s="98">
        <v>20002708</v>
      </c>
      <c r="B121" s="98">
        <v>1</v>
      </c>
      <c r="C121" s="98" t="s">
        <v>55</v>
      </c>
      <c r="D121" s="98"/>
      <c r="E121" s="213">
        <v>45139</v>
      </c>
      <c r="F121" s="98" t="s">
        <v>2615</v>
      </c>
      <c r="G121" s="140" t="s">
        <v>2616</v>
      </c>
      <c r="H121" s="98"/>
      <c r="I121" s="140" t="s">
        <v>3559</v>
      </c>
      <c r="J121" s="98">
        <v>98021</v>
      </c>
      <c r="K121" s="98" t="s">
        <v>49</v>
      </c>
      <c r="L121" s="98" t="s">
        <v>80</v>
      </c>
      <c r="M121" s="98" t="s">
        <v>40</v>
      </c>
      <c r="N121" s="237">
        <f>+VLOOKUP(A121,COMISIONES!$C$2:$AR$33,42,0)</f>
        <v>15</v>
      </c>
      <c r="O121" s="53">
        <f t="shared" si="1"/>
        <v>15</v>
      </c>
      <c r="P121" s="7">
        <f>+VLOOKUP(A121,COMISIONES!$C$2:$C$33,1,0)</f>
        <v>20002708</v>
      </c>
    </row>
    <row r="122" spans="1:16" hidden="1">
      <c r="A122" s="98">
        <v>20002708</v>
      </c>
      <c r="B122" s="98">
        <v>1</v>
      </c>
      <c r="C122" s="98" t="s">
        <v>55</v>
      </c>
      <c r="D122" s="98"/>
      <c r="E122" s="213">
        <v>45139</v>
      </c>
      <c r="F122" s="98" t="s">
        <v>2612</v>
      </c>
      <c r="G122" s="140" t="s">
        <v>2613</v>
      </c>
      <c r="H122" s="98"/>
      <c r="I122" s="140" t="s">
        <v>3558</v>
      </c>
      <c r="J122" s="98">
        <v>98021</v>
      </c>
      <c r="K122" s="98" t="s">
        <v>49</v>
      </c>
      <c r="L122" s="98" t="s">
        <v>80</v>
      </c>
      <c r="M122" s="98" t="s">
        <v>40</v>
      </c>
      <c r="N122" s="237">
        <f>+VLOOKUP(A122,COMISIONES!$C$2:$AR$33,42,0)</f>
        <v>15</v>
      </c>
      <c r="O122" s="53">
        <f t="shared" si="1"/>
        <v>15</v>
      </c>
      <c r="P122" s="7">
        <f>+VLOOKUP(A122,COMISIONES!$C$2:$C$33,1,0)</f>
        <v>20002708</v>
      </c>
    </row>
    <row r="123" spans="1:16" hidden="1">
      <c r="A123" s="98">
        <v>20009690</v>
      </c>
      <c r="B123" s="98">
        <v>1</v>
      </c>
      <c r="C123" s="98" t="s">
        <v>55</v>
      </c>
      <c r="D123" s="98"/>
      <c r="E123" s="213">
        <v>45139</v>
      </c>
      <c r="F123" s="98" t="s">
        <v>2519</v>
      </c>
      <c r="G123" s="140" t="s">
        <v>2520</v>
      </c>
      <c r="H123" s="83"/>
      <c r="I123" s="140" t="s">
        <v>3553</v>
      </c>
      <c r="J123" s="98">
        <v>98068</v>
      </c>
      <c r="K123" s="98" t="s">
        <v>49</v>
      </c>
      <c r="L123" s="98" t="s">
        <v>80</v>
      </c>
      <c r="M123" s="98" t="s">
        <v>40</v>
      </c>
      <c r="N123" s="237">
        <f>+VLOOKUP(A123,COMISIONES!$C$2:$AR$33,42,0)</f>
        <v>30</v>
      </c>
      <c r="O123" s="53">
        <f t="shared" si="1"/>
        <v>30</v>
      </c>
      <c r="P123" s="7">
        <f>+VLOOKUP(A123,COMISIONES!$C$2:$C$33,1,0)</f>
        <v>20009690</v>
      </c>
    </row>
    <row r="124" spans="1:16" hidden="1">
      <c r="A124" s="98">
        <v>20002708</v>
      </c>
      <c r="B124" s="98">
        <v>1</v>
      </c>
      <c r="C124" s="98" t="s">
        <v>55</v>
      </c>
      <c r="D124" s="98"/>
      <c r="E124" s="213">
        <v>45139</v>
      </c>
      <c r="F124" s="98" t="s">
        <v>2444</v>
      </c>
      <c r="G124" s="140" t="s">
        <v>2445</v>
      </c>
      <c r="H124" s="98"/>
      <c r="I124" s="140" t="s">
        <v>3887</v>
      </c>
      <c r="J124" s="98">
        <v>98021</v>
      </c>
      <c r="K124" s="98" t="s">
        <v>49</v>
      </c>
      <c r="L124" s="98" t="s">
        <v>80</v>
      </c>
      <c r="M124" s="98" t="s">
        <v>40</v>
      </c>
      <c r="N124" s="237">
        <f>+VLOOKUP(A124,COMISIONES!$C$2:$AR$33,42,0)</f>
        <v>15</v>
      </c>
      <c r="O124" s="53">
        <f t="shared" si="1"/>
        <v>15</v>
      </c>
      <c r="P124" s="7">
        <f>+VLOOKUP(A124,COMISIONES!$C$2:$C$33,1,0)</f>
        <v>20002708</v>
      </c>
    </row>
    <row r="125" spans="1:16" hidden="1">
      <c r="A125" s="98">
        <v>20008625</v>
      </c>
      <c r="B125" s="98">
        <v>1</v>
      </c>
      <c r="C125" s="98" t="s">
        <v>55</v>
      </c>
      <c r="D125" s="98"/>
      <c r="E125" s="213">
        <v>45139</v>
      </c>
      <c r="F125" s="98" t="s">
        <v>2377</v>
      </c>
      <c r="G125" s="140" t="s">
        <v>2378</v>
      </c>
      <c r="H125" s="98"/>
      <c r="I125" s="140" t="s">
        <v>3530</v>
      </c>
      <c r="J125" s="98">
        <v>98053</v>
      </c>
      <c r="K125" s="98" t="s">
        <v>49</v>
      </c>
      <c r="L125" s="98" t="s">
        <v>80</v>
      </c>
      <c r="M125" s="98" t="s">
        <v>40</v>
      </c>
      <c r="N125" s="237">
        <f>+VLOOKUP(A125,COMISIONES!$C$2:$AR$33,42,0)</f>
        <v>10</v>
      </c>
      <c r="O125" s="53">
        <f t="shared" si="1"/>
        <v>10</v>
      </c>
      <c r="P125" s="7">
        <f>+VLOOKUP(A125,COMISIONES!$C$2:$C$33,1,0)</f>
        <v>20008625</v>
      </c>
    </row>
    <row r="126" spans="1:16" hidden="1">
      <c r="A126" s="98">
        <v>20004161</v>
      </c>
      <c r="B126" s="98">
        <v>1</v>
      </c>
      <c r="C126" s="98" t="s">
        <v>55</v>
      </c>
      <c r="D126" s="98"/>
      <c r="E126" s="213">
        <v>45139</v>
      </c>
      <c r="F126" s="98" t="s">
        <v>2309</v>
      </c>
      <c r="G126" s="140" t="s">
        <v>2310</v>
      </c>
      <c r="H126" s="98"/>
      <c r="I126" s="140" t="s">
        <v>3522</v>
      </c>
      <c r="J126" s="98">
        <v>98019</v>
      </c>
      <c r="K126" s="98" t="s">
        <v>49</v>
      </c>
      <c r="L126" s="98" t="s">
        <v>80</v>
      </c>
      <c r="M126" s="98" t="s">
        <v>40</v>
      </c>
      <c r="N126" s="237">
        <f>+VLOOKUP(A126,COMISIONES!$C$2:$AR$33,42,0)</f>
        <v>32.5</v>
      </c>
      <c r="O126" s="53">
        <f t="shared" si="1"/>
        <v>32.5</v>
      </c>
      <c r="P126" s="7">
        <f>+VLOOKUP(A126,COMISIONES!$C$2:$C$33,1,0)</f>
        <v>20004161</v>
      </c>
    </row>
    <row r="127" spans="1:16" hidden="1">
      <c r="A127" s="98">
        <v>20009269</v>
      </c>
      <c r="B127" s="98">
        <v>1</v>
      </c>
      <c r="C127" s="98" t="s">
        <v>55</v>
      </c>
      <c r="D127" s="98"/>
      <c r="E127" s="213">
        <v>45139</v>
      </c>
      <c r="F127" s="98" t="s">
        <v>2267</v>
      </c>
      <c r="G127" s="140" t="s">
        <v>2268</v>
      </c>
      <c r="H127" s="98"/>
      <c r="I127" s="140" t="s">
        <v>3515</v>
      </c>
      <c r="J127" s="98">
        <v>98065</v>
      </c>
      <c r="K127" s="98" t="s">
        <v>49</v>
      </c>
      <c r="L127" s="98" t="s">
        <v>80</v>
      </c>
      <c r="M127" s="98" t="s">
        <v>40</v>
      </c>
      <c r="N127" s="237">
        <f>+VLOOKUP(A127,COMISIONES!$C$2:$AR$33,42,0)</f>
        <v>30</v>
      </c>
      <c r="O127" s="53">
        <f t="shared" si="1"/>
        <v>30</v>
      </c>
      <c r="P127" s="7">
        <f>+VLOOKUP(A127,COMISIONES!$C$2:$C$33,1,0)</f>
        <v>20009269</v>
      </c>
    </row>
    <row r="128" spans="1:16" hidden="1">
      <c r="A128" s="98">
        <v>20007726</v>
      </c>
      <c r="B128" s="98">
        <v>1</v>
      </c>
      <c r="C128" s="98" t="s">
        <v>55</v>
      </c>
      <c r="D128" s="98"/>
      <c r="E128" s="213">
        <v>45139</v>
      </c>
      <c r="F128" s="98" t="s">
        <v>1633</v>
      </c>
      <c r="G128" s="140" t="s">
        <v>1634</v>
      </c>
      <c r="H128" s="98"/>
      <c r="I128" s="140" t="s">
        <v>3419</v>
      </c>
      <c r="J128" s="98">
        <v>98051</v>
      </c>
      <c r="K128" s="98" t="s">
        <v>49</v>
      </c>
      <c r="L128" s="98" t="s">
        <v>80</v>
      </c>
      <c r="M128" s="98" t="s">
        <v>40</v>
      </c>
      <c r="N128" s="237">
        <f>+VLOOKUP(A128,COMISIONES!$C$2:$AR$33,42,0)</f>
        <v>30</v>
      </c>
      <c r="O128" s="53">
        <f t="shared" si="1"/>
        <v>30</v>
      </c>
      <c r="P128" s="7">
        <f>+VLOOKUP(A128,COMISIONES!$C$2:$C$33,1,0)</f>
        <v>20007726</v>
      </c>
    </row>
    <row r="129" spans="1:16" hidden="1">
      <c r="A129" s="98">
        <v>20008625</v>
      </c>
      <c r="B129" s="98">
        <v>1</v>
      </c>
      <c r="C129" s="98" t="s">
        <v>55</v>
      </c>
      <c r="D129" s="98"/>
      <c r="E129" s="213">
        <v>45139</v>
      </c>
      <c r="F129" s="98" t="s">
        <v>1123</v>
      </c>
      <c r="G129" s="140" t="s">
        <v>1124</v>
      </c>
      <c r="H129" s="98"/>
      <c r="I129" s="140" t="s">
        <v>3335</v>
      </c>
      <c r="J129" s="98">
        <v>98053</v>
      </c>
      <c r="K129" s="98" t="s">
        <v>49</v>
      </c>
      <c r="L129" s="98" t="s">
        <v>80</v>
      </c>
      <c r="M129" s="98" t="s">
        <v>40</v>
      </c>
      <c r="N129" s="237">
        <f>+VLOOKUP(A129,COMISIONES!$C$2:$AR$33,42,0)</f>
        <v>10</v>
      </c>
      <c r="O129" s="53">
        <f t="shared" si="1"/>
        <v>10</v>
      </c>
      <c r="P129" s="7">
        <f>+VLOOKUP(A129,COMISIONES!$C$2:$C$33,1,0)</f>
        <v>20008625</v>
      </c>
    </row>
    <row r="130" spans="1:16" hidden="1">
      <c r="A130" s="98">
        <v>20010604</v>
      </c>
      <c r="B130" s="98">
        <v>1</v>
      </c>
      <c r="C130" s="98" t="s">
        <v>55</v>
      </c>
      <c r="D130" s="98"/>
      <c r="E130" s="213">
        <v>45139</v>
      </c>
      <c r="F130" s="98" t="s">
        <v>1672</v>
      </c>
      <c r="G130" s="140" t="s">
        <v>1673</v>
      </c>
      <c r="H130" s="8"/>
      <c r="I130" s="140" t="s">
        <v>3431</v>
      </c>
      <c r="J130" s="98">
        <v>98078</v>
      </c>
      <c r="K130" s="98" t="s">
        <v>50</v>
      </c>
      <c r="L130" s="98" t="s">
        <v>80</v>
      </c>
      <c r="M130" s="98" t="s">
        <v>40</v>
      </c>
      <c r="N130" s="237">
        <f>+VLOOKUP(A130,COMISIONES!$C$2:$AR$33,42,0)</f>
        <v>10</v>
      </c>
      <c r="O130" s="53">
        <f t="shared" ref="O130:O193" si="2">N130*B130</f>
        <v>10</v>
      </c>
      <c r="P130" s="7">
        <f>+VLOOKUP(A130,COMISIONES!$C$2:$C$33,1,0)</f>
        <v>20010604</v>
      </c>
    </row>
    <row r="131" spans="1:16" hidden="1">
      <c r="A131" s="98">
        <v>20006360</v>
      </c>
      <c r="B131" s="98">
        <v>1</v>
      </c>
      <c r="C131" s="98" t="s">
        <v>55</v>
      </c>
      <c r="D131" s="98"/>
      <c r="E131" s="213">
        <v>45139</v>
      </c>
      <c r="F131" s="98" t="s">
        <v>2621</v>
      </c>
      <c r="G131" s="140" t="s">
        <v>2622</v>
      </c>
      <c r="H131" s="98"/>
      <c r="I131" s="140" t="s">
        <v>3549</v>
      </c>
      <c r="J131" s="98">
        <v>98012</v>
      </c>
      <c r="K131" s="98" t="s">
        <v>50</v>
      </c>
      <c r="L131" s="98" t="s">
        <v>80</v>
      </c>
      <c r="M131" s="98" t="s">
        <v>40</v>
      </c>
      <c r="N131" s="237">
        <f>+VLOOKUP(A131,COMISIONES!$C$2:$AR$33,42,0)</f>
        <v>10</v>
      </c>
      <c r="O131" s="53">
        <f t="shared" si="2"/>
        <v>10</v>
      </c>
      <c r="P131" s="7">
        <f>+VLOOKUP(A131,COMISIONES!$C$2:$C$33,1,0)</f>
        <v>20006360</v>
      </c>
    </row>
    <row r="132" spans="1:16" hidden="1">
      <c r="A132" s="98">
        <v>20008439</v>
      </c>
      <c r="B132" s="98">
        <v>1</v>
      </c>
      <c r="C132" s="98" t="s">
        <v>55</v>
      </c>
      <c r="D132" s="98"/>
      <c r="E132" s="213">
        <v>45139</v>
      </c>
      <c r="F132" s="98" t="s">
        <v>2401</v>
      </c>
      <c r="G132" s="140" t="s">
        <v>2402</v>
      </c>
      <c r="H132" s="98"/>
      <c r="I132" s="140" t="s">
        <v>3535</v>
      </c>
      <c r="J132" s="98">
        <v>98049</v>
      </c>
      <c r="K132" s="98" t="s">
        <v>50</v>
      </c>
      <c r="L132" s="98" t="s">
        <v>80</v>
      </c>
      <c r="M132" s="98" t="s">
        <v>40</v>
      </c>
      <c r="N132" s="237">
        <f>+VLOOKUP(A132,COMISIONES!$C$2:$AR$33,42,0)</f>
        <v>15</v>
      </c>
      <c r="O132" s="53">
        <f t="shared" si="2"/>
        <v>15</v>
      </c>
      <c r="P132" s="7">
        <f>+VLOOKUP(A132,COMISIONES!$C$2:$C$33,1,0)</f>
        <v>20008439</v>
      </c>
    </row>
    <row r="133" spans="1:16" hidden="1">
      <c r="A133" s="98">
        <v>20006162</v>
      </c>
      <c r="B133" s="98">
        <v>1</v>
      </c>
      <c r="C133" s="98" t="s">
        <v>55</v>
      </c>
      <c r="D133" s="98"/>
      <c r="E133" s="213">
        <v>45139</v>
      </c>
      <c r="F133" s="98" t="s">
        <v>2126</v>
      </c>
      <c r="G133" s="140" t="s">
        <v>2127</v>
      </c>
      <c r="H133" s="98"/>
      <c r="I133" s="140" t="s">
        <v>3499</v>
      </c>
      <c r="J133" s="98">
        <v>98069</v>
      </c>
      <c r="K133" s="98" t="s">
        <v>50</v>
      </c>
      <c r="L133" s="98" t="s">
        <v>80</v>
      </c>
      <c r="M133" s="98" t="s">
        <v>40</v>
      </c>
      <c r="N133" s="237">
        <f>+VLOOKUP(A133,COMISIONES!$C$2:$AR$33,42,0)</f>
        <v>20</v>
      </c>
      <c r="O133" s="53">
        <f t="shared" si="2"/>
        <v>20</v>
      </c>
      <c r="P133" s="7">
        <f>+VLOOKUP(A133,COMISIONES!$C$2:$C$33,1,0)</f>
        <v>20006162</v>
      </c>
    </row>
    <row r="134" spans="1:16" hidden="1">
      <c r="A134" s="98">
        <v>20006162</v>
      </c>
      <c r="B134" s="98">
        <v>1</v>
      </c>
      <c r="C134" s="98" t="s">
        <v>55</v>
      </c>
      <c r="D134" s="98"/>
      <c r="E134" s="213">
        <v>45139</v>
      </c>
      <c r="F134" s="98" t="s">
        <v>1952</v>
      </c>
      <c r="G134" s="140" t="s">
        <v>1953</v>
      </c>
      <c r="H134" s="83"/>
      <c r="I134" s="140" t="s">
        <v>3475</v>
      </c>
      <c r="J134" s="98">
        <v>98069</v>
      </c>
      <c r="K134" s="98" t="s">
        <v>50</v>
      </c>
      <c r="L134" s="98" t="s">
        <v>80</v>
      </c>
      <c r="M134" s="98" t="s">
        <v>40</v>
      </c>
      <c r="N134" s="237">
        <f>+VLOOKUP(A134,COMISIONES!$C$2:$AR$33,42,0)</f>
        <v>20</v>
      </c>
      <c r="O134" s="53">
        <f t="shared" si="2"/>
        <v>20</v>
      </c>
      <c r="P134" s="7">
        <f>+VLOOKUP(A134,COMISIONES!$C$2:$C$33,1,0)</f>
        <v>20006162</v>
      </c>
    </row>
    <row r="135" spans="1:16" hidden="1">
      <c r="A135" s="98">
        <v>20004566</v>
      </c>
      <c r="B135" s="98">
        <v>1</v>
      </c>
      <c r="C135" s="98" t="s">
        <v>55</v>
      </c>
      <c r="D135" s="98"/>
      <c r="E135" s="213">
        <v>45139</v>
      </c>
      <c r="F135" s="98" t="s">
        <v>1770</v>
      </c>
      <c r="G135" s="140" t="s">
        <v>1771</v>
      </c>
      <c r="H135" s="98"/>
      <c r="I135" s="140" t="s">
        <v>3446</v>
      </c>
      <c r="J135" s="98">
        <v>98023</v>
      </c>
      <c r="K135" s="98" t="s">
        <v>50</v>
      </c>
      <c r="L135" s="98" t="s">
        <v>80</v>
      </c>
      <c r="M135" s="98" t="s">
        <v>40</v>
      </c>
      <c r="N135" s="237">
        <f>+VLOOKUP(A135,COMISIONES!$C$2:$AR$33,42,0)</f>
        <v>20</v>
      </c>
      <c r="O135" s="53">
        <f t="shared" si="2"/>
        <v>20</v>
      </c>
      <c r="P135" s="7">
        <f>+VLOOKUP(A135,COMISIONES!$C$2:$C$33,1,0)</f>
        <v>20004566</v>
      </c>
    </row>
    <row r="136" spans="1:16" hidden="1">
      <c r="A136" s="98">
        <v>20006162</v>
      </c>
      <c r="B136" s="98">
        <v>1</v>
      </c>
      <c r="C136" s="98" t="s">
        <v>55</v>
      </c>
      <c r="D136" s="98"/>
      <c r="E136" s="213">
        <v>45139</v>
      </c>
      <c r="F136" s="98" t="s">
        <v>1696</v>
      </c>
      <c r="G136" s="140" t="s">
        <v>1697</v>
      </c>
      <c r="H136" s="98"/>
      <c r="I136" s="140" t="s">
        <v>3429</v>
      </c>
      <c r="J136" s="98">
        <v>98069</v>
      </c>
      <c r="K136" s="98" t="s">
        <v>50</v>
      </c>
      <c r="L136" s="98" t="s">
        <v>80</v>
      </c>
      <c r="M136" s="98" t="s">
        <v>40</v>
      </c>
      <c r="N136" s="237">
        <f>+VLOOKUP(A136,COMISIONES!$C$2:$AR$33,42,0)</f>
        <v>20</v>
      </c>
      <c r="O136" s="53">
        <f t="shared" si="2"/>
        <v>20</v>
      </c>
      <c r="P136" s="7">
        <f>+VLOOKUP(A136,COMISIONES!$C$2:$C$33,1,0)</f>
        <v>20006162</v>
      </c>
    </row>
    <row r="137" spans="1:16" hidden="1">
      <c r="A137" s="98">
        <v>20008439</v>
      </c>
      <c r="B137" s="98">
        <v>1</v>
      </c>
      <c r="C137" s="98" t="s">
        <v>55</v>
      </c>
      <c r="D137" s="98"/>
      <c r="E137" s="213">
        <v>45139</v>
      </c>
      <c r="F137" s="98" t="s">
        <v>1570</v>
      </c>
      <c r="G137" s="140" t="s">
        <v>1571</v>
      </c>
      <c r="H137" s="83"/>
      <c r="I137" s="140" t="s">
        <v>3416</v>
      </c>
      <c r="J137" s="98">
        <v>98049</v>
      </c>
      <c r="K137" s="98" t="s">
        <v>50</v>
      </c>
      <c r="L137" s="98" t="s">
        <v>80</v>
      </c>
      <c r="M137" s="98" t="s">
        <v>40</v>
      </c>
      <c r="N137" s="237">
        <f>+VLOOKUP(A137,COMISIONES!$C$2:$AR$33,42,0)</f>
        <v>15</v>
      </c>
      <c r="O137" s="53">
        <f t="shared" si="2"/>
        <v>15</v>
      </c>
      <c r="P137" s="7">
        <f>+VLOOKUP(A137,COMISIONES!$C$2:$C$33,1,0)</f>
        <v>20008439</v>
      </c>
    </row>
    <row r="138" spans="1:16" hidden="1">
      <c r="A138" s="98">
        <v>20008439</v>
      </c>
      <c r="B138" s="98">
        <v>1</v>
      </c>
      <c r="C138" s="98" t="s">
        <v>55</v>
      </c>
      <c r="D138" s="98"/>
      <c r="E138" s="213">
        <v>45139</v>
      </c>
      <c r="F138" s="98" t="s">
        <v>1609</v>
      </c>
      <c r="G138" s="140" t="s">
        <v>1610</v>
      </c>
      <c r="H138" s="98"/>
      <c r="I138" s="140" t="s">
        <v>3415</v>
      </c>
      <c r="J138" s="98">
        <v>98049</v>
      </c>
      <c r="K138" s="98" t="s">
        <v>50</v>
      </c>
      <c r="L138" s="98" t="s">
        <v>80</v>
      </c>
      <c r="M138" s="98" t="s">
        <v>40</v>
      </c>
      <c r="N138" s="237">
        <f>+VLOOKUP(A138,COMISIONES!$C$2:$AR$33,42,0)</f>
        <v>15</v>
      </c>
      <c r="O138" s="53">
        <f t="shared" si="2"/>
        <v>15</v>
      </c>
      <c r="P138" s="7">
        <f>+VLOOKUP(A138,COMISIONES!$C$2:$C$33,1,0)</f>
        <v>20008439</v>
      </c>
    </row>
    <row r="139" spans="1:16" hidden="1">
      <c r="A139" s="98">
        <v>20008439</v>
      </c>
      <c r="B139" s="98">
        <v>1</v>
      </c>
      <c r="C139" s="98" t="s">
        <v>55</v>
      </c>
      <c r="D139" s="98"/>
      <c r="E139" s="213">
        <v>45139</v>
      </c>
      <c r="F139" s="98" t="s">
        <v>1534</v>
      </c>
      <c r="G139" s="140" t="s">
        <v>1535</v>
      </c>
      <c r="H139" s="98"/>
      <c r="I139" s="140" t="s">
        <v>3404</v>
      </c>
      <c r="J139" s="98">
        <v>98049</v>
      </c>
      <c r="K139" s="98" t="s">
        <v>50</v>
      </c>
      <c r="L139" s="98" t="s">
        <v>80</v>
      </c>
      <c r="M139" s="98" t="s">
        <v>40</v>
      </c>
      <c r="N139" s="237">
        <f>+VLOOKUP(A139,COMISIONES!$C$2:$AR$33,42,0)</f>
        <v>15</v>
      </c>
      <c r="O139" s="53">
        <f t="shared" si="2"/>
        <v>15</v>
      </c>
      <c r="P139" s="7">
        <f>+VLOOKUP(A139,COMISIONES!$C$2:$C$33,1,0)</f>
        <v>20008439</v>
      </c>
    </row>
    <row r="140" spans="1:16" hidden="1">
      <c r="A140" s="98">
        <v>20007020</v>
      </c>
      <c r="B140" s="98">
        <v>1</v>
      </c>
      <c r="C140" s="98" t="s">
        <v>55</v>
      </c>
      <c r="D140" s="98"/>
      <c r="E140" s="213">
        <v>45139</v>
      </c>
      <c r="F140" s="98" t="s">
        <v>1528</v>
      </c>
      <c r="G140" s="140" t="s">
        <v>1529</v>
      </c>
      <c r="H140" s="83"/>
      <c r="I140" s="140" t="s">
        <v>3405</v>
      </c>
      <c r="J140" s="98">
        <v>98047</v>
      </c>
      <c r="K140" s="98" t="s">
        <v>50</v>
      </c>
      <c r="L140" s="98" t="s">
        <v>80</v>
      </c>
      <c r="M140" s="98" t="s">
        <v>40</v>
      </c>
      <c r="N140" s="237">
        <f>+VLOOKUP(A140,COMISIONES!$C$2:$AR$33,42,0)</f>
        <v>10</v>
      </c>
      <c r="O140" s="53">
        <f t="shared" si="2"/>
        <v>10</v>
      </c>
      <c r="P140" s="7">
        <f>+VLOOKUP(A140,COMISIONES!$C$2:$C$33,1,0)</f>
        <v>20007020</v>
      </c>
    </row>
    <row r="141" spans="1:16" hidden="1">
      <c r="A141" s="98">
        <v>20008439</v>
      </c>
      <c r="B141" s="98">
        <v>1</v>
      </c>
      <c r="C141" s="98" t="s">
        <v>55</v>
      </c>
      <c r="D141" s="98"/>
      <c r="E141" s="213">
        <v>45139</v>
      </c>
      <c r="F141" s="98" t="s">
        <v>1354</v>
      </c>
      <c r="G141" s="140" t="s">
        <v>1355</v>
      </c>
      <c r="H141" s="98"/>
      <c r="I141" s="140" t="s">
        <v>3373</v>
      </c>
      <c r="J141" s="98">
        <v>98049</v>
      </c>
      <c r="K141" s="98" t="s">
        <v>50</v>
      </c>
      <c r="L141" s="98" t="s">
        <v>80</v>
      </c>
      <c r="M141" s="98" t="s">
        <v>40</v>
      </c>
      <c r="N141" s="237">
        <f>+VLOOKUP(A141,COMISIONES!$C$2:$AR$33,42,0)</f>
        <v>15</v>
      </c>
      <c r="O141" s="53">
        <f t="shared" si="2"/>
        <v>15</v>
      </c>
      <c r="P141" s="7">
        <f>+VLOOKUP(A141,COMISIONES!$C$2:$C$33,1,0)</f>
        <v>20008439</v>
      </c>
    </row>
    <row r="142" spans="1:16" hidden="1">
      <c r="A142" s="98">
        <v>20008700</v>
      </c>
      <c r="B142" s="98">
        <v>1</v>
      </c>
      <c r="C142" s="98" t="s">
        <v>55</v>
      </c>
      <c r="D142" s="98"/>
      <c r="E142" s="213">
        <v>45139</v>
      </c>
      <c r="F142" s="98" t="s">
        <v>1321</v>
      </c>
      <c r="G142" s="140" t="s">
        <v>1322</v>
      </c>
      <c r="H142" s="98"/>
      <c r="I142" s="140" t="s">
        <v>3372</v>
      </c>
      <c r="J142" s="98">
        <v>98056</v>
      </c>
      <c r="K142" s="98" t="s">
        <v>50</v>
      </c>
      <c r="L142" s="98" t="s">
        <v>80</v>
      </c>
      <c r="M142" s="98" t="s">
        <v>40</v>
      </c>
      <c r="N142" s="237">
        <f>+VLOOKUP(A142,COMISIONES!$C$2:$AR$33,42,0)</f>
        <v>10</v>
      </c>
      <c r="O142" s="53">
        <f t="shared" si="2"/>
        <v>10</v>
      </c>
      <c r="P142" s="7">
        <f>+VLOOKUP(A142,COMISIONES!$C$2:$C$33,1,0)</f>
        <v>20008700</v>
      </c>
    </row>
    <row r="143" spans="1:16" hidden="1">
      <c r="A143" s="98">
        <v>20008711</v>
      </c>
      <c r="B143" s="98">
        <v>1</v>
      </c>
      <c r="C143" s="98" t="s">
        <v>55</v>
      </c>
      <c r="D143" s="98"/>
      <c r="E143" s="213">
        <v>45139</v>
      </c>
      <c r="F143" s="98" t="s">
        <v>1000</v>
      </c>
      <c r="G143" s="140" t="s">
        <v>1001</v>
      </c>
      <c r="H143" s="98"/>
      <c r="I143" s="140" t="s">
        <v>3324</v>
      </c>
      <c r="J143" s="98">
        <v>98055</v>
      </c>
      <c r="K143" s="98" t="s">
        <v>50</v>
      </c>
      <c r="L143" s="98" t="s">
        <v>80</v>
      </c>
      <c r="M143" s="98" t="s">
        <v>40</v>
      </c>
      <c r="N143" s="237">
        <f>+VLOOKUP(A143,COMISIONES!$C$2:$AR$33,42,0)</f>
        <v>15</v>
      </c>
      <c r="O143" s="53">
        <f t="shared" si="2"/>
        <v>15</v>
      </c>
      <c r="P143" s="7">
        <f>+VLOOKUP(A143,COMISIONES!$C$2:$C$33,1,0)</f>
        <v>20008711</v>
      </c>
    </row>
    <row r="144" spans="1:16" hidden="1">
      <c r="A144" s="98">
        <v>20010766</v>
      </c>
      <c r="B144" s="98">
        <v>1</v>
      </c>
      <c r="C144" s="98" t="s">
        <v>55</v>
      </c>
      <c r="D144" s="98"/>
      <c r="E144" s="213">
        <v>45139</v>
      </c>
      <c r="F144" s="98" t="s">
        <v>2777</v>
      </c>
      <c r="G144" s="140" t="s">
        <v>2778</v>
      </c>
      <c r="H144" s="98"/>
      <c r="I144" s="140" t="s">
        <v>3561</v>
      </c>
      <c r="J144" s="98">
        <v>98080</v>
      </c>
      <c r="K144" s="98" t="s">
        <v>51</v>
      </c>
      <c r="L144" s="98" t="s">
        <v>80</v>
      </c>
      <c r="M144" s="98" t="s">
        <v>40</v>
      </c>
      <c r="N144" s="237">
        <f>+VLOOKUP(A144,COMISIONES!$C$2:$AR$33,42,0)</f>
        <v>10</v>
      </c>
      <c r="O144" s="53">
        <f t="shared" si="2"/>
        <v>10</v>
      </c>
      <c r="P144" s="7">
        <f>+VLOOKUP(A144,COMISIONES!$C$2:$C$33,1,0)</f>
        <v>20010766</v>
      </c>
    </row>
    <row r="145" spans="1:16" hidden="1">
      <c r="A145" s="98">
        <v>20000033</v>
      </c>
      <c r="B145" s="98">
        <v>1</v>
      </c>
      <c r="C145" s="98" t="s">
        <v>55</v>
      </c>
      <c r="D145" s="98"/>
      <c r="E145" s="213">
        <v>45139</v>
      </c>
      <c r="F145" s="98" t="s">
        <v>2714</v>
      </c>
      <c r="G145" s="140" t="s">
        <v>2715</v>
      </c>
      <c r="H145" s="98"/>
      <c r="I145" s="140" t="s">
        <v>3545</v>
      </c>
      <c r="J145" s="98">
        <v>98000</v>
      </c>
      <c r="K145" s="98" t="s">
        <v>51</v>
      </c>
      <c r="L145" s="98" t="s">
        <v>80</v>
      </c>
      <c r="M145" s="98" t="s">
        <v>40</v>
      </c>
      <c r="N145" s="237">
        <f>+VLOOKUP(A145,COMISIONES!$C$2:$AR$33,42,0)</f>
        <v>15</v>
      </c>
      <c r="O145" s="53">
        <f t="shared" si="2"/>
        <v>15</v>
      </c>
      <c r="P145" s="7">
        <f>+VLOOKUP(A145,COMISIONES!$C$2:$C$33,1,0)</f>
        <v>20000033</v>
      </c>
    </row>
    <row r="146" spans="1:16" hidden="1">
      <c r="A146" s="98">
        <v>20010766</v>
      </c>
      <c r="B146" s="98">
        <v>1</v>
      </c>
      <c r="C146" s="98" t="s">
        <v>55</v>
      </c>
      <c r="D146" s="98"/>
      <c r="E146" s="213">
        <v>45139</v>
      </c>
      <c r="F146" s="98" t="s">
        <v>2489</v>
      </c>
      <c r="G146" s="140" t="s">
        <v>2490</v>
      </c>
      <c r="H146" s="98"/>
      <c r="I146" s="140" t="s">
        <v>3888</v>
      </c>
      <c r="J146" s="98">
        <v>98080</v>
      </c>
      <c r="K146" s="98" t="s">
        <v>51</v>
      </c>
      <c r="L146" s="98" t="s">
        <v>80</v>
      </c>
      <c r="M146" s="98" t="s">
        <v>40</v>
      </c>
      <c r="N146" s="237">
        <f>+VLOOKUP(A146,COMISIONES!$C$2:$AR$33,42,0)</f>
        <v>10</v>
      </c>
      <c r="O146" s="53">
        <f t="shared" si="2"/>
        <v>10</v>
      </c>
      <c r="P146" s="7">
        <f>+VLOOKUP(A146,COMISIONES!$C$2:$C$33,1,0)</f>
        <v>20010766</v>
      </c>
    </row>
    <row r="147" spans="1:16" hidden="1">
      <c r="A147" s="98">
        <v>20000033</v>
      </c>
      <c r="B147" s="98">
        <v>1</v>
      </c>
      <c r="C147" s="98" t="s">
        <v>55</v>
      </c>
      <c r="D147" s="98"/>
      <c r="E147" s="213">
        <v>45139</v>
      </c>
      <c r="F147" s="98" t="s">
        <v>2422</v>
      </c>
      <c r="G147" s="140" t="s">
        <v>2423</v>
      </c>
      <c r="H147" s="98"/>
      <c r="I147" s="140" t="s">
        <v>3533</v>
      </c>
      <c r="J147" s="98">
        <v>98000</v>
      </c>
      <c r="K147" s="98" t="s">
        <v>51</v>
      </c>
      <c r="L147" s="98" t="s">
        <v>80</v>
      </c>
      <c r="M147" s="98" t="s">
        <v>40</v>
      </c>
      <c r="N147" s="237">
        <f>+VLOOKUP(A147,COMISIONES!$C$2:$AR$33,42,0)</f>
        <v>15</v>
      </c>
      <c r="O147" s="53">
        <f t="shared" si="2"/>
        <v>15</v>
      </c>
      <c r="P147" s="7">
        <f>+VLOOKUP(A147,COMISIONES!$C$2:$C$33,1,0)</f>
        <v>20000033</v>
      </c>
    </row>
    <row r="148" spans="1:16" hidden="1">
      <c r="A148" s="98">
        <v>20002636</v>
      </c>
      <c r="B148" s="98">
        <v>1</v>
      </c>
      <c r="C148" s="98" t="s">
        <v>55</v>
      </c>
      <c r="D148" s="98"/>
      <c r="E148" s="213">
        <v>45139</v>
      </c>
      <c r="F148" s="98" t="s">
        <v>2413</v>
      </c>
      <c r="G148" s="140" t="s">
        <v>2414</v>
      </c>
      <c r="H148" s="98"/>
      <c r="I148" s="140" t="s">
        <v>3539</v>
      </c>
      <c r="J148" s="98">
        <v>98007</v>
      </c>
      <c r="K148" s="98" t="s">
        <v>51</v>
      </c>
      <c r="L148" s="98" t="s">
        <v>80</v>
      </c>
      <c r="M148" s="98" t="s">
        <v>40</v>
      </c>
      <c r="N148" s="237">
        <f>+VLOOKUP(A148,COMISIONES!$C$2:$AR$33,42,0)</f>
        <v>15</v>
      </c>
      <c r="O148" s="53">
        <f t="shared" si="2"/>
        <v>15</v>
      </c>
      <c r="P148" s="7">
        <f>+VLOOKUP(A148,COMISIONES!$C$2:$C$33,1,0)</f>
        <v>20002636</v>
      </c>
    </row>
    <row r="149" spans="1:16" hidden="1">
      <c r="A149" s="98">
        <v>20004638</v>
      </c>
      <c r="B149" s="98">
        <v>1</v>
      </c>
      <c r="C149" s="98" t="s">
        <v>55</v>
      </c>
      <c r="D149" s="98"/>
      <c r="E149" s="213">
        <v>45139</v>
      </c>
      <c r="F149" s="98" t="s">
        <v>2258</v>
      </c>
      <c r="G149" s="140" t="s">
        <v>2259</v>
      </c>
      <c r="H149" s="98"/>
      <c r="I149" s="140" t="s">
        <v>3517</v>
      </c>
      <c r="J149" s="98">
        <v>98009</v>
      </c>
      <c r="K149" s="98" t="s">
        <v>51</v>
      </c>
      <c r="L149" s="98" t="s">
        <v>80</v>
      </c>
      <c r="M149" s="98" t="s">
        <v>40</v>
      </c>
      <c r="N149" s="237">
        <f>+VLOOKUP(A149,COMISIONES!$C$2:$AR$33,42,0)</f>
        <v>10</v>
      </c>
      <c r="O149" s="53">
        <f t="shared" si="2"/>
        <v>10</v>
      </c>
      <c r="P149" s="7">
        <f>+VLOOKUP(A149,COMISIONES!$C$2:$C$33,1,0)</f>
        <v>20004638</v>
      </c>
    </row>
    <row r="150" spans="1:16" hidden="1">
      <c r="A150" s="98">
        <v>20010766</v>
      </c>
      <c r="B150" s="98">
        <v>1</v>
      </c>
      <c r="C150" s="98" t="s">
        <v>55</v>
      </c>
      <c r="D150" s="98"/>
      <c r="E150" s="213">
        <v>45139</v>
      </c>
      <c r="F150" s="98" t="s">
        <v>3286</v>
      </c>
      <c r="G150" s="140" t="s">
        <v>3241</v>
      </c>
      <c r="H150" s="98"/>
      <c r="I150" s="140" t="s">
        <v>3494</v>
      </c>
      <c r="J150" s="98">
        <v>98080</v>
      </c>
      <c r="K150" s="98" t="s">
        <v>51</v>
      </c>
      <c r="L150" s="98" t="s">
        <v>80</v>
      </c>
      <c r="M150" s="98" t="s">
        <v>40</v>
      </c>
      <c r="N150" s="237">
        <f>+VLOOKUP(A150,COMISIONES!$C$2:$AR$33,42,0)</f>
        <v>10</v>
      </c>
      <c r="O150" s="53">
        <f t="shared" si="2"/>
        <v>10</v>
      </c>
      <c r="P150" s="7">
        <f>+VLOOKUP(A150,COMISIONES!$C$2:$C$33,1,0)</f>
        <v>20010766</v>
      </c>
    </row>
    <row r="151" spans="1:16" hidden="1">
      <c r="A151" s="98">
        <v>20000033</v>
      </c>
      <c r="B151" s="98">
        <v>1</v>
      </c>
      <c r="C151" s="98" t="s">
        <v>55</v>
      </c>
      <c r="D151" s="98"/>
      <c r="E151" s="213">
        <v>45139</v>
      </c>
      <c r="F151" s="98" t="s">
        <v>3285</v>
      </c>
      <c r="G151" s="140" t="s">
        <v>3240</v>
      </c>
      <c r="H151" s="98"/>
      <c r="I151" s="140" t="s">
        <v>3493</v>
      </c>
      <c r="J151" s="98">
        <v>98000</v>
      </c>
      <c r="K151" s="98" t="s">
        <v>51</v>
      </c>
      <c r="L151" s="98" t="s">
        <v>80</v>
      </c>
      <c r="M151" s="98" t="s">
        <v>40</v>
      </c>
      <c r="N151" s="237">
        <f>+VLOOKUP(A151,COMISIONES!$C$2:$AR$33,42,0)</f>
        <v>15</v>
      </c>
      <c r="O151" s="53">
        <f t="shared" si="2"/>
        <v>15</v>
      </c>
      <c r="P151" s="7">
        <f>+VLOOKUP(A151,COMISIONES!$C$2:$C$33,1,0)</f>
        <v>20000033</v>
      </c>
    </row>
    <row r="152" spans="1:16" hidden="1">
      <c r="A152" s="98">
        <v>20000033</v>
      </c>
      <c r="B152" s="98">
        <v>1</v>
      </c>
      <c r="C152" s="98" t="s">
        <v>55</v>
      </c>
      <c r="D152" s="98"/>
      <c r="E152" s="213">
        <v>45139</v>
      </c>
      <c r="F152" s="98" t="s">
        <v>3278</v>
      </c>
      <c r="G152" s="140" t="s">
        <v>3233</v>
      </c>
      <c r="H152" s="98"/>
      <c r="I152" s="140" t="s">
        <v>3428</v>
      </c>
      <c r="J152" s="98">
        <v>98000</v>
      </c>
      <c r="K152" s="98" t="s">
        <v>51</v>
      </c>
      <c r="L152" s="98" t="s">
        <v>80</v>
      </c>
      <c r="M152" s="98" t="s">
        <v>40</v>
      </c>
      <c r="N152" s="237">
        <f>+VLOOKUP(A152,COMISIONES!$C$2:$AR$33,42,0)</f>
        <v>15</v>
      </c>
      <c r="O152" s="53">
        <f t="shared" si="2"/>
        <v>15</v>
      </c>
      <c r="P152" s="7">
        <f>+VLOOKUP(A152,COMISIONES!$C$2:$C$33,1,0)</f>
        <v>20000033</v>
      </c>
    </row>
    <row r="153" spans="1:16" hidden="1">
      <c r="A153" s="98">
        <v>20002636</v>
      </c>
      <c r="B153" s="98">
        <v>1</v>
      </c>
      <c r="C153" s="98" t="s">
        <v>55</v>
      </c>
      <c r="D153" s="98"/>
      <c r="E153" s="213">
        <v>45139</v>
      </c>
      <c r="F153" s="98" t="s">
        <v>1198</v>
      </c>
      <c r="G153" s="140" t="s">
        <v>1199</v>
      </c>
      <c r="H153" s="98"/>
      <c r="I153" s="140" t="s">
        <v>3357</v>
      </c>
      <c r="J153" s="98">
        <v>98007</v>
      </c>
      <c r="K153" s="98" t="s">
        <v>51</v>
      </c>
      <c r="L153" s="98" t="s">
        <v>80</v>
      </c>
      <c r="M153" s="98" t="s">
        <v>40</v>
      </c>
      <c r="N153" s="237">
        <f>+VLOOKUP(A153,COMISIONES!$C$2:$AR$33,42,0)</f>
        <v>15</v>
      </c>
      <c r="O153" s="53">
        <f t="shared" si="2"/>
        <v>15</v>
      </c>
      <c r="P153" s="7">
        <f>+VLOOKUP(A153,COMISIONES!$C$2:$C$33,1,0)</f>
        <v>20002636</v>
      </c>
    </row>
    <row r="154" spans="1:16" hidden="1">
      <c r="A154" s="98">
        <v>20009688</v>
      </c>
      <c r="B154" s="98">
        <v>1</v>
      </c>
      <c r="C154" s="98" t="s">
        <v>55</v>
      </c>
      <c r="D154" s="98"/>
      <c r="E154" s="213">
        <v>45139</v>
      </c>
      <c r="F154" s="98" t="s">
        <v>2741</v>
      </c>
      <c r="G154" s="140" t="s">
        <v>2742</v>
      </c>
      <c r="H154" s="98"/>
      <c r="I154" s="140" t="s">
        <v>3562</v>
      </c>
      <c r="J154" s="98">
        <v>98075</v>
      </c>
      <c r="K154" s="98" t="s">
        <v>52</v>
      </c>
      <c r="L154" s="98" t="s">
        <v>80</v>
      </c>
      <c r="M154" s="98" t="s">
        <v>40</v>
      </c>
      <c r="N154" s="237">
        <f>+VLOOKUP(A154,COMISIONES!$C$2:$AR$33,42,0)</f>
        <v>15</v>
      </c>
      <c r="O154" s="53">
        <f t="shared" si="2"/>
        <v>15</v>
      </c>
      <c r="P154" s="7">
        <f>+VLOOKUP(A154,COMISIONES!$C$2:$C$33,1,0)</f>
        <v>20009688</v>
      </c>
    </row>
    <row r="155" spans="1:16" hidden="1">
      <c r="A155" s="98">
        <v>20009688</v>
      </c>
      <c r="B155" s="98">
        <v>1</v>
      </c>
      <c r="C155" s="98" t="s">
        <v>55</v>
      </c>
      <c r="D155" s="98"/>
      <c r="E155" s="213">
        <v>45139</v>
      </c>
      <c r="F155" s="98" t="s">
        <v>1702</v>
      </c>
      <c r="G155" s="140" t="s">
        <v>1703</v>
      </c>
      <c r="H155" s="98"/>
      <c r="I155" s="140" t="s">
        <v>3430</v>
      </c>
      <c r="J155" s="98">
        <v>98075</v>
      </c>
      <c r="K155" s="98" t="s">
        <v>52</v>
      </c>
      <c r="L155" s="98" t="s">
        <v>80</v>
      </c>
      <c r="M155" s="98" t="s">
        <v>40</v>
      </c>
      <c r="N155" s="237">
        <f>+VLOOKUP(A155,COMISIONES!$C$2:$AR$33,42,0)</f>
        <v>15</v>
      </c>
      <c r="O155" s="53">
        <f t="shared" si="2"/>
        <v>15</v>
      </c>
      <c r="P155" s="7">
        <f>+VLOOKUP(A155,COMISIONES!$C$2:$C$33,1,0)</f>
        <v>20009688</v>
      </c>
    </row>
    <row r="156" spans="1:16" hidden="1">
      <c r="A156" s="98">
        <v>20005527</v>
      </c>
      <c r="B156" s="98">
        <v>1</v>
      </c>
      <c r="C156" s="98" t="s">
        <v>55</v>
      </c>
      <c r="D156" s="98"/>
      <c r="E156" s="213">
        <v>45139</v>
      </c>
      <c r="F156" s="98" t="s">
        <v>2774</v>
      </c>
      <c r="G156" s="140" t="s">
        <v>2775</v>
      </c>
      <c r="H156" s="98"/>
      <c r="I156" s="140" t="s">
        <v>3563</v>
      </c>
      <c r="J156" s="98">
        <v>98041</v>
      </c>
      <c r="K156" s="98" t="s">
        <v>52</v>
      </c>
      <c r="L156" s="98" t="s">
        <v>80</v>
      </c>
      <c r="M156" s="98" t="s">
        <v>40</v>
      </c>
      <c r="N156" s="237">
        <f>+VLOOKUP(A156,COMISIONES!$C$2:$AR$33,42,0)</f>
        <v>10</v>
      </c>
      <c r="O156" s="53">
        <f t="shared" si="2"/>
        <v>10</v>
      </c>
      <c r="P156" s="7">
        <f>+VLOOKUP(A156,COMISIONES!$C$2:$C$33,1,0)</f>
        <v>20005527</v>
      </c>
    </row>
    <row r="157" spans="1:16" hidden="1">
      <c r="A157" s="98">
        <v>20009592</v>
      </c>
      <c r="B157" s="98">
        <v>1</v>
      </c>
      <c r="C157" s="98" t="s">
        <v>55</v>
      </c>
      <c r="D157" s="98"/>
      <c r="E157" s="213">
        <v>45139</v>
      </c>
      <c r="F157" s="98" t="s">
        <v>1561</v>
      </c>
      <c r="G157" s="140" t="s">
        <v>1562</v>
      </c>
      <c r="H157" s="83"/>
      <c r="I157" s="140" t="s">
        <v>3406</v>
      </c>
      <c r="J157" s="98">
        <v>98076</v>
      </c>
      <c r="K157" s="98" t="s">
        <v>52</v>
      </c>
      <c r="L157" s="98" t="s">
        <v>80</v>
      </c>
      <c r="M157" s="98" t="s">
        <v>40</v>
      </c>
      <c r="N157" s="237">
        <f>+VLOOKUP(A157,COMISIONES!$C$2:$AR$33,42,0)</f>
        <v>10</v>
      </c>
      <c r="O157" s="53">
        <f t="shared" si="2"/>
        <v>10</v>
      </c>
      <c r="P157" s="7">
        <f>+VLOOKUP(A157,COMISIONES!$C$2:$C$33,1,0)</f>
        <v>20009592</v>
      </c>
    </row>
    <row r="158" spans="1:16" hidden="1">
      <c r="A158" s="98">
        <v>20009174</v>
      </c>
      <c r="B158" s="98">
        <v>1</v>
      </c>
      <c r="C158" s="98" t="s">
        <v>55</v>
      </c>
      <c r="D158" s="98"/>
      <c r="E158" s="213">
        <v>45139</v>
      </c>
      <c r="F158" s="98" t="s">
        <v>1416</v>
      </c>
      <c r="G158" s="140" t="s">
        <v>1417</v>
      </c>
      <c r="H158" s="98"/>
      <c r="I158" s="140" t="s">
        <v>3384</v>
      </c>
      <c r="J158" s="98">
        <v>98064</v>
      </c>
      <c r="K158" s="98" t="s">
        <v>52</v>
      </c>
      <c r="L158" s="98" t="s">
        <v>80</v>
      </c>
      <c r="M158" s="98" t="s">
        <v>40</v>
      </c>
      <c r="N158" s="237">
        <f>+VLOOKUP(A158,COMISIONES!$C$2:$AR$33,42,0)</f>
        <v>20</v>
      </c>
      <c r="O158" s="53">
        <f t="shared" si="2"/>
        <v>20</v>
      </c>
      <c r="P158" s="7">
        <f>+VLOOKUP(A158,COMISIONES!$C$2:$C$33,1,0)</f>
        <v>20009174</v>
      </c>
    </row>
    <row r="159" spans="1:16" hidden="1">
      <c r="A159" s="98">
        <v>20007352</v>
      </c>
      <c r="B159" s="98">
        <v>1</v>
      </c>
      <c r="C159" s="98" t="s">
        <v>55</v>
      </c>
      <c r="D159" s="98"/>
      <c r="E159" s="213">
        <v>45139</v>
      </c>
      <c r="F159" s="98" t="s">
        <v>1237</v>
      </c>
      <c r="G159" s="140" t="s">
        <v>1238</v>
      </c>
      <c r="H159" s="98"/>
      <c r="I159" s="140" t="s">
        <v>3358</v>
      </c>
      <c r="J159" s="98">
        <v>98034</v>
      </c>
      <c r="K159" s="98" t="s">
        <v>52</v>
      </c>
      <c r="L159" s="98" t="s">
        <v>80</v>
      </c>
      <c r="M159" s="98" t="s">
        <v>40</v>
      </c>
      <c r="N159" s="237">
        <f>+VLOOKUP(A159,COMISIONES!$C$2:$AR$33,42,0)</f>
        <v>15</v>
      </c>
      <c r="O159" s="53">
        <f t="shared" si="2"/>
        <v>15</v>
      </c>
      <c r="P159" s="7">
        <f>+VLOOKUP(A159,COMISIONES!$C$2:$C$33,1,0)</f>
        <v>20007352</v>
      </c>
    </row>
    <row r="160" spans="1:16" hidden="1">
      <c r="A160" s="98">
        <v>20010262</v>
      </c>
      <c r="B160" s="98">
        <v>1</v>
      </c>
      <c r="C160" s="98" t="s">
        <v>55</v>
      </c>
      <c r="D160" s="98"/>
      <c r="E160" s="213">
        <v>45139</v>
      </c>
      <c r="F160" s="98" t="s">
        <v>1191</v>
      </c>
      <c r="G160" s="140" t="s">
        <v>1192</v>
      </c>
      <c r="H160" s="98"/>
      <c r="I160" s="140" t="s">
        <v>3355</v>
      </c>
      <c r="J160" s="98">
        <v>98073</v>
      </c>
      <c r="K160" s="98" t="s">
        <v>52</v>
      </c>
      <c r="L160" s="98" t="s">
        <v>80</v>
      </c>
      <c r="M160" s="98" t="s">
        <v>40</v>
      </c>
      <c r="N160" s="237">
        <f>+VLOOKUP(A160,COMISIONES!$C$2:$AR$33,42,0)</f>
        <v>15</v>
      </c>
      <c r="O160" s="53">
        <f t="shared" si="2"/>
        <v>15</v>
      </c>
      <c r="P160" s="7">
        <f>+VLOOKUP(A160,COMISIONES!$C$2:$C$33,1,0)</f>
        <v>20010262</v>
      </c>
    </row>
    <row r="161" spans="1:16" hidden="1">
      <c r="A161" s="98">
        <v>20009174</v>
      </c>
      <c r="B161" s="98">
        <v>1</v>
      </c>
      <c r="C161" s="98" t="s">
        <v>55</v>
      </c>
      <c r="D161" s="98"/>
      <c r="E161" s="213">
        <v>45139</v>
      </c>
      <c r="F161" s="98" t="s">
        <v>2558</v>
      </c>
      <c r="G161" s="140" t="s">
        <v>2559</v>
      </c>
      <c r="H161" s="98"/>
      <c r="I161" s="140" t="s">
        <v>3601</v>
      </c>
      <c r="J161" s="98">
        <v>98064</v>
      </c>
      <c r="K161" s="98" t="s">
        <v>52</v>
      </c>
      <c r="L161" s="98" t="s">
        <v>80</v>
      </c>
      <c r="M161" s="98" t="s">
        <v>40</v>
      </c>
      <c r="N161" s="237">
        <f>+VLOOKUP(A161,COMISIONES!$C$2:$AR$33,42,0)</f>
        <v>20</v>
      </c>
      <c r="O161" s="53">
        <f t="shared" si="2"/>
        <v>20</v>
      </c>
      <c r="P161" s="7">
        <f>+VLOOKUP(A161,COMISIONES!$C$2:$C$33,1,0)</f>
        <v>20009174</v>
      </c>
    </row>
    <row r="162" spans="1:16" hidden="1">
      <c r="A162" s="98">
        <v>20007020</v>
      </c>
      <c r="B162" s="98">
        <v>1</v>
      </c>
      <c r="C162" s="98" t="s">
        <v>55</v>
      </c>
      <c r="D162" s="98"/>
      <c r="E162" s="213">
        <v>45139</v>
      </c>
      <c r="F162" s="98" t="s">
        <v>2549</v>
      </c>
      <c r="G162" s="140" t="s">
        <v>2550</v>
      </c>
      <c r="H162" s="83"/>
      <c r="I162" s="140" t="s">
        <v>3599</v>
      </c>
      <c r="J162" s="98">
        <v>98047</v>
      </c>
      <c r="K162" s="98" t="s">
        <v>50</v>
      </c>
      <c r="L162" s="98" t="s">
        <v>80</v>
      </c>
      <c r="M162" s="98" t="s">
        <v>40</v>
      </c>
      <c r="N162" s="237">
        <f>+VLOOKUP(A162,COMISIONES!$C$2:$AR$33,42,0)</f>
        <v>10</v>
      </c>
      <c r="O162" s="53">
        <f t="shared" si="2"/>
        <v>10</v>
      </c>
      <c r="P162" s="7">
        <f>+VLOOKUP(A162,COMISIONES!$C$2:$C$33,1,0)</f>
        <v>20007020</v>
      </c>
    </row>
    <row r="163" spans="1:16" hidden="1">
      <c r="A163" s="98">
        <v>20010617</v>
      </c>
      <c r="B163" s="98">
        <v>1</v>
      </c>
      <c r="C163" s="98" t="s">
        <v>55</v>
      </c>
      <c r="D163" s="98"/>
      <c r="E163" s="213">
        <v>45139</v>
      </c>
      <c r="F163" s="98" t="s">
        <v>2921</v>
      </c>
      <c r="G163" s="140" t="s">
        <v>2922</v>
      </c>
      <c r="H163" s="98"/>
      <c r="I163" s="140" t="s">
        <v>3585</v>
      </c>
      <c r="J163" s="98">
        <v>98079</v>
      </c>
      <c r="K163" s="98" t="s">
        <v>49</v>
      </c>
      <c r="L163" s="98" t="s">
        <v>80</v>
      </c>
      <c r="M163" s="98" t="s">
        <v>40</v>
      </c>
      <c r="N163" s="237">
        <f>+VLOOKUP(A163,COMISIONES!$C$2:$AR$33,42,0)</f>
        <v>5</v>
      </c>
      <c r="O163" s="53">
        <f t="shared" si="2"/>
        <v>5</v>
      </c>
      <c r="P163" s="7">
        <f>+VLOOKUP(A163,COMISIONES!$C$2:$C$33,1,0)</f>
        <v>20010617</v>
      </c>
    </row>
    <row r="164" spans="1:16" hidden="1">
      <c r="A164" s="98">
        <v>20008625</v>
      </c>
      <c r="B164" s="98">
        <v>1</v>
      </c>
      <c r="C164" s="98" t="s">
        <v>55</v>
      </c>
      <c r="D164" s="98"/>
      <c r="E164" s="213">
        <v>45139</v>
      </c>
      <c r="F164" s="98" t="s">
        <v>2867</v>
      </c>
      <c r="G164" s="140" t="s">
        <v>2868</v>
      </c>
      <c r="H164" s="98"/>
      <c r="I164" s="140" t="s">
        <v>3581</v>
      </c>
      <c r="J164" s="98">
        <v>98053</v>
      </c>
      <c r="K164" s="98" t="s">
        <v>49</v>
      </c>
      <c r="L164" s="98" t="s">
        <v>80</v>
      </c>
      <c r="M164" s="98" t="s">
        <v>40</v>
      </c>
      <c r="N164" s="237">
        <f>+VLOOKUP(A164,COMISIONES!$C$2:$AR$33,42,0)</f>
        <v>10</v>
      </c>
      <c r="O164" s="53">
        <f t="shared" si="2"/>
        <v>10</v>
      </c>
      <c r="P164" s="7">
        <f>+VLOOKUP(A164,COMISIONES!$C$2:$C$33,1,0)</f>
        <v>20008625</v>
      </c>
    </row>
    <row r="165" spans="1:16" hidden="1">
      <c r="A165" s="98">
        <v>20009592</v>
      </c>
      <c r="B165" s="98">
        <v>1</v>
      </c>
      <c r="C165" s="98" t="s">
        <v>55</v>
      </c>
      <c r="D165" s="98"/>
      <c r="E165" s="213">
        <v>45139</v>
      </c>
      <c r="F165" s="98" t="s">
        <v>2732</v>
      </c>
      <c r="G165" s="140" t="s">
        <v>2733</v>
      </c>
      <c r="H165" s="83"/>
      <c r="I165" s="140" t="s">
        <v>3591</v>
      </c>
      <c r="J165" s="98">
        <v>98076</v>
      </c>
      <c r="K165" s="98" t="s">
        <v>52</v>
      </c>
      <c r="L165" s="98" t="s">
        <v>80</v>
      </c>
      <c r="M165" s="98" t="s">
        <v>40</v>
      </c>
      <c r="N165" s="237">
        <f>+VLOOKUP(A165,COMISIONES!$C$2:$AR$33,42,0)</f>
        <v>10</v>
      </c>
      <c r="O165" s="53">
        <f t="shared" si="2"/>
        <v>10</v>
      </c>
      <c r="P165" s="7">
        <f>+VLOOKUP(A165,COMISIONES!$C$2:$C$33,1,0)</f>
        <v>20009592</v>
      </c>
    </row>
    <row r="166" spans="1:16" hidden="1">
      <c r="A166" s="98">
        <v>20009688</v>
      </c>
      <c r="B166" s="98">
        <v>1</v>
      </c>
      <c r="C166" s="98" t="s">
        <v>55</v>
      </c>
      <c r="D166" s="98"/>
      <c r="E166" s="213">
        <v>45139</v>
      </c>
      <c r="F166" s="98" t="s">
        <v>2717</v>
      </c>
      <c r="G166" s="140" t="s">
        <v>2718</v>
      </c>
      <c r="H166" s="98"/>
      <c r="I166" s="140" t="s">
        <v>3588</v>
      </c>
      <c r="J166" s="98">
        <v>98075</v>
      </c>
      <c r="K166" s="98" t="s">
        <v>52</v>
      </c>
      <c r="L166" s="98" t="s">
        <v>80</v>
      </c>
      <c r="M166" s="98" t="s">
        <v>40</v>
      </c>
      <c r="N166" s="237">
        <f>+VLOOKUP(A166,COMISIONES!$C$2:$AR$33,42,0)</f>
        <v>15</v>
      </c>
      <c r="O166" s="53">
        <f t="shared" si="2"/>
        <v>15</v>
      </c>
      <c r="P166" s="7">
        <f>+VLOOKUP(A166,COMISIONES!$C$2:$C$33,1,0)</f>
        <v>20009688</v>
      </c>
    </row>
    <row r="167" spans="1:16" hidden="1">
      <c r="A167" s="98">
        <v>20006162</v>
      </c>
      <c r="B167" s="98">
        <v>1</v>
      </c>
      <c r="C167" s="98" t="s">
        <v>55</v>
      </c>
      <c r="D167" s="98"/>
      <c r="E167" s="213">
        <v>45139</v>
      </c>
      <c r="F167" s="98" t="s">
        <v>2693</v>
      </c>
      <c r="G167" s="140" t="s">
        <v>2694</v>
      </c>
      <c r="H167" s="98"/>
      <c r="I167" s="140" t="s">
        <v>3586</v>
      </c>
      <c r="J167" s="98">
        <v>98069</v>
      </c>
      <c r="K167" s="98" t="s">
        <v>50</v>
      </c>
      <c r="L167" s="98" t="s">
        <v>80</v>
      </c>
      <c r="M167" s="98" t="s">
        <v>40</v>
      </c>
      <c r="N167" s="237">
        <f>+VLOOKUP(A167,COMISIONES!$C$2:$AR$33,42,0)</f>
        <v>20</v>
      </c>
      <c r="O167" s="53">
        <f t="shared" si="2"/>
        <v>20</v>
      </c>
      <c r="P167" s="7">
        <f>+VLOOKUP(A167,COMISIONES!$C$2:$C$33,1,0)</f>
        <v>20006162</v>
      </c>
    </row>
    <row r="168" spans="1:16" hidden="1">
      <c r="A168" s="98">
        <v>20006162</v>
      </c>
      <c r="B168" s="98">
        <v>1</v>
      </c>
      <c r="C168" s="98" t="s">
        <v>55</v>
      </c>
      <c r="D168" s="98"/>
      <c r="E168" s="213">
        <v>45139</v>
      </c>
      <c r="F168" s="98" t="s">
        <v>2672</v>
      </c>
      <c r="G168" s="140" t="s">
        <v>2673</v>
      </c>
      <c r="H168" s="98"/>
      <c r="I168" s="140" t="s">
        <v>3580</v>
      </c>
      <c r="J168" s="98">
        <v>98069</v>
      </c>
      <c r="K168" s="98" t="s">
        <v>50</v>
      </c>
      <c r="L168" s="98" t="s">
        <v>80</v>
      </c>
      <c r="M168" s="98" t="s">
        <v>40</v>
      </c>
      <c r="N168" s="237">
        <f>+VLOOKUP(A168,COMISIONES!$C$2:$AR$33,42,0)</f>
        <v>20</v>
      </c>
      <c r="O168" s="53">
        <f t="shared" si="2"/>
        <v>20</v>
      </c>
      <c r="P168" s="7">
        <f>+VLOOKUP(A168,COMISIONES!$C$2:$C$33,1,0)</f>
        <v>20006162</v>
      </c>
    </row>
    <row r="169" spans="1:16" hidden="1">
      <c r="A169" s="98">
        <v>20010766</v>
      </c>
      <c r="B169" s="98">
        <v>1</v>
      </c>
      <c r="C169" s="98" t="s">
        <v>55</v>
      </c>
      <c r="D169" s="98"/>
      <c r="E169" s="213">
        <v>45139</v>
      </c>
      <c r="F169" s="98" t="s">
        <v>2855</v>
      </c>
      <c r="G169" s="140" t="s">
        <v>2856</v>
      </c>
      <c r="H169" s="98"/>
      <c r="I169" s="140" t="s">
        <v>3570</v>
      </c>
      <c r="J169" s="98">
        <v>98080</v>
      </c>
      <c r="K169" s="98" t="s">
        <v>51</v>
      </c>
      <c r="L169" s="98" t="s">
        <v>80</v>
      </c>
      <c r="M169" s="98" t="s">
        <v>40</v>
      </c>
      <c r="N169" s="237">
        <f>+VLOOKUP(A169,COMISIONES!$C$2:$AR$33,42,0)</f>
        <v>10</v>
      </c>
      <c r="O169" s="53">
        <f t="shared" si="2"/>
        <v>10</v>
      </c>
      <c r="P169" s="7">
        <f>+VLOOKUP(A169,COMISIONES!$C$2:$C$33,1,0)</f>
        <v>20010766</v>
      </c>
    </row>
    <row r="170" spans="1:16" hidden="1">
      <c r="A170" s="98">
        <v>20006162</v>
      </c>
      <c r="B170" s="98">
        <v>1</v>
      </c>
      <c r="C170" s="98" t="s">
        <v>55</v>
      </c>
      <c r="D170" s="98"/>
      <c r="E170" s="213">
        <v>45139</v>
      </c>
      <c r="F170" s="98" t="s">
        <v>2783</v>
      </c>
      <c r="G170" s="140" t="s">
        <v>2784</v>
      </c>
      <c r="H170" s="98"/>
      <c r="I170" s="140" t="s">
        <v>3566</v>
      </c>
      <c r="J170" s="98">
        <v>98069</v>
      </c>
      <c r="K170" s="98" t="s">
        <v>50</v>
      </c>
      <c r="L170" s="98" t="s">
        <v>80</v>
      </c>
      <c r="M170" s="98" t="s">
        <v>40</v>
      </c>
      <c r="N170" s="237">
        <f>+VLOOKUP(A170,COMISIONES!$C$2:$AR$33,42,0)</f>
        <v>20</v>
      </c>
      <c r="O170" s="53">
        <f t="shared" si="2"/>
        <v>20</v>
      </c>
      <c r="P170" s="7">
        <f>+VLOOKUP(A170,COMISIONES!$C$2:$C$33,1,0)</f>
        <v>20006162</v>
      </c>
    </row>
    <row r="171" spans="1:16" hidden="1">
      <c r="A171" s="98">
        <v>20006360</v>
      </c>
      <c r="B171" s="98">
        <v>1</v>
      </c>
      <c r="C171" s="98" t="s">
        <v>55</v>
      </c>
      <c r="D171" s="98"/>
      <c r="E171" s="213">
        <v>45139</v>
      </c>
      <c r="F171" s="98" t="s">
        <v>2582</v>
      </c>
      <c r="G171" s="140" t="s">
        <v>2583</v>
      </c>
      <c r="H171" s="98"/>
      <c r="I171" s="140" t="s">
        <v>3564</v>
      </c>
      <c r="J171" s="98">
        <v>98012</v>
      </c>
      <c r="K171" s="98" t="s">
        <v>50</v>
      </c>
      <c r="L171" s="98" t="s">
        <v>80</v>
      </c>
      <c r="M171" s="98" t="s">
        <v>40</v>
      </c>
      <c r="N171" s="237">
        <f>+VLOOKUP(A171,COMISIONES!$C$2:$AR$33,42,0)</f>
        <v>10</v>
      </c>
      <c r="O171" s="53">
        <f t="shared" si="2"/>
        <v>10</v>
      </c>
      <c r="P171" s="7">
        <f>+VLOOKUP(A171,COMISIONES!$C$2:$C$33,1,0)</f>
        <v>20006360</v>
      </c>
    </row>
    <row r="172" spans="1:16" hidden="1">
      <c r="A172" s="98">
        <v>20004638</v>
      </c>
      <c r="B172" s="98">
        <v>1</v>
      </c>
      <c r="C172" s="98" t="s">
        <v>55</v>
      </c>
      <c r="D172" s="98"/>
      <c r="E172" s="213">
        <v>45139</v>
      </c>
      <c r="F172" s="98" t="s">
        <v>2474</v>
      </c>
      <c r="G172" s="140" t="s">
        <v>2475</v>
      </c>
      <c r="H172" s="98"/>
      <c r="I172" s="140" t="s">
        <v>3889</v>
      </c>
      <c r="J172" s="98">
        <v>98009</v>
      </c>
      <c r="K172" s="98" t="s">
        <v>51</v>
      </c>
      <c r="L172" s="98" t="s">
        <v>80</v>
      </c>
      <c r="M172" s="98" t="s">
        <v>40</v>
      </c>
      <c r="N172" s="237">
        <f>+VLOOKUP(A172,COMISIONES!$C$2:$AR$33,42,0)</f>
        <v>10</v>
      </c>
      <c r="O172" s="53">
        <f t="shared" si="2"/>
        <v>10</v>
      </c>
      <c r="P172" s="7">
        <f>+VLOOKUP(A172,COMISIONES!$C$2:$C$33,1,0)</f>
        <v>20004638</v>
      </c>
    </row>
    <row r="173" spans="1:16" hidden="1">
      <c r="A173" s="98">
        <v>20007352</v>
      </c>
      <c r="B173" s="98">
        <v>1</v>
      </c>
      <c r="C173" s="98" t="s">
        <v>55</v>
      </c>
      <c r="D173" s="98"/>
      <c r="E173" s="213">
        <v>45139</v>
      </c>
      <c r="F173" s="98" t="s">
        <v>2462</v>
      </c>
      <c r="G173" s="140" t="s">
        <v>2463</v>
      </c>
      <c r="H173" s="98"/>
      <c r="I173" s="140" t="s">
        <v>3890</v>
      </c>
      <c r="J173" s="98">
        <v>98034</v>
      </c>
      <c r="K173" s="98" t="s">
        <v>52</v>
      </c>
      <c r="L173" s="98" t="s">
        <v>80</v>
      </c>
      <c r="M173" s="98" t="s">
        <v>40</v>
      </c>
      <c r="N173" s="237">
        <f>+VLOOKUP(A173,COMISIONES!$C$2:$AR$33,42,0)</f>
        <v>15</v>
      </c>
      <c r="O173" s="53">
        <f t="shared" si="2"/>
        <v>15</v>
      </c>
      <c r="P173" s="7">
        <f>+VLOOKUP(A173,COMISIONES!$C$2:$C$33,1,0)</f>
        <v>20007352</v>
      </c>
    </row>
    <row r="174" spans="1:16" hidden="1">
      <c r="A174" s="98">
        <v>20009174</v>
      </c>
      <c r="B174" s="98">
        <v>1</v>
      </c>
      <c r="C174" s="98" t="s">
        <v>55</v>
      </c>
      <c r="D174" s="98"/>
      <c r="E174" s="213">
        <v>45139</v>
      </c>
      <c r="F174" s="98" t="s">
        <v>2333</v>
      </c>
      <c r="G174" s="140" t="s">
        <v>2334</v>
      </c>
      <c r="H174" s="98"/>
      <c r="I174" s="140" t="s">
        <v>3524</v>
      </c>
      <c r="J174" s="98">
        <v>98064</v>
      </c>
      <c r="K174" s="98" t="s">
        <v>52</v>
      </c>
      <c r="L174" s="98" t="s">
        <v>80</v>
      </c>
      <c r="M174" s="98" t="s">
        <v>40</v>
      </c>
      <c r="N174" s="237">
        <f>+VLOOKUP(A174,COMISIONES!$C$2:$AR$33,42,0)</f>
        <v>20</v>
      </c>
      <c r="O174" s="53">
        <f t="shared" si="2"/>
        <v>20</v>
      </c>
      <c r="P174" s="7">
        <f>+VLOOKUP(A174,COMISIONES!$C$2:$C$33,1,0)</f>
        <v>20009174</v>
      </c>
    </row>
    <row r="175" spans="1:16" hidden="1">
      <c r="A175" s="98">
        <v>20010101</v>
      </c>
      <c r="B175" s="98">
        <v>1</v>
      </c>
      <c r="C175" s="98" t="s">
        <v>55</v>
      </c>
      <c r="D175" s="98"/>
      <c r="E175" s="213">
        <v>45139</v>
      </c>
      <c r="F175" s="98" t="s">
        <v>2174</v>
      </c>
      <c r="G175" s="140" t="s">
        <v>2175</v>
      </c>
      <c r="H175" s="98"/>
      <c r="I175" s="140" t="s">
        <v>3506</v>
      </c>
      <c r="J175" s="98">
        <v>98072</v>
      </c>
      <c r="K175" s="98" t="s">
        <v>49</v>
      </c>
      <c r="L175" s="98" t="s">
        <v>80</v>
      </c>
      <c r="M175" s="98" t="s">
        <v>40</v>
      </c>
      <c r="N175" s="237">
        <f>+VLOOKUP(A175,COMISIONES!$C$2:$AR$33,42,0)</f>
        <v>30</v>
      </c>
      <c r="O175" s="53">
        <f t="shared" si="2"/>
        <v>30</v>
      </c>
      <c r="P175" s="7">
        <f>+VLOOKUP(A175,COMISIONES!$C$2:$C$33,1,0)</f>
        <v>20010101</v>
      </c>
    </row>
    <row r="176" spans="1:16" hidden="1">
      <c r="A176" s="98">
        <v>20008711</v>
      </c>
      <c r="B176" s="98">
        <v>1</v>
      </c>
      <c r="C176" s="98" t="s">
        <v>55</v>
      </c>
      <c r="D176" s="98"/>
      <c r="E176" s="213">
        <v>45139</v>
      </c>
      <c r="F176" s="98" t="s">
        <v>2090</v>
      </c>
      <c r="G176" s="140" t="s">
        <v>2091</v>
      </c>
      <c r="H176" s="98"/>
      <c r="I176" s="140" t="s">
        <v>3486</v>
      </c>
      <c r="J176" s="98">
        <v>98055</v>
      </c>
      <c r="K176" s="98" t="s">
        <v>50</v>
      </c>
      <c r="L176" s="98" t="s">
        <v>80</v>
      </c>
      <c r="M176" s="98" t="s">
        <v>40</v>
      </c>
      <c r="N176" s="237">
        <f>+VLOOKUP(A176,COMISIONES!$C$2:$AR$33,42,0)</f>
        <v>15</v>
      </c>
      <c r="O176" s="53">
        <f t="shared" si="2"/>
        <v>15</v>
      </c>
      <c r="P176" s="7">
        <f>+VLOOKUP(A176,COMISIONES!$C$2:$C$33,1,0)</f>
        <v>20008711</v>
      </c>
    </row>
    <row r="177" spans="1:16" hidden="1">
      <c r="A177" s="98">
        <v>20010101</v>
      </c>
      <c r="B177" s="98">
        <v>1</v>
      </c>
      <c r="C177" s="98" t="s">
        <v>55</v>
      </c>
      <c r="D177" s="98"/>
      <c r="E177" s="213">
        <v>45139</v>
      </c>
      <c r="F177" s="98" t="s">
        <v>2066</v>
      </c>
      <c r="G177" s="140" t="s">
        <v>2067</v>
      </c>
      <c r="H177" s="98"/>
      <c r="I177" s="140" t="s">
        <v>3484</v>
      </c>
      <c r="J177" s="98">
        <v>98072</v>
      </c>
      <c r="K177" s="98" t="s">
        <v>49</v>
      </c>
      <c r="L177" s="98" t="s">
        <v>80</v>
      </c>
      <c r="M177" s="98" t="s">
        <v>40</v>
      </c>
      <c r="N177" s="237">
        <f>+VLOOKUP(A177,COMISIONES!$C$2:$AR$33,42,0)</f>
        <v>30</v>
      </c>
      <c r="O177" s="53">
        <f t="shared" si="2"/>
        <v>30</v>
      </c>
      <c r="P177" s="7">
        <f>+VLOOKUP(A177,COMISIONES!$C$2:$C$33,1,0)</f>
        <v>20010101</v>
      </c>
    </row>
    <row r="178" spans="1:16" hidden="1">
      <c r="A178" s="98">
        <v>20008625</v>
      </c>
      <c r="B178" s="98">
        <v>1</v>
      </c>
      <c r="C178" s="98" t="s">
        <v>55</v>
      </c>
      <c r="D178" s="98"/>
      <c r="E178" s="213">
        <v>45139</v>
      </c>
      <c r="F178" s="98" t="s">
        <v>2021</v>
      </c>
      <c r="G178" s="140" t="s">
        <v>2022</v>
      </c>
      <c r="H178" s="98"/>
      <c r="I178" s="140" t="s">
        <v>3482</v>
      </c>
      <c r="J178" s="98">
        <v>98053</v>
      </c>
      <c r="K178" s="98" t="s">
        <v>49</v>
      </c>
      <c r="L178" s="98" t="s">
        <v>80</v>
      </c>
      <c r="M178" s="98" t="s">
        <v>40</v>
      </c>
      <c r="N178" s="237">
        <f>+VLOOKUP(A178,COMISIONES!$C$2:$AR$33,42,0)</f>
        <v>10</v>
      </c>
      <c r="O178" s="53">
        <f t="shared" si="2"/>
        <v>10</v>
      </c>
      <c r="P178" s="7">
        <f>+VLOOKUP(A178,COMISIONES!$C$2:$C$33,1,0)</f>
        <v>20008625</v>
      </c>
    </row>
    <row r="179" spans="1:16" hidden="1">
      <c r="A179" s="98">
        <v>20010617</v>
      </c>
      <c r="B179" s="98">
        <v>1</v>
      </c>
      <c r="C179" s="98" t="s">
        <v>55</v>
      </c>
      <c r="D179" s="98"/>
      <c r="E179" s="213">
        <v>45139</v>
      </c>
      <c r="F179" s="98" t="s">
        <v>1982</v>
      </c>
      <c r="G179" s="140" t="s">
        <v>1983</v>
      </c>
      <c r="H179" s="83"/>
      <c r="I179" s="140" t="s">
        <v>3476</v>
      </c>
      <c r="J179" s="98">
        <v>98079</v>
      </c>
      <c r="K179" s="98" t="s">
        <v>49</v>
      </c>
      <c r="L179" s="98" t="s">
        <v>80</v>
      </c>
      <c r="M179" s="98" t="s">
        <v>40</v>
      </c>
      <c r="N179" s="237">
        <f>+VLOOKUP(A179,COMISIONES!$C$2:$AR$33,42,0)</f>
        <v>5</v>
      </c>
      <c r="O179" s="53">
        <f t="shared" si="2"/>
        <v>5</v>
      </c>
      <c r="P179" s="7">
        <f>+VLOOKUP(A179,COMISIONES!$C$2:$C$33,1,0)</f>
        <v>20010617</v>
      </c>
    </row>
    <row r="180" spans="1:16" hidden="1">
      <c r="A180" s="98">
        <v>20008625</v>
      </c>
      <c r="B180" s="98">
        <v>1</v>
      </c>
      <c r="C180" s="98" t="s">
        <v>55</v>
      </c>
      <c r="D180" s="98"/>
      <c r="E180" s="213">
        <v>45139</v>
      </c>
      <c r="F180" s="98" t="s">
        <v>1764</v>
      </c>
      <c r="G180" s="140" t="s">
        <v>1765</v>
      </c>
      <c r="H180" s="98"/>
      <c r="I180" s="140" t="s">
        <v>3441</v>
      </c>
      <c r="J180" s="98">
        <v>98053</v>
      </c>
      <c r="K180" s="98" t="s">
        <v>49</v>
      </c>
      <c r="L180" s="98" t="s">
        <v>80</v>
      </c>
      <c r="M180" s="98" t="s">
        <v>40</v>
      </c>
      <c r="N180" s="237">
        <f>+VLOOKUP(A180,COMISIONES!$C$2:$AR$33,42,0)</f>
        <v>10</v>
      </c>
      <c r="O180" s="53">
        <f t="shared" si="2"/>
        <v>10</v>
      </c>
      <c r="P180" s="7">
        <f>+VLOOKUP(A180,COMISIONES!$C$2:$C$33,1,0)</f>
        <v>20008625</v>
      </c>
    </row>
    <row r="181" spans="1:16" hidden="1">
      <c r="A181" s="98">
        <v>20004161</v>
      </c>
      <c r="B181" s="98">
        <v>1</v>
      </c>
      <c r="C181" s="98" t="s">
        <v>55</v>
      </c>
      <c r="D181" s="98"/>
      <c r="E181" s="213">
        <v>45139</v>
      </c>
      <c r="F181" s="98" t="s">
        <v>3277</v>
      </c>
      <c r="G181" s="140" t="s">
        <v>3232</v>
      </c>
      <c r="H181" s="98"/>
      <c r="I181" s="140" t="s">
        <v>3423</v>
      </c>
      <c r="J181" s="98">
        <v>98019</v>
      </c>
      <c r="K181" s="98" t="s">
        <v>49</v>
      </c>
      <c r="L181" s="98" t="s">
        <v>80</v>
      </c>
      <c r="M181" s="98" t="s">
        <v>40</v>
      </c>
      <c r="N181" s="237">
        <f>+VLOOKUP(A181,COMISIONES!$C$2:$AR$33,42,0)</f>
        <v>32.5</v>
      </c>
      <c r="O181" s="53">
        <f t="shared" si="2"/>
        <v>32.5</v>
      </c>
      <c r="P181" s="7">
        <f>+VLOOKUP(A181,COMISIONES!$C$2:$C$33,1,0)</f>
        <v>20004161</v>
      </c>
    </row>
    <row r="182" spans="1:16" hidden="1">
      <c r="A182" s="98">
        <v>20006893</v>
      </c>
      <c r="B182" s="98">
        <v>1</v>
      </c>
      <c r="C182" s="98" t="s">
        <v>55</v>
      </c>
      <c r="D182" s="98"/>
      <c r="E182" s="213">
        <v>45139</v>
      </c>
      <c r="F182" s="98" t="s">
        <v>1603</v>
      </c>
      <c r="G182" s="140" t="s">
        <v>1604</v>
      </c>
      <c r="H182" s="98"/>
      <c r="I182" s="140" t="s">
        <v>3412</v>
      </c>
      <c r="J182" s="98">
        <v>98071</v>
      </c>
      <c r="K182" s="98" t="s">
        <v>51</v>
      </c>
      <c r="L182" s="98" t="s">
        <v>80</v>
      </c>
      <c r="M182" s="98" t="s">
        <v>40</v>
      </c>
      <c r="N182" s="237">
        <f>+VLOOKUP(A182,COMISIONES!$C$2:$AR$33,42,0)</f>
        <v>15</v>
      </c>
      <c r="O182" s="53">
        <f t="shared" si="2"/>
        <v>15</v>
      </c>
      <c r="P182" s="7">
        <f>+VLOOKUP(A182,COMISIONES!$C$2:$C$33,1,0)</f>
        <v>20006893</v>
      </c>
    </row>
    <row r="183" spans="1:16" hidden="1">
      <c r="A183" s="98">
        <v>20002636</v>
      </c>
      <c r="B183" s="98">
        <v>1</v>
      </c>
      <c r="C183" s="98" t="s">
        <v>55</v>
      </c>
      <c r="D183" s="98"/>
      <c r="E183" s="213">
        <v>45139</v>
      </c>
      <c r="F183" s="98" t="s">
        <v>1480</v>
      </c>
      <c r="G183" s="140" t="s">
        <v>1481</v>
      </c>
      <c r="H183" s="83"/>
      <c r="I183" s="140" t="s">
        <v>3402</v>
      </c>
      <c r="J183" s="98">
        <v>98007</v>
      </c>
      <c r="K183" s="98" t="s">
        <v>51</v>
      </c>
      <c r="L183" s="98" t="s">
        <v>80</v>
      </c>
      <c r="M183" s="98" t="s">
        <v>40</v>
      </c>
      <c r="N183" s="237">
        <f>+VLOOKUP(A183,COMISIONES!$C$2:$AR$33,42,0)</f>
        <v>15</v>
      </c>
      <c r="O183" s="53">
        <f t="shared" si="2"/>
        <v>15</v>
      </c>
      <c r="P183" s="7">
        <f>+VLOOKUP(A183,COMISIONES!$C$2:$C$33,1,0)</f>
        <v>20002636</v>
      </c>
    </row>
    <row r="184" spans="1:16" hidden="1">
      <c r="A184" s="98">
        <v>20001487</v>
      </c>
      <c r="B184" s="98">
        <v>1</v>
      </c>
      <c r="C184" s="98" t="s">
        <v>55</v>
      </c>
      <c r="D184" s="98"/>
      <c r="E184" s="213">
        <v>45139</v>
      </c>
      <c r="F184" s="98" t="s">
        <v>1286</v>
      </c>
      <c r="G184" s="140" t="s">
        <v>1287</v>
      </c>
      <c r="H184" s="98"/>
      <c r="I184" s="140" t="s">
        <v>3365</v>
      </c>
      <c r="J184" s="98">
        <v>98003</v>
      </c>
      <c r="K184" s="98" t="s">
        <v>51</v>
      </c>
      <c r="L184" s="98" t="s">
        <v>80</v>
      </c>
      <c r="M184" s="98" t="s">
        <v>40</v>
      </c>
      <c r="N184" s="237">
        <f>+VLOOKUP(A184,COMISIONES!$C$2:$AR$33,42,0)</f>
        <v>30</v>
      </c>
      <c r="O184" s="53">
        <f t="shared" si="2"/>
        <v>30</v>
      </c>
      <c r="P184" s="7">
        <f>+VLOOKUP(A184,COMISIONES!$C$2:$C$33,1,0)</f>
        <v>20001487</v>
      </c>
    </row>
    <row r="185" spans="1:16" hidden="1">
      <c r="A185" s="98">
        <v>20006893</v>
      </c>
      <c r="B185" s="98">
        <v>1</v>
      </c>
      <c r="C185" s="98" t="s">
        <v>55</v>
      </c>
      <c r="D185" s="98"/>
      <c r="E185" s="213">
        <v>45139</v>
      </c>
      <c r="F185" s="98" t="s">
        <v>3268</v>
      </c>
      <c r="G185" s="140" t="s">
        <v>3221</v>
      </c>
      <c r="H185" s="98"/>
      <c r="I185" s="140" t="s">
        <v>3364</v>
      </c>
      <c r="J185" s="98">
        <v>98071</v>
      </c>
      <c r="K185" s="98" t="s">
        <v>51</v>
      </c>
      <c r="L185" s="98" t="s">
        <v>80</v>
      </c>
      <c r="M185" s="98" t="s">
        <v>40</v>
      </c>
      <c r="N185" s="237">
        <f>+VLOOKUP(A185,COMISIONES!$C$2:$AR$33,42,0)</f>
        <v>15</v>
      </c>
      <c r="O185" s="53">
        <f t="shared" si="2"/>
        <v>15</v>
      </c>
      <c r="P185" s="7">
        <f>+VLOOKUP(A185,COMISIONES!$C$2:$C$33,1,0)</f>
        <v>20006893</v>
      </c>
    </row>
    <row r="186" spans="1:16" hidden="1">
      <c r="A186" s="98">
        <v>20007020</v>
      </c>
      <c r="B186" s="98">
        <v>1</v>
      </c>
      <c r="C186" s="98" t="s">
        <v>55</v>
      </c>
      <c r="D186" s="98"/>
      <c r="E186" s="213">
        <v>45139</v>
      </c>
      <c r="F186" s="98" t="s">
        <v>1228</v>
      </c>
      <c r="G186" s="140" t="s">
        <v>1229</v>
      </c>
      <c r="H186" s="8"/>
      <c r="I186" s="140" t="s">
        <v>3352</v>
      </c>
      <c r="J186" s="98">
        <v>98047</v>
      </c>
      <c r="K186" s="98" t="s">
        <v>50</v>
      </c>
      <c r="L186" s="98" t="s">
        <v>80</v>
      </c>
      <c r="M186" s="98" t="s">
        <v>40</v>
      </c>
      <c r="N186" s="237">
        <f>+VLOOKUP(A186,COMISIONES!$C$2:$AR$33,42,0)</f>
        <v>10</v>
      </c>
      <c r="O186" s="53">
        <f t="shared" si="2"/>
        <v>10</v>
      </c>
      <c r="P186" s="7">
        <f>+VLOOKUP(A186,COMISIONES!$C$2:$C$33,1,0)</f>
        <v>20007020</v>
      </c>
    </row>
    <row r="187" spans="1:16" hidden="1">
      <c r="A187" s="98">
        <v>20004566</v>
      </c>
      <c r="B187" s="98">
        <v>1</v>
      </c>
      <c r="C187" s="98" t="s">
        <v>55</v>
      </c>
      <c r="D187" s="98"/>
      <c r="E187" s="213">
        <v>45139</v>
      </c>
      <c r="F187" s="98" t="s">
        <v>1208</v>
      </c>
      <c r="G187" s="140" t="s">
        <v>1209</v>
      </c>
      <c r="H187" s="98"/>
      <c r="I187" s="140" t="s">
        <v>3351</v>
      </c>
      <c r="J187" s="98">
        <v>98023</v>
      </c>
      <c r="K187" s="98" t="s">
        <v>50</v>
      </c>
      <c r="L187" s="98" t="s">
        <v>80</v>
      </c>
      <c r="M187" s="98" t="s">
        <v>40</v>
      </c>
      <c r="N187" s="237">
        <f>+VLOOKUP(A187,COMISIONES!$C$2:$AR$33,42,0)</f>
        <v>20</v>
      </c>
      <c r="O187" s="53">
        <f t="shared" si="2"/>
        <v>20</v>
      </c>
      <c r="P187" s="7">
        <f>+VLOOKUP(A187,COMISIONES!$C$2:$C$33,1,0)</f>
        <v>20004566</v>
      </c>
    </row>
    <row r="188" spans="1:16" hidden="1">
      <c r="A188" s="98">
        <v>20006162</v>
      </c>
      <c r="B188" s="98">
        <v>1</v>
      </c>
      <c r="C188" s="98" t="s">
        <v>55</v>
      </c>
      <c r="D188" s="98"/>
      <c r="E188" s="213">
        <v>45139</v>
      </c>
      <c r="F188" s="98" t="s">
        <v>1169</v>
      </c>
      <c r="G188" s="140" t="s">
        <v>1170</v>
      </c>
      <c r="H188" s="98"/>
      <c r="I188" s="140" t="s">
        <v>3350</v>
      </c>
      <c r="J188" s="98">
        <v>98069</v>
      </c>
      <c r="K188" s="98" t="s">
        <v>50</v>
      </c>
      <c r="L188" s="98" t="s">
        <v>80</v>
      </c>
      <c r="M188" s="98" t="s">
        <v>40</v>
      </c>
      <c r="N188" s="237">
        <f>+VLOOKUP(A188,COMISIONES!$C$2:$AR$33,42,0)</f>
        <v>20</v>
      </c>
      <c r="O188" s="53">
        <f t="shared" si="2"/>
        <v>20</v>
      </c>
      <c r="P188" s="7">
        <f>+VLOOKUP(A188,COMISIONES!$C$2:$C$33,1,0)</f>
        <v>20006162</v>
      </c>
    </row>
    <row r="189" spans="1:16" hidden="1">
      <c r="A189" s="98">
        <v>20007943</v>
      </c>
      <c r="B189" s="98">
        <v>1</v>
      </c>
      <c r="C189" s="98" t="s">
        <v>55</v>
      </c>
      <c r="D189" s="98"/>
      <c r="E189" s="213">
        <v>45139</v>
      </c>
      <c r="F189" s="98" t="s">
        <v>1163</v>
      </c>
      <c r="G189" s="140" t="s">
        <v>1164</v>
      </c>
      <c r="H189" s="10"/>
      <c r="I189" s="140" t="s">
        <v>3342</v>
      </c>
      <c r="J189" s="98">
        <v>98077</v>
      </c>
      <c r="K189" s="98" t="s">
        <v>51</v>
      </c>
      <c r="L189" s="98" t="s">
        <v>80</v>
      </c>
      <c r="M189" s="98" t="s">
        <v>40</v>
      </c>
      <c r="N189" s="237">
        <f>+VLOOKUP(A189,COMISIONES!$C$2:$AR$33,42,0)</f>
        <v>10</v>
      </c>
      <c r="O189" s="53">
        <f t="shared" si="2"/>
        <v>10</v>
      </c>
      <c r="P189" s="7">
        <f>+VLOOKUP(A189,COMISIONES!$C$2:$C$33,1,0)</f>
        <v>20007943</v>
      </c>
    </row>
    <row r="190" spans="1:16" hidden="1">
      <c r="A190" s="98">
        <v>20010604</v>
      </c>
      <c r="B190" s="98">
        <v>1</v>
      </c>
      <c r="C190" s="98" t="s">
        <v>55</v>
      </c>
      <c r="D190" s="98"/>
      <c r="E190" s="213">
        <v>45139</v>
      </c>
      <c r="F190" s="98" t="s">
        <v>1135</v>
      </c>
      <c r="G190" s="140" t="s">
        <v>1136</v>
      </c>
      <c r="H190" s="98"/>
      <c r="I190" s="140" t="s">
        <v>3328</v>
      </c>
      <c r="J190" s="98">
        <v>98078</v>
      </c>
      <c r="K190" s="98" t="s">
        <v>50</v>
      </c>
      <c r="L190" s="98" t="s">
        <v>80</v>
      </c>
      <c r="M190" s="98" t="s">
        <v>40</v>
      </c>
      <c r="N190" s="237">
        <f>+VLOOKUP(A190,COMISIONES!$C$2:$AR$33,42,0)</f>
        <v>10</v>
      </c>
      <c r="O190" s="53">
        <f t="shared" si="2"/>
        <v>10</v>
      </c>
      <c r="P190" s="7">
        <f>+VLOOKUP(A190,COMISIONES!$C$2:$C$33,1,0)</f>
        <v>20010604</v>
      </c>
    </row>
    <row r="191" spans="1:16" hidden="1">
      <c r="A191" s="98">
        <v>20007020</v>
      </c>
      <c r="B191" s="98">
        <v>1</v>
      </c>
      <c r="C191" s="98" t="s">
        <v>55</v>
      </c>
      <c r="D191" s="98"/>
      <c r="E191" s="213">
        <v>45139</v>
      </c>
      <c r="F191" s="98" t="s">
        <v>1132</v>
      </c>
      <c r="G191" s="140" t="s">
        <v>1133</v>
      </c>
      <c r="H191" s="83"/>
      <c r="I191" s="140" t="s">
        <v>3334</v>
      </c>
      <c r="J191" s="98">
        <v>98047</v>
      </c>
      <c r="K191" s="98" t="s">
        <v>50</v>
      </c>
      <c r="L191" s="98" t="s">
        <v>80</v>
      </c>
      <c r="M191" s="98" t="s">
        <v>40</v>
      </c>
      <c r="N191" s="237">
        <f>+VLOOKUP(A191,COMISIONES!$C$2:$AR$33,42,0)</f>
        <v>10</v>
      </c>
      <c r="O191" s="53">
        <f t="shared" si="2"/>
        <v>10</v>
      </c>
      <c r="P191" s="7">
        <f>+VLOOKUP(A191,COMISIONES!$C$2:$C$33,1,0)</f>
        <v>20007020</v>
      </c>
    </row>
    <row r="192" spans="1:16" hidden="1">
      <c r="A192" s="98">
        <v>20006893</v>
      </c>
      <c r="B192" s="98">
        <v>1</v>
      </c>
      <c r="C192" s="98" t="s">
        <v>55</v>
      </c>
      <c r="D192" s="98"/>
      <c r="E192" s="213">
        <v>45139</v>
      </c>
      <c r="F192" s="98" t="s">
        <v>1126</v>
      </c>
      <c r="G192" s="140" t="s">
        <v>1127</v>
      </c>
      <c r="H192" s="98"/>
      <c r="I192" s="140" t="s">
        <v>3333</v>
      </c>
      <c r="J192" s="98">
        <v>98071</v>
      </c>
      <c r="K192" s="98" t="s">
        <v>51</v>
      </c>
      <c r="L192" s="98" t="s">
        <v>80</v>
      </c>
      <c r="M192" s="98" t="s">
        <v>40</v>
      </c>
      <c r="N192" s="237">
        <f>+VLOOKUP(A192,COMISIONES!$C$2:$AR$33,42,0)</f>
        <v>15</v>
      </c>
      <c r="O192" s="53">
        <f t="shared" si="2"/>
        <v>15</v>
      </c>
      <c r="P192" s="7">
        <f>+VLOOKUP(A192,COMISIONES!$C$2:$C$33,1,0)</f>
        <v>20006893</v>
      </c>
    </row>
    <row r="193" spans="1:16" hidden="1">
      <c r="A193" s="98">
        <v>20004566</v>
      </c>
      <c r="B193" s="98">
        <v>1</v>
      </c>
      <c r="C193" s="98" t="s">
        <v>55</v>
      </c>
      <c r="D193" s="98"/>
      <c r="E193" s="213">
        <v>45139</v>
      </c>
      <c r="F193" s="98" t="s">
        <v>1120</v>
      </c>
      <c r="G193" s="140" t="s">
        <v>1121</v>
      </c>
      <c r="H193" s="98"/>
      <c r="I193" s="140" t="s">
        <v>3332</v>
      </c>
      <c r="J193" s="98">
        <v>98023</v>
      </c>
      <c r="K193" s="98" t="s">
        <v>50</v>
      </c>
      <c r="L193" s="98" t="s">
        <v>80</v>
      </c>
      <c r="M193" s="98" t="s">
        <v>40</v>
      </c>
      <c r="N193" s="237">
        <f>+VLOOKUP(A193,COMISIONES!$C$2:$AR$33,42,0)</f>
        <v>20</v>
      </c>
      <c r="O193" s="53">
        <f t="shared" si="2"/>
        <v>20</v>
      </c>
      <c r="P193" s="7">
        <f>+VLOOKUP(A193,COMISIONES!$C$2:$C$33,1,0)</f>
        <v>20004566</v>
      </c>
    </row>
    <row r="194" spans="1:16" hidden="1">
      <c r="A194" s="98">
        <v>20006360</v>
      </c>
      <c r="B194" s="98">
        <v>1</v>
      </c>
      <c r="C194" s="98" t="s">
        <v>55</v>
      </c>
      <c r="D194" s="98"/>
      <c r="E194" s="213">
        <v>45139</v>
      </c>
      <c r="F194" s="98" t="s">
        <v>1037</v>
      </c>
      <c r="G194" s="140" t="s">
        <v>1038</v>
      </c>
      <c r="H194" s="98"/>
      <c r="I194" s="140" t="s">
        <v>3331</v>
      </c>
      <c r="J194" s="98">
        <v>98012</v>
      </c>
      <c r="K194" s="98" t="s">
        <v>50</v>
      </c>
      <c r="L194" s="98" t="s">
        <v>80</v>
      </c>
      <c r="M194" s="98" t="s">
        <v>40</v>
      </c>
      <c r="N194" s="237">
        <f>+VLOOKUP(A194,COMISIONES!$C$2:$AR$33,42,0)</f>
        <v>10</v>
      </c>
      <c r="O194" s="53">
        <f t="shared" ref="O194:O257" si="3">N194*B194</f>
        <v>10</v>
      </c>
      <c r="P194" s="7">
        <f>+VLOOKUP(A194,COMISIONES!$C$2:$C$33,1,0)</f>
        <v>20006360</v>
      </c>
    </row>
    <row r="195" spans="1:16" hidden="1">
      <c r="A195" s="98">
        <v>20010604</v>
      </c>
      <c r="B195" s="98">
        <v>1</v>
      </c>
      <c r="C195" s="98" t="s">
        <v>55</v>
      </c>
      <c r="D195" s="98"/>
      <c r="E195" s="213">
        <v>45139</v>
      </c>
      <c r="F195" s="98" t="s">
        <v>973</v>
      </c>
      <c r="G195" s="140" t="s">
        <v>974</v>
      </c>
      <c r="H195" s="8"/>
      <c r="I195" s="140" t="s">
        <v>3318</v>
      </c>
      <c r="J195" s="98">
        <v>98078</v>
      </c>
      <c r="K195" s="98" t="s">
        <v>50</v>
      </c>
      <c r="L195" s="98" t="s">
        <v>80</v>
      </c>
      <c r="M195" s="98" t="s">
        <v>40</v>
      </c>
      <c r="N195" s="237">
        <f>+VLOOKUP(A195,COMISIONES!$C$2:$AR$33,42,0)</f>
        <v>10</v>
      </c>
      <c r="O195" s="53">
        <f t="shared" si="3"/>
        <v>10</v>
      </c>
      <c r="P195" s="7">
        <f>+VLOOKUP(A195,COMISIONES!$C$2:$C$33,1,0)</f>
        <v>20010604</v>
      </c>
    </row>
    <row r="196" spans="1:16" hidden="1">
      <c r="A196" s="98">
        <v>20004566</v>
      </c>
      <c r="B196" s="98">
        <v>1</v>
      </c>
      <c r="C196" s="98" t="s">
        <v>55</v>
      </c>
      <c r="D196" s="98"/>
      <c r="E196" s="213">
        <v>45139</v>
      </c>
      <c r="F196" s="98" t="s">
        <v>1027</v>
      </c>
      <c r="G196" s="140" t="s">
        <v>1028</v>
      </c>
      <c r="H196" s="98"/>
      <c r="I196" s="140" t="s">
        <v>3322</v>
      </c>
      <c r="J196" s="98">
        <v>98023</v>
      </c>
      <c r="K196" s="98" t="s">
        <v>50</v>
      </c>
      <c r="L196" s="98" t="s">
        <v>80</v>
      </c>
      <c r="M196" s="98" t="s">
        <v>40</v>
      </c>
      <c r="N196" s="237">
        <f>+VLOOKUP(A196,COMISIONES!$C$2:$AR$33,42,0)</f>
        <v>20</v>
      </c>
      <c r="O196" s="53">
        <f t="shared" si="3"/>
        <v>20</v>
      </c>
      <c r="P196" s="7">
        <f>+VLOOKUP(A196,COMISIONES!$C$2:$C$33,1,0)</f>
        <v>20004566</v>
      </c>
    </row>
    <row r="197" spans="1:16" hidden="1">
      <c r="A197" s="98">
        <v>20004235</v>
      </c>
      <c r="B197" s="98">
        <v>1</v>
      </c>
      <c r="C197" s="98" t="s">
        <v>55</v>
      </c>
      <c r="D197" s="98"/>
      <c r="E197" s="213">
        <v>45139</v>
      </c>
      <c r="F197" s="98" t="s">
        <v>2642</v>
      </c>
      <c r="G197" s="140" t="s">
        <v>2643</v>
      </c>
      <c r="H197" s="98"/>
      <c r="I197" s="140" t="s">
        <v>3546</v>
      </c>
      <c r="J197" s="98">
        <v>98002</v>
      </c>
      <c r="K197" s="98" t="s">
        <v>49</v>
      </c>
      <c r="L197" s="98" t="s">
        <v>80</v>
      </c>
      <c r="M197" s="98" t="s">
        <v>40</v>
      </c>
      <c r="N197" s="237">
        <f>+VLOOKUP(A197,COMISIONES!$C$2:$AR$33,42,0)</f>
        <v>15</v>
      </c>
      <c r="O197" s="53">
        <f t="shared" si="3"/>
        <v>15</v>
      </c>
      <c r="P197" s="7">
        <f>+VLOOKUP(A197,COMISIONES!$C$2:$C$33,1,0)</f>
        <v>20004235</v>
      </c>
    </row>
    <row r="198" spans="1:16" hidden="1">
      <c r="A198" s="98">
        <v>20000033</v>
      </c>
      <c r="B198" s="98">
        <v>1</v>
      </c>
      <c r="C198" s="98" t="s">
        <v>55</v>
      </c>
      <c r="D198" s="98"/>
      <c r="E198" s="213">
        <v>45139</v>
      </c>
      <c r="F198" s="98" t="s">
        <v>2096</v>
      </c>
      <c r="G198" s="140" t="s">
        <v>2097</v>
      </c>
      <c r="H198" s="83"/>
      <c r="I198" s="140" t="s">
        <v>3490</v>
      </c>
      <c r="J198" s="98">
        <v>98000</v>
      </c>
      <c r="K198" s="98" t="s">
        <v>51</v>
      </c>
      <c r="L198" s="98" t="s">
        <v>80</v>
      </c>
      <c r="M198" s="98" t="s">
        <v>40</v>
      </c>
      <c r="N198" s="237">
        <f>+VLOOKUP(A198,COMISIONES!$C$2:$AR$33,42,0)</f>
        <v>15</v>
      </c>
      <c r="O198" s="53">
        <f t="shared" si="3"/>
        <v>15</v>
      </c>
      <c r="P198" s="7">
        <f>+VLOOKUP(A198,COMISIONES!$C$2:$C$33,1,0)</f>
        <v>20000033</v>
      </c>
    </row>
    <row r="199" spans="1:16" hidden="1">
      <c r="A199" s="98">
        <v>20004235</v>
      </c>
      <c r="B199" s="98">
        <v>1</v>
      </c>
      <c r="C199" s="98" t="s">
        <v>55</v>
      </c>
      <c r="D199" s="98"/>
      <c r="E199" s="213">
        <v>45139</v>
      </c>
      <c r="F199" s="98" t="s">
        <v>1489</v>
      </c>
      <c r="G199" s="140" t="s">
        <v>1490</v>
      </c>
      <c r="H199" s="98"/>
      <c r="I199" s="140" t="s">
        <v>3401</v>
      </c>
      <c r="J199" s="98">
        <v>98002</v>
      </c>
      <c r="K199" s="98" t="s">
        <v>49</v>
      </c>
      <c r="L199" s="98" t="s">
        <v>80</v>
      </c>
      <c r="M199" s="98" t="s">
        <v>40</v>
      </c>
      <c r="N199" s="237">
        <f>+VLOOKUP(A199,COMISIONES!$C$2:$AR$33,42,0)</f>
        <v>15</v>
      </c>
      <c r="O199" s="53">
        <f t="shared" si="3"/>
        <v>15</v>
      </c>
      <c r="P199" s="7">
        <f>+VLOOKUP(A199,COMISIONES!$C$2:$C$33,1,0)</f>
        <v>20004235</v>
      </c>
    </row>
    <row r="200" spans="1:16" hidden="1">
      <c r="A200" s="98">
        <v>20008700</v>
      </c>
      <c r="B200" s="98">
        <v>1</v>
      </c>
      <c r="C200" s="98" t="s">
        <v>55</v>
      </c>
      <c r="D200" s="98"/>
      <c r="E200" s="213">
        <v>45139</v>
      </c>
      <c r="F200" s="98" t="s">
        <v>1292</v>
      </c>
      <c r="G200" s="140" t="s">
        <v>1293</v>
      </c>
      <c r="H200" s="83"/>
      <c r="I200" s="140" t="s">
        <v>3362</v>
      </c>
      <c r="J200" s="98">
        <v>98056</v>
      </c>
      <c r="K200" s="98" t="s">
        <v>50</v>
      </c>
      <c r="L200" s="98" t="s">
        <v>80</v>
      </c>
      <c r="M200" s="98" t="s">
        <v>40</v>
      </c>
      <c r="N200" s="237">
        <f>+VLOOKUP(A200,COMISIONES!$C$2:$AR$33,42,0)</f>
        <v>10</v>
      </c>
      <c r="O200" s="53">
        <f t="shared" si="3"/>
        <v>10</v>
      </c>
      <c r="P200" s="7">
        <f>+VLOOKUP(A200,COMISIONES!$C$2:$C$33,1,0)</f>
        <v>20008700</v>
      </c>
    </row>
    <row r="201" spans="1:16" hidden="1">
      <c r="A201" s="98">
        <v>20010262</v>
      </c>
      <c r="B201" s="98">
        <v>1</v>
      </c>
      <c r="C201" s="98" t="s">
        <v>55</v>
      </c>
      <c r="D201" s="98"/>
      <c r="E201" s="213">
        <v>45139</v>
      </c>
      <c r="F201" s="98" t="s">
        <v>2819</v>
      </c>
      <c r="G201" s="140" t="s">
        <v>2820</v>
      </c>
      <c r="H201" s="98"/>
      <c r="I201" s="140" t="s">
        <v>3576</v>
      </c>
      <c r="J201" s="98">
        <v>98073</v>
      </c>
      <c r="K201" s="98" t="s">
        <v>52</v>
      </c>
      <c r="L201" s="98" t="s">
        <v>80</v>
      </c>
      <c r="M201" s="98" t="s">
        <v>40</v>
      </c>
      <c r="N201" s="237">
        <f>+VLOOKUP(A201,COMISIONES!$C$2:$AR$33,42,0)</f>
        <v>15</v>
      </c>
      <c r="O201" s="53">
        <f t="shared" si="3"/>
        <v>15</v>
      </c>
      <c r="P201" s="7">
        <f>+VLOOKUP(A201,COMISIONES!$C$2:$C$33,1,0)</f>
        <v>20010262</v>
      </c>
    </row>
    <row r="202" spans="1:16" hidden="1">
      <c r="A202" s="98">
        <v>20009269</v>
      </c>
      <c r="B202" s="98">
        <v>1</v>
      </c>
      <c r="C202" s="98" t="s">
        <v>55</v>
      </c>
      <c r="D202" s="98"/>
      <c r="E202" s="213">
        <v>45139</v>
      </c>
      <c r="F202" s="98" t="s">
        <v>2249</v>
      </c>
      <c r="G202" s="140" t="s">
        <v>2250</v>
      </c>
      <c r="H202" s="8"/>
      <c r="I202" s="140" t="s">
        <v>3519</v>
      </c>
      <c r="J202" s="98">
        <v>98065</v>
      </c>
      <c r="K202" s="98" t="s">
        <v>49</v>
      </c>
      <c r="L202" s="98" t="s">
        <v>80</v>
      </c>
      <c r="M202" s="98" t="s">
        <v>40</v>
      </c>
      <c r="N202" s="237">
        <f>+VLOOKUP(A202,COMISIONES!$C$2:$AR$33,42,0)</f>
        <v>30</v>
      </c>
      <c r="O202" s="53">
        <f t="shared" si="3"/>
        <v>30</v>
      </c>
      <c r="P202" s="7">
        <f>+VLOOKUP(A202,COMISIONES!$C$2:$C$33,1,0)</f>
        <v>20009269</v>
      </c>
    </row>
    <row r="203" spans="1:16" hidden="1">
      <c r="A203" s="98">
        <v>20009688</v>
      </c>
      <c r="B203" s="98">
        <v>1</v>
      </c>
      <c r="C203" s="98" t="s">
        <v>55</v>
      </c>
      <c r="D203" s="98"/>
      <c r="E203" s="213">
        <v>45139</v>
      </c>
      <c r="F203" s="98" t="s">
        <v>2078</v>
      </c>
      <c r="G203" s="140" t="s">
        <v>2079</v>
      </c>
      <c r="H203" s="98"/>
      <c r="I203" s="140" t="s">
        <v>3487</v>
      </c>
      <c r="J203" s="98">
        <v>98075</v>
      </c>
      <c r="K203" s="98" t="s">
        <v>52</v>
      </c>
      <c r="L203" s="98" t="s">
        <v>80</v>
      </c>
      <c r="M203" s="98" t="s">
        <v>40</v>
      </c>
      <c r="N203" s="237">
        <f>+VLOOKUP(A203,COMISIONES!$C$2:$AR$33,42,0)</f>
        <v>15</v>
      </c>
      <c r="O203" s="53">
        <f t="shared" si="3"/>
        <v>15</v>
      </c>
      <c r="P203" s="7">
        <f>+VLOOKUP(A203,COMISIONES!$C$2:$C$33,1,0)</f>
        <v>20009688</v>
      </c>
    </row>
    <row r="204" spans="1:16" hidden="1">
      <c r="A204" s="98">
        <v>20000033</v>
      </c>
      <c r="B204" s="98">
        <v>1</v>
      </c>
      <c r="C204" s="98" t="s">
        <v>55</v>
      </c>
      <c r="D204" s="98"/>
      <c r="E204" s="213">
        <v>45139</v>
      </c>
      <c r="F204" s="98" t="s">
        <v>1988</v>
      </c>
      <c r="G204" s="140" t="s">
        <v>1989</v>
      </c>
      <c r="H204" s="98"/>
      <c r="I204" s="140" t="s">
        <v>3478</v>
      </c>
      <c r="J204" s="98">
        <v>98000</v>
      </c>
      <c r="K204" s="98" t="s">
        <v>51</v>
      </c>
      <c r="L204" s="98" t="s">
        <v>80</v>
      </c>
      <c r="M204" s="98" t="s">
        <v>40</v>
      </c>
      <c r="N204" s="237">
        <f>+VLOOKUP(A204,COMISIONES!$C$2:$AR$33,42,0)</f>
        <v>15</v>
      </c>
      <c r="O204" s="53">
        <f t="shared" si="3"/>
        <v>15</v>
      </c>
      <c r="P204" s="7">
        <f>+VLOOKUP(A204,COMISIONES!$C$2:$C$33,1,0)</f>
        <v>20000033</v>
      </c>
    </row>
    <row r="205" spans="1:16" hidden="1">
      <c r="A205" s="98">
        <v>20001487</v>
      </c>
      <c r="B205" s="98">
        <v>1</v>
      </c>
      <c r="C205" s="98" t="s">
        <v>55</v>
      </c>
      <c r="D205" s="98"/>
      <c r="E205" s="213">
        <v>45139</v>
      </c>
      <c r="F205" s="98" t="s">
        <v>1958</v>
      </c>
      <c r="G205" s="140" t="s">
        <v>1959</v>
      </c>
      <c r="H205" s="98"/>
      <c r="I205" s="140" t="s">
        <v>3463</v>
      </c>
      <c r="J205" s="98">
        <v>98003</v>
      </c>
      <c r="K205" s="98" t="s">
        <v>51</v>
      </c>
      <c r="L205" s="98" t="s">
        <v>80</v>
      </c>
      <c r="M205" s="98" t="s">
        <v>40</v>
      </c>
      <c r="N205" s="237">
        <f>+VLOOKUP(A205,COMISIONES!$C$2:$AR$33,42,0)</f>
        <v>30</v>
      </c>
      <c r="O205" s="53">
        <f t="shared" si="3"/>
        <v>30</v>
      </c>
      <c r="P205" s="7">
        <f>+VLOOKUP(A205,COMISIONES!$C$2:$C$33,1,0)</f>
        <v>20001487</v>
      </c>
    </row>
    <row r="206" spans="1:16" hidden="1">
      <c r="A206" s="98">
        <v>20009688</v>
      </c>
      <c r="B206" s="98">
        <v>1</v>
      </c>
      <c r="C206" s="98" t="s">
        <v>55</v>
      </c>
      <c r="D206" s="98"/>
      <c r="E206" s="213">
        <v>45139</v>
      </c>
      <c r="F206" s="98" t="s">
        <v>1731</v>
      </c>
      <c r="G206" s="140" t="s">
        <v>1732</v>
      </c>
      <c r="H206" s="98"/>
      <c r="I206" s="140" t="s">
        <v>3447</v>
      </c>
      <c r="J206" s="98">
        <v>98075</v>
      </c>
      <c r="K206" s="98" t="s">
        <v>52</v>
      </c>
      <c r="L206" s="98" t="s">
        <v>80</v>
      </c>
      <c r="M206" s="98" t="s">
        <v>40</v>
      </c>
      <c r="N206" s="237">
        <f>+VLOOKUP(A206,COMISIONES!$C$2:$AR$33,42,0)</f>
        <v>15</v>
      </c>
      <c r="O206" s="53">
        <f t="shared" si="3"/>
        <v>15</v>
      </c>
      <c r="P206" s="7">
        <f>+VLOOKUP(A206,COMISIONES!$C$2:$C$33,1,0)</f>
        <v>20009688</v>
      </c>
    </row>
    <row r="207" spans="1:16" hidden="1">
      <c r="A207" s="98">
        <v>20010262</v>
      </c>
      <c r="B207" s="98">
        <v>1</v>
      </c>
      <c r="C207" s="98" t="s">
        <v>55</v>
      </c>
      <c r="D207" s="98"/>
      <c r="E207" s="213">
        <v>45139</v>
      </c>
      <c r="F207" s="98" t="s">
        <v>1806</v>
      </c>
      <c r="G207" s="140" t="s">
        <v>1807</v>
      </c>
      <c r="H207" s="8"/>
      <c r="I207" s="140" t="s">
        <v>3443</v>
      </c>
      <c r="J207" s="98">
        <v>98073</v>
      </c>
      <c r="K207" s="98" t="s">
        <v>52</v>
      </c>
      <c r="L207" s="98" t="s">
        <v>80</v>
      </c>
      <c r="M207" s="98" t="s">
        <v>40</v>
      </c>
      <c r="N207" s="237">
        <f>+VLOOKUP(A207,COMISIONES!$C$2:$AR$33,42,0)</f>
        <v>15</v>
      </c>
      <c r="O207" s="53">
        <f t="shared" si="3"/>
        <v>15</v>
      </c>
      <c r="P207" s="7">
        <f>+VLOOKUP(A207,COMISIONES!$C$2:$C$33,1,0)</f>
        <v>20010262</v>
      </c>
    </row>
    <row r="208" spans="1:16" hidden="1">
      <c r="A208" s="98">
        <v>20007020</v>
      </c>
      <c r="B208" s="98">
        <v>1</v>
      </c>
      <c r="C208" s="98" t="s">
        <v>55</v>
      </c>
      <c r="D208" s="98"/>
      <c r="E208" s="213">
        <v>45139</v>
      </c>
      <c r="F208" s="98" t="s">
        <v>1642</v>
      </c>
      <c r="G208" s="140" t="s">
        <v>1643</v>
      </c>
      <c r="H208" s="98"/>
      <c r="I208" s="140" t="s">
        <v>3426</v>
      </c>
      <c r="J208" s="98">
        <v>98047</v>
      </c>
      <c r="K208" s="98" t="s">
        <v>50</v>
      </c>
      <c r="L208" s="98" t="s">
        <v>80</v>
      </c>
      <c r="M208" s="98" t="s">
        <v>40</v>
      </c>
      <c r="N208" s="237">
        <f>+VLOOKUP(A208,COMISIONES!$C$2:$AR$33,42,0)</f>
        <v>10</v>
      </c>
      <c r="O208" s="53">
        <f t="shared" si="3"/>
        <v>10</v>
      </c>
      <c r="P208" s="7">
        <f>+VLOOKUP(A208,COMISIONES!$C$2:$C$33,1,0)</f>
        <v>20007020</v>
      </c>
    </row>
    <row r="209" spans="1:16" hidden="1">
      <c r="A209" s="98">
        <v>20005527</v>
      </c>
      <c r="B209" s="98">
        <v>1</v>
      </c>
      <c r="C209" s="98" t="s">
        <v>55</v>
      </c>
      <c r="D209" s="98"/>
      <c r="E209" s="213">
        <v>45139</v>
      </c>
      <c r="F209" s="98" t="s">
        <v>1621</v>
      </c>
      <c r="G209" s="140" t="s">
        <v>1622</v>
      </c>
      <c r="H209" s="98"/>
      <c r="I209" s="140" t="s">
        <v>3413</v>
      </c>
      <c r="J209" s="98">
        <v>98041</v>
      </c>
      <c r="K209" s="98" t="s">
        <v>52</v>
      </c>
      <c r="L209" s="98" t="s">
        <v>80</v>
      </c>
      <c r="M209" s="98" t="s">
        <v>40</v>
      </c>
      <c r="N209" s="237">
        <f>+VLOOKUP(A209,COMISIONES!$C$2:$AR$33,42,0)</f>
        <v>10</v>
      </c>
      <c r="O209" s="53">
        <f t="shared" si="3"/>
        <v>10</v>
      </c>
      <c r="P209" s="7">
        <f>+VLOOKUP(A209,COMISIONES!$C$2:$C$33,1,0)</f>
        <v>20005527</v>
      </c>
    </row>
    <row r="210" spans="1:16" hidden="1">
      <c r="A210" s="98">
        <v>20008439</v>
      </c>
      <c r="B210" s="98">
        <v>1</v>
      </c>
      <c r="C210" s="98" t="s">
        <v>55</v>
      </c>
      <c r="D210" s="98"/>
      <c r="E210" s="213">
        <v>45139</v>
      </c>
      <c r="F210" s="98" t="s">
        <v>1434</v>
      </c>
      <c r="G210" s="140" t="s">
        <v>1435</v>
      </c>
      <c r="H210" s="8"/>
      <c r="I210" s="140" t="s">
        <v>3383</v>
      </c>
      <c r="J210" s="98">
        <v>98049</v>
      </c>
      <c r="K210" s="98" t="s">
        <v>50</v>
      </c>
      <c r="L210" s="98" t="s">
        <v>80</v>
      </c>
      <c r="M210" s="98" t="s">
        <v>40</v>
      </c>
      <c r="N210" s="237">
        <f>+VLOOKUP(A210,COMISIONES!$C$2:$AR$33,42,0)</f>
        <v>15</v>
      </c>
      <c r="O210" s="53">
        <f t="shared" si="3"/>
        <v>15</v>
      </c>
      <c r="P210" s="7">
        <f>+VLOOKUP(A210,COMISIONES!$C$2:$C$33,1,0)</f>
        <v>20008439</v>
      </c>
    </row>
    <row r="211" spans="1:16" hidden="1">
      <c r="A211" s="98">
        <v>20004638</v>
      </c>
      <c r="B211" s="98">
        <v>1</v>
      </c>
      <c r="C211" s="98" t="s">
        <v>55</v>
      </c>
      <c r="D211" s="98"/>
      <c r="E211" s="213">
        <v>45139</v>
      </c>
      <c r="F211" s="98" t="s">
        <v>2940</v>
      </c>
      <c r="G211" s="140" t="s">
        <v>2941</v>
      </c>
      <c r="H211" s="83"/>
      <c r="I211" s="140" t="s">
        <v>3597</v>
      </c>
      <c r="J211" s="98">
        <v>98009</v>
      </c>
      <c r="K211" s="98" t="s">
        <v>51</v>
      </c>
      <c r="L211" s="98" t="s">
        <v>80</v>
      </c>
      <c r="M211" s="98" t="s">
        <v>40</v>
      </c>
      <c r="N211" s="237">
        <f>+VLOOKUP(A211,COMISIONES!$C$2:$AR$33,42,0)</f>
        <v>10</v>
      </c>
      <c r="O211" s="53">
        <f t="shared" si="3"/>
        <v>10</v>
      </c>
      <c r="P211" s="7">
        <f>+VLOOKUP(A211,COMISIONES!$C$2:$C$33,1,0)</f>
        <v>20004638</v>
      </c>
    </row>
    <row r="212" spans="1:16" hidden="1">
      <c r="A212" s="98">
        <v>20000033</v>
      </c>
      <c r="B212" s="98">
        <v>1</v>
      </c>
      <c r="C212" s="98" t="s">
        <v>55</v>
      </c>
      <c r="D212" s="98"/>
      <c r="E212" s="213">
        <v>45139</v>
      </c>
      <c r="F212" s="98" t="s">
        <v>2918</v>
      </c>
      <c r="G212" s="140" t="s">
        <v>2919</v>
      </c>
      <c r="H212" s="98"/>
      <c r="I212" s="140" t="s">
        <v>3595</v>
      </c>
      <c r="J212" s="98">
        <v>98000</v>
      </c>
      <c r="K212" s="98" t="s">
        <v>51</v>
      </c>
      <c r="L212" s="98" t="s">
        <v>80</v>
      </c>
      <c r="M212" s="98" t="s">
        <v>40</v>
      </c>
      <c r="N212" s="237">
        <f>+VLOOKUP(A212,COMISIONES!$C$2:$AR$33,42,0)</f>
        <v>15</v>
      </c>
      <c r="O212" s="53">
        <f t="shared" si="3"/>
        <v>15</v>
      </c>
      <c r="P212" s="7">
        <f>+VLOOKUP(A212,COMISIONES!$C$2:$C$33,1,0)</f>
        <v>20000033</v>
      </c>
    </row>
    <row r="213" spans="1:16" hidden="1">
      <c r="A213" s="98">
        <v>20009592</v>
      </c>
      <c r="B213" s="98">
        <v>1</v>
      </c>
      <c r="C213" s="98" t="s">
        <v>55</v>
      </c>
      <c r="D213" s="98"/>
      <c r="E213" s="213">
        <v>45139</v>
      </c>
      <c r="F213" s="98" t="s">
        <v>2852</v>
      </c>
      <c r="G213" s="140" t="s">
        <v>2853</v>
      </c>
      <c r="H213" s="98"/>
      <c r="I213" s="140" t="s">
        <v>3577</v>
      </c>
      <c r="J213" s="98">
        <v>98076</v>
      </c>
      <c r="K213" s="98" t="s">
        <v>52</v>
      </c>
      <c r="L213" s="98" t="s">
        <v>80</v>
      </c>
      <c r="M213" s="98" t="s">
        <v>40</v>
      </c>
      <c r="N213" s="237">
        <f>+VLOOKUP(A213,COMISIONES!$C$2:$AR$33,42,0)</f>
        <v>10</v>
      </c>
      <c r="O213" s="53">
        <f t="shared" si="3"/>
        <v>10</v>
      </c>
      <c r="P213" s="7">
        <f>+VLOOKUP(A213,COMISIONES!$C$2:$C$33,1,0)</f>
        <v>20009592</v>
      </c>
    </row>
    <row r="214" spans="1:16" hidden="1">
      <c r="A214" s="98">
        <v>20008625</v>
      </c>
      <c r="B214" s="98">
        <v>1</v>
      </c>
      <c r="C214" s="98" t="s">
        <v>55</v>
      </c>
      <c r="D214" s="98"/>
      <c r="E214" s="213">
        <v>45139</v>
      </c>
      <c r="F214" s="98" t="s">
        <v>2678</v>
      </c>
      <c r="G214" s="140" t="s">
        <v>2679</v>
      </c>
      <c r="H214" s="98"/>
      <c r="I214" s="140" t="s">
        <v>3551</v>
      </c>
      <c r="J214" s="98">
        <v>98053</v>
      </c>
      <c r="K214" s="98" t="s">
        <v>49</v>
      </c>
      <c r="L214" s="98" t="s">
        <v>80</v>
      </c>
      <c r="M214" s="98" t="s">
        <v>40</v>
      </c>
      <c r="N214" s="237">
        <f>+VLOOKUP(A214,COMISIONES!$C$2:$AR$33,42,0)</f>
        <v>10</v>
      </c>
      <c r="O214" s="53">
        <f t="shared" si="3"/>
        <v>10</v>
      </c>
      <c r="P214" s="7">
        <f>+VLOOKUP(A214,COMISIONES!$C$2:$C$33,1,0)</f>
        <v>20008625</v>
      </c>
    </row>
    <row r="215" spans="1:16" hidden="1">
      <c r="A215" s="98">
        <v>20009269</v>
      </c>
      <c r="B215" s="98">
        <v>1</v>
      </c>
      <c r="C215" s="98" t="s">
        <v>55</v>
      </c>
      <c r="D215" s="98"/>
      <c r="E215" s="213">
        <v>45139</v>
      </c>
      <c r="F215" s="98" t="s">
        <v>2771</v>
      </c>
      <c r="G215" s="140" t="s">
        <v>2772</v>
      </c>
      <c r="H215" s="83"/>
      <c r="I215" s="140" t="s">
        <v>3560</v>
      </c>
      <c r="J215" s="98">
        <v>98065</v>
      </c>
      <c r="K215" s="98" t="s">
        <v>49</v>
      </c>
      <c r="L215" s="98" t="s">
        <v>80</v>
      </c>
      <c r="M215" s="98" t="s">
        <v>40</v>
      </c>
      <c r="N215" s="237">
        <f>+VLOOKUP(A215,COMISIONES!$C$2:$AR$33,42,0)</f>
        <v>30</v>
      </c>
      <c r="O215" s="53">
        <f t="shared" si="3"/>
        <v>30</v>
      </c>
      <c r="P215" s="7">
        <f>+VLOOKUP(A215,COMISIONES!$C$2:$C$33,1,0)</f>
        <v>20009269</v>
      </c>
    </row>
    <row r="216" spans="1:16" hidden="1">
      <c r="A216" s="98">
        <v>20010766</v>
      </c>
      <c r="B216" s="98">
        <v>1</v>
      </c>
      <c r="C216" s="98" t="s">
        <v>55</v>
      </c>
      <c r="D216" s="98"/>
      <c r="E216" s="213">
        <v>45139</v>
      </c>
      <c r="F216" s="98" t="s">
        <v>2651</v>
      </c>
      <c r="G216" s="140" t="s">
        <v>2652</v>
      </c>
      <c r="H216" s="10"/>
      <c r="I216" s="140" t="s">
        <v>3543</v>
      </c>
      <c r="J216" s="98">
        <v>98080</v>
      </c>
      <c r="K216" s="98" t="s">
        <v>51</v>
      </c>
      <c r="L216" s="98" t="s">
        <v>80</v>
      </c>
      <c r="M216" s="98" t="s">
        <v>40</v>
      </c>
      <c r="N216" s="237">
        <f>+VLOOKUP(A216,COMISIONES!$C$2:$AR$33,42,0)</f>
        <v>10</v>
      </c>
      <c r="O216" s="53">
        <f t="shared" si="3"/>
        <v>10</v>
      </c>
      <c r="P216" s="7">
        <f>+VLOOKUP(A216,COMISIONES!$C$2:$C$33,1,0)</f>
        <v>20010766</v>
      </c>
    </row>
    <row r="217" spans="1:16" hidden="1">
      <c r="A217" s="98">
        <v>20007943</v>
      </c>
      <c r="B217" s="98">
        <v>1</v>
      </c>
      <c r="C217" s="98" t="s">
        <v>55</v>
      </c>
      <c r="D217" s="98"/>
      <c r="E217" s="213">
        <v>45139</v>
      </c>
      <c r="F217" s="98" t="s">
        <v>2585</v>
      </c>
      <c r="G217" s="140" t="s">
        <v>2586</v>
      </c>
      <c r="H217" s="98"/>
      <c r="I217" s="140" t="s">
        <v>3542</v>
      </c>
      <c r="J217" s="98">
        <v>98077</v>
      </c>
      <c r="K217" s="98" t="s">
        <v>51</v>
      </c>
      <c r="L217" s="98" t="s">
        <v>80</v>
      </c>
      <c r="M217" s="98" t="s">
        <v>40</v>
      </c>
      <c r="N217" s="237">
        <f>+VLOOKUP(A217,COMISIONES!$C$2:$AR$33,42,0)</f>
        <v>10</v>
      </c>
      <c r="O217" s="53">
        <f t="shared" si="3"/>
        <v>10</v>
      </c>
      <c r="P217" s="7">
        <f>+VLOOKUP(A217,COMISIONES!$C$2:$C$33,1,0)</f>
        <v>20007943</v>
      </c>
    </row>
    <row r="218" spans="1:16" hidden="1">
      <c r="A218" s="98">
        <v>20010604</v>
      </c>
      <c r="B218" s="98">
        <v>1</v>
      </c>
      <c r="C218" s="98" t="s">
        <v>55</v>
      </c>
      <c r="D218" s="98"/>
      <c r="E218" s="213">
        <v>45139</v>
      </c>
      <c r="F218" s="98" t="s">
        <v>2371</v>
      </c>
      <c r="G218" s="140" t="s">
        <v>2372</v>
      </c>
      <c r="H218" s="98"/>
      <c r="I218" s="140" t="s">
        <v>3529</v>
      </c>
      <c r="J218" s="98">
        <v>98078</v>
      </c>
      <c r="K218" s="98" t="s">
        <v>50</v>
      </c>
      <c r="L218" s="98" t="s">
        <v>80</v>
      </c>
      <c r="M218" s="98" t="s">
        <v>40</v>
      </c>
      <c r="N218" s="237">
        <f>+VLOOKUP(A218,COMISIONES!$C$2:$AR$33,42,0)</f>
        <v>10</v>
      </c>
      <c r="O218" s="53">
        <f t="shared" si="3"/>
        <v>10</v>
      </c>
      <c r="P218" s="7">
        <f>+VLOOKUP(A218,COMISIONES!$C$2:$C$33,1,0)</f>
        <v>20010604</v>
      </c>
    </row>
    <row r="219" spans="1:16" hidden="1">
      <c r="A219" s="98">
        <v>20008625</v>
      </c>
      <c r="B219" s="98">
        <v>1</v>
      </c>
      <c r="C219" s="98" t="s">
        <v>55</v>
      </c>
      <c r="D219" s="98"/>
      <c r="E219" s="213">
        <v>45139</v>
      </c>
      <c r="F219" s="98" t="s">
        <v>2342</v>
      </c>
      <c r="G219" s="140" t="s">
        <v>2343</v>
      </c>
      <c r="H219" s="98"/>
      <c r="I219" s="140" t="s">
        <v>3531</v>
      </c>
      <c r="J219" s="98">
        <v>98053</v>
      </c>
      <c r="K219" s="98" t="s">
        <v>49</v>
      </c>
      <c r="L219" s="98" t="s">
        <v>80</v>
      </c>
      <c r="M219" s="98" t="s">
        <v>40</v>
      </c>
      <c r="N219" s="237">
        <f>+VLOOKUP(A219,COMISIONES!$C$2:$AR$33,42,0)</f>
        <v>10</v>
      </c>
      <c r="O219" s="53">
        <f t="shared" si="3"/>
        <v>10</v>
      </c>
      <c r="P219" s="7">
        <f>+VLOOKUP(A219,COMISIONES!$C$2:$C$33,1,0)</f>
        <v>20008625</v>
      </c>
    </row>
    <row r="220" spans="1:16" hidden="1">
      <c r="A220" s="98">
        <v>20008711</v>
      </c>
      <c r="B220" s="98">
        <v>1</v>
      </c>
      <c r="C220" s="98" t="s">
        <v>55</v>
      </c>
      <c r="D220" s="98"/>
      <c r="E220" s="213">
        <v>45139</v>
      </c>
      <c r="F220" s="98" t="s">
        <v>2264</v>
      </c>
      <c r="G220" s="140" t="s">
        <v>2265</v>
      </c>
      <c r="H220" s="98"/>
      <c r="I220" s="140" t="s">
        <v>3516</v>
      </c>
      <c r="J220" s="98">
        <v>98055</v>
      </c>
      <c r="K220" s="98" t="s">
        <v>50</v>
      </c>
      <c r="L220" s="98" t="s">
        <v>80</v>
      </c>
      <c r="M220" s="98" t="s">
        <v>40</v>
      </c>
      <c r="N220" s="237">
        <f>+VLOOKUP(A220,COMISIONES!$C$2:$AR$33,42,0)</f>
        <v>15</v>
      </c>
      <c r="O220" s="53">
        <f t="shared" si="3"/>
        <v>15</v>
      </c>
      <c r="P220" s="7">
        <f>+VLOOKUP(A220,COMISIONES!$C$2:$C$33,1,0)</f>
        <v>20008711</v>
      </c>
    </row>
    <row r="221" spans="1:16" hidden="1">
      <c r="A221" s="98">
        <v>20008439</v>
      </c>
      <c r="B221" s="98">
        <v>1</v>
      </c>
      <c r="C221" s="98" t="s">
        <v>55</v>
      </c>
      <c r="D221" s="98"/>
      <c r="E221" s="213">
        <v>45139</v>
      </c>
      <c r="F221" s="98" t="s">
        <v>2204</v>
      </c>
      <c r="G221" s="140" t="s">
        <v>2205</v>
      </c>
      <c r="H221" s="98"/>
      <c r="I221" s="140" t="s">
        <v>3500</v>
      </c>
      <c r="J221" s="98">
        <v>98049</v>
      </c>
      <c r="K221" s="98" t="s">
        <v>50</v>
      </c>
      <c r="L221" s="98" t="s">
        <v>80</v>
      </c>
      <c r="M221" s="98" t="s">
        <v>40</v>
      </c>
      <c r="N221" s="237">
        <f>+VLOOKUP(A221,COMISIONES!$C$2:$AR$33,42,0)</f>
        <v>15</v>
      </c>
      <c r="O221" s="53">
        <f t="shared" si="3"/>
        <v>15</v>
      </c>
      <c r="P221" s="7">
        <f>+VLOOKUP(A221,COMISIONES!$C$2:$C$33,1,0)</f>
        <v>20008439</v>
      </c>
    </row>
    <row r="222" spans="1:16" hidden="1">
      <c r="A222" s="98">
        <v>20000033</v>
      </c>
      <c r="B222" s="98">
        <v>1</v>
      </c>
      <c r="C222" s="98" t="s">
        <v>55</v>
      </c>
      <c r="D222" s="98"/>
      <c r="E222" s="213">
        <v>45139</v>
      </c>
      <c r="F222" s="98" t="s">
        <v>2141</v>
      </c>
      <c r="G222" s="140" t="s">
        <v>2142</v>
      </c>
      <c r="H222" s="98"/>
      <c r="I222" s="140" t="s">
        <v>3502</v>
      </c>
      <c r="J222" s="98">
        <v>98000</v>
      </c>
      <c r="K222" s="98" t="s">
        <v>51</v>
      </c>
      <c r="L222" s="98" t="s">
        <v>80</v>
      </c>
      <c r="M222" s="98" t="s">
        <v>40</v>
      </c>
      <c r="N222" s="237">
        <f>+VLOOKUP(A222,COMISIONES!$C$2:$AR$33,42,0)</f>
        <v>15</v>
      </c>
      <c r="O222" s="53">
        <f t="shared" si="3"/>
        <v>15</v>
      </c>
      <c r="P222" s="7">
        <f>+VLOOKUP(A222,COMISIONES!$C$2:$C$33,1,0)</f>
        <v>20000033</v>
      </c>
    </row>
    <row r="223" spans="1:16" hidden="1">
      <c r="A223" s="98">
        <v>20001487</v>
      </c>
      <c r="B223" s="98">
        <v>1</v>
      </c>
      <c r="C223" s="98" t="s">
        <v>55</v>
      </c>
      <c r="D223" s="98"/>
      <c r="E223" s="213">
        <v>45139</v>
      </c>
      <c r="F223" s="98" t="s">
        <v>2132</v>
      </c>
      <c r="G223" s="140" t="s">
        <v>2133</v>
      </c>
      <c r="H223" s="98"/>
      <c r="I223" s="140" t="s">
        <v>3501</v>
      </c>
      <c r="J223" s="98">
        <v>98003</v>
      </c>
      <c r="K223" s="98" t="s">
        <v>51</v>
      </c>
      <c r="L223" s="98" t="s">
        <v>80</v>
      </c>
      <c r="M223" s="98" t="s">
        <v>40</v>
      </c>
      <c r="N223" s="237">
        <f>+VLOOKUP(A223,COMISIONES!$C$2:$AR$33,42,0)</f>
        <v>30</v>
      </c>
      <c r="O223" s="53">
        <f t="shared" si="3"/>
        <v>30</v>
      </c>
      <c r="P223" s="7">
        <f>+VLOOKUP(A223,COMISIONES!$C$2:$C$33,1,0)</f>
        <v>20001487</v>
      </c>
    </row>
    <row r="224" spans="1:16" hidden="1">
      <c r="A224" s="98">
        <v>20010766</v>
      </c>
      <c r="B224" s="98">
        <v>1</v>
      </c>
      <c r="C224" s="98" t="s">
        <v>55</v>
      </c>
      <c r="D224" s="98"/>
      <c r="E224" s="213">
        <v>45139</v>
      </c>
      <c r="F224" s="98" t="s">
        <v>2084</v>
      </c>
      <c r="G224" s="140" t="s">
        <v>2085</v>
      </c>
      <c r="H224" s="98"/>
      <c r="I224" s="140" t="s">
        <v>3491</v>
      </c>
      <c r="J224" s="98">
        <v>98080</v>
      </c>
      <c r="K224" s="98" t="s">
        <v>51</v>
      </c>
      <c r="L224" s="98" t="s">
        <v>80</v>
      </c>
      <c r="M224" s="98" t="s">
        <v>40</v>
      </c>
      <c r="N224" s="237">
        <f>+VLOOKUP(A224,COMISIONES!$C$2:$AR$33,42,0)</f>
        <v>10</v>
      </c>
      <c r="O224" s="53">
        <f t="shared" si="3"/>
        <v>10</v>
      </c>
      <c r="P224" s="7">
        <f>+VLOOKUP(A224,COMISIONES!$C$2:$C$33,1,0)</f>
        <v>20010766</v>
      </c>
    </row>
    <row r="225" spans="1:16" hidden="1">
      <c r="A225" s="98">
        <v>20002636</v>
      </c>
      <c r="B225" s="98">
        <v>1</v>
      </c>
      <c r="C225" s="98" t="s">
        <v>55</v>
      </c>
      <c r="D225" s="98"/>
      <c r="E225" s="213">
        <v>45139</v>
      </c>
      <c r="F225" s="98" t="s">
        <v>1941</v>
      </c>
      <c r="G225" s="140" t="s">
        <v>1942</v>
      </c>
      <c r="H225" s="83"/>
      <c r="I225" s="140" t="s">
        <v>3465</v>
      </c>
      <c r="J225" s="98">
        <v>98007</v>
      </c>
      <c r="K225" s="98" t="s">
        <v>51</v>
      </c>
      <c r="L225" s="98" t="s">
        <v>80</v>
      </c>
      <c r="M225" s="98" t="s">
        <v>40</v>
      </c>
      <c r="N225" s="237">
        <f>+VLOOKUP(A225,COMISIONES!$C$2:$AR$33,42,0)</f>
        <v>15</v>
      </c>
      <c r="O225" s="53">
        <f t="shared" si="3"/>
        <v>15</v>
      </c>
      <c r="P225" s="7">
        <f>+VLOOKUP(A225,COMISIONES!$C$2:$C$33,1,0)</f>
        <v>20002636</v>
      </c>
    </row>
    <row r="226" spans="1:16" hidden="1">
      <c r="A226" s="98">
        <v>20006893</v>
      </c>
      <c r="B226" s="98">
        <v>1</v>
      </c>
      <c r="C226" s="98" t="s">
        <v>55</v>
      </c>
      <c r="D226" s="98"/>
      <c r="E226" s="213">
        <v>45139</v>
      </c>
      <c r="F226" s="98" t="s">
        <v>1955</v>
      </c>
      <c r="G226" s="140" t="s">
        <v>1956</v>
      </c>
      <c r="H226" s="98"/>
      <c r="I226" s="140" t="s">
        <v>3468</v>
      </c>
      <c r="J226" s="98">
        <v>98071</v>
      </c>
      <c r="K226" s="98" t="s">
        <v>51</v>
      </c>
      <c r="L226" s="98" t="s">
        <v>80</v>
      </c>
      <c r="M226" s="98" t="s">
        <v>40</v>
      </c>
      <c r="N226" s="237">
        <f>+VLOOKUP(A226,COMISIONES!$C$2:$AR$33,42,0)</f>
        <v>15</v>
      </c>
      <c r="O226" s="53">
        <f t="shared" si="3"/>
        <v>15</v>
      </c>
      <c r="P226" s="7">
        <f>+VLOOKUP(A226,COMISIONES!$C$2:$C$33,1,0)</f>
        <v>20006893</v>
      </c>
    </row>
    <row r="227" spans="1:16" hidden="1">
      <c r="A227" s="98">
        <v>20006162</v>
      </c>
      <c r="B227" s="98">
        <v>1</v>
      </c>
      <c r="C227" s="98" t="s">
        <v>55</v>
      </c>
      <c r="D227" s="98"/>
      <c r="E227" s="213">
        <v>45139</v>
      </c>
      <c r="F227" s="98" t="s">
        <v>1848</v>
      </c>
      <c r="G227" s="140" t="s">
        <v>1849</v>
      </c>
      <c r="H227" s="83"/>
      <c r="I227" s="140" t="s">
        <v>3457</v>
      </c>
      <c r="J227" s="98">
        <v>98069</v>
      </c>
      <c r="K227" s="98" t="s">
        <v>50</v>
      </c>
      <c r="L227" s="98" t="s">
        <v>80</v>
      </c>
      <c r="M227" s="98" t="s">
        <v>40</v>
      </c>
      <c r="N227" s="237">
        <f>+VLOOKUP(A227,COMISIONES!$C$2:$AR$33,42,0)</f>
        <v>20</v>
      </c>
      <c r="O227" s="53">
        <f t="shared" si="3"/>
        <v>20</v>
      </c>
      <c r="P227" s="7">
        <f>+VLOOKUP(A227,COMISIONES!$C$2:$C$33,1,0)</f>
        <v>20006162</v>
      </c>
    </row>
    <row r="228" spans="1:16" hidden="1">
      <c r="A228" s="98">
        <v>20006162</v>
      </c>
      <c r="B228" s="98">
        <v>1</v>
      </c>
      <c r="C228" s="98" t="s">
        <v>55</v>
      </c>
      <c r="D228" s="98"/>
      <c r="E228" s="213">
        <v>45139</v>
      </c>
      <c r="F228" s="98" t="s">
        <v>1728</v>
      </c>
      <c r="G228" s="140" t="s">
        <v>1729</v>
      </c>
      <c r="H228" s="98"/>
      <c r="I228" s="140" t="s">
        <v>3444</v>
      </c>
      <c r="J228" s="98">
        <v>98069</v>
      </c>
      <c r="K228" s="98" t="s">
        <v>50</v>
      </c>
      <c r="L228" s="98" t="s">
        <v>80</v>
      </c>
      <c r="M228" s="98" t="s">
        <v>40</v>
      </c>
      <c r="N228" s="237">
        <f>+VLOOKUP(A228,COMISIONES!$C$2:$AR$33,42,0)</f>
        <v>20</v>
      </c>
      <c r="O228" s="53">
        <f t="shared" si="3"/>
        <v>20</v>
      </c>
      <c r="P228" s="7">
        <f>+VLOOKUP(A228,COMISIONES!$C$2:$C$33,1,0)</f>
        <v>20006162</v>
      </c>
    </row>
    <row r="229" spans="1:16" hidden="1">
      <c r="A229" s="98">
        <v>20009174</v>
      </c>
      <c r="B229" s="98">
        <v>1</v>
      </c>
      <c r="C229" s="98" t="s">
        <v>55</v>
      </c>
      <c r="D229" s="98"/>
      <c r="E229" s="213">
        <v>45139</v>
      </c>
      <c r="F229" s="98" t="s">
        <v>1681</v>
      </c>
      <c r="G229" s="140" t="s">
        <v>1682</v>
      </c>
      <c r="H229" s="98"/>
      <c r="I229" s="140" t="s">
        <v>3424</v>
      </c>
      <c r="J229" s="98">
        <v>98064</v>
      </c>
      <c r="K229" s="98" t="s">
        <v>52</v>
      </c>
      <c r="L229" s="98" t="s">
        <v>80</v>
      </c>
      <c r="M229" s="98" t="s">
        <v>40</v>
      </c>
      <c r="N229" s="237">
        <f>+VLOOKUP(A229,COMISIONES!$C$2:$AR$33,42,0)</f>
        <v>20</v>
      </c>
      <c r="O229" s="53">
        <f t="shared" si="3"/>
        <v>20</v>
      </c>
      <c r="P229" s="7">
        <f>+VLOOKUP(A229,COMISIONES!$C$2:$C$33,1,0)</f>
        <v>20009174</v>
      </c>
    </row>
    <row r="230" spans="1:16" hidden="1">
      <c r="A230" s="98">
        <v>20006893</v>
      </c>
      <c r="B230" s="98">
        <v>1</v>
      </c>
      <c r="C230" s="98" t="s">
        <v>55</v>
      </c>
      <c r="D230" s="98"/>
      <c r="E230" s="213">
        <v>45139</v>
      </c>
      <c r="F230" s="98" t="s">
        <v>1648</v>
      </c>
      <c r="G230" s="140" t="s">
        <v>1649</v>
      </c>
      <c r="H230" s="98"/>
      <c r="I230" s="140" t="s">
        <v>3425</v>
      </c>
      <c r="J230" s="98">
        <v>98071</v>
      </c>
      <c r="K230" s="98" t="s">
        <v>51</v>
      </c>
      <c r="L230" s="98" t="s">
        <v>80</v>
      </c>
      <c r="M230" s="98" t="s">
        <v>40</v>
      </c>
      <c r="N230" s="237">
        <f>+VLOOKUP(A230,COMISIONES!$C$2:$AR$33,42,0)</f>
        <v>15</v>
      </c>
      <c r="O230" s="53">
        <f t="shared" si="3"/>
        <v>15</v>
      </c>
      <c r="P230" s="7">
        <f>+VLOOKUP(A230,COMISIONES!$C$2:$C$33,1,0)</f>
        <v>20006893</v>
      </c>
    </row>
    <row r="231" spans="1:16" hidden="1">
      <c r="A231" s="98">
        <v>20009592</v>
      </c>
      <c r="B231" s="98">
        <v>1</v>
      </c>
      <c r="C231" s="98" t="s">
        <v>55</v>
      </c>
      <c r="D231" s="98"/>
      <c r="E231" s="213">
        <v>45139</v>
      </c>
      <c r="F231" s="98" t="s">
        <v>1531</v>
      </c>
      <c r="G231" s="140" t="s">
        <v>1532</v>
      </c>
      <c r="H231" s="98"/>
      <c r="I231" s="140" t="s">
        <v>3403</v>
      </c>
      <c r="J231" s="98">
        <v>98076</v>
      </c>
      <c r="K231" s="98" t="s">
        <v>52</v>
      </c>
      <c r="L231" s="98" t="s">
        <v>80</v>
      </c>
      <c r="M231" s="98" t="s">
        <v>40</v>
      </c>
      <c r="N231" s="237">
        <f>+VLOOKUP(A231,COMISIONES!$C$2:$AR$33,42,0)</f>
        <v>10</v>
      </c>
      <c r="O231" s="53">
        <f t="shared" si="3"/>
        <v>10</v>
      </c>
      <c r="P231" s="7">
        <f>+VLOOKUP(A231,COMISIONES!$C$2:$C$33,1,0)</f>
        <v>20009592</v>
      </c>
    </row>
    <row r="232" spans="1:16" hidden="1">
      <c r="A232" s="98">
        <v>20007352</v>
      </c>
      <c r="B232" s="98">
        <v>1</v>
      </c>
      <c r="C232" s="98" t="s">
        <v>55</v>
      </c>
      <c r="D232" s="98"/>
      <c r="E232" s="213">
        <v>45139</v>
      </c>
      <c r="F232" s="98" t="s">
        <v>1253</v>
      </c>
      <c r="G232" s="140" t="s">
        <v>1254</v>
      </c>
      <c r="H232" s="83"/>
      <c r="I232" s="140" t="s">
        <v>3363</v>
      </c>
      <c r="J232" s="98">
        <v>98034</v>
      </c>
      <c r="K232" s="98" t="s">
        <v>52</v>
      </c>
      <c r="L232" s="98" t="s">
        <v>80</v>
      </c>
      <c r="M232" s="98" t="s">
        <v>40</v>
      </c>
      <c r="N232" s="237">
        <f>+VLOOKUP(A232,COMISIONES!$C$2:$AR$33,42,0)</f>
        <v>15</v>
      </c>
      <c r="O232" s="53">
        <f t="shared" si="3"/>
        <v>15</v>
      </c>
      <c r="P232" s="7">
        <f>+VLOOKUP(A232,COMISIONES!$C$2:$C$33,1,0)</f>
        <v>20007352</v>
      </c>
    </row>
    <row r="233" spans="1:16" hidden="1">
      <c r="A233" s="98">
        <v>20005527</v>
      </c>
      <c r="B233" s="98">
        <v>1</v>
      </c>
      <c r="C233" s="98" t="s">
        <v>55</v>
      </c>
      <c r="D233" s="98"/>
      <c r="E233" s="213">
        <v>45139</v>
      </c>
      <c r="F233" s="98" t="s">
        <v>1243</v>
      </c>
      <c r="G233" s="140" t="s">
        <v>1244</v>
      </c>
      <c r="H233" s="98"/>
      <c r="I233" s="140" t="s">
        <v>3353</v>
      </c>
      <c r="J233" s="98">
        <v>98041</v>
      </c>
      <c r="K233" s="98" t="s">
        <v>52</v>
      </c>
      <c r="L233" s="98" t="s">
        <v>80</v>
      </c>
      <c r="M233" s="98" t="s">
        <v>40</v>
      </c>
      <c r="N233" s="237">
        <f>+VLOOKUP(A233,COMISIONES!$C$2:$AR$33,42,0)</f>
        <v>10</v>
      </c>
      <c r="O233" s="53">
        <f t="shared" si="3"/>
        <v>10</v>
      </c>
      <c r="P233" s="7">
        <f>+VLOOKUP(A233,COMISIONES!$C$2:$C$33,1,0)</f>
        <v>20005527</v>
      </c>
    </row>
    <row r="234" spans="1:16" hidden="1">
      <c r="A234" s="98">
        <v>20006893</v>
      </c>
      <c r="B234" s="98">
        <v>1</v>
      </c>
      <c r="C234" s="98" t="s">
        <v>55</v>
      </c>
      <c r="D234" s="98"/>
      <c r="E234" s="213">
        <v>45139</v>
      </c>
      <c r="F234" s="98" t="s">
        <v>2588</v>
      </c>
      <c r="G234" s="140" t="s">
        <v>2589</v>
      </c>
      <c r="H234" s="83"/>
      <c r="I234" s="140" t="s">
        <v>3602</v>
      </c>
      <c r="J234" s="98">
        <v>98071</v>
      </c>
      <c r="K234" s="98" t="s">
        <v>51</v>
      </c>
      <c r="L234" s="98" t="s">
        <v>80</v>
      </c>
      <c r="M234" s="98" t="s">
        <v>40</v>
      </c>
      <c r="N234" s="237">
        <f>+VLOOKUP(A234,COMISIONES!$C$2:$AR$33,42,0)</f>
        <v>15</v>
      </c>
      <c r="O234" s="53">
        <f t="shared" si="3"/>
        <v>15</v>
      </c>
      <c r="P234" s="7">
        <f>+VLOOKUP(A234,COMISIONES!$C$2:$C$33,1,0)</f>
        <v>20006893</v>
      </c>
    </row>
    <row r="235" spans="1:16" hidden="1">
      <c r="A235" s="98">
        <v>20006893</v>
      </c>
      <c r="B235" s="98">
        <v>1</v>
      </c>
      <c r="C235" s="98" t="s">
        <v>55</v>
      </c>
      <c r="D235" s="98"/>
      <c r="E235" s="213">
        <v>45139</v>
      </c>
      <c r="F235" s="98" t="s">
        <v>2540</v>
      </c>
      <c r="G235" s="140" t="s">
        <v>2541</v>
      </c>
      <c r="H235" s="98"/>
      <c r="I235" s="140" t="s">
        <v>3600</v>
      </c>
      <c r="J235" s="98">
        <v>98071</v>
      </c>
      <c r="K235" s="98" t="s">
        <v>51</v>
      </c>
      <c r="L235" s="98" t="s">
        <v>80</v>
      </c>
      <c r="M235" s="98" t="s">
        <v>40</v>
      </c>
      <c r="N235" s="237">
        <f>+VLOOKUP(A235,COMISIONES!$C$2:$AR$33,42,0)</f>
        <v>15</v>
      </c>
      <c r="O235" s="53">
        <f t="shared" si="3"/>
        <v>15</v>
      </c>
      <c r="P235" s="7">
        <f>+VLOOKUP(A235,COMISIONES!$C$2:$C$33,1,0)</f>
        <v>20006893</v>
      </c>
    </row>
    <row r="236" spans="1:16" hidden="1">
      <c r="A236" s="98">
        <v>20009174</v>
      </c>
      <c r="B236" s="98">
        <v>1</v>
      </c>
      <c r="C236" s="98" t="s">
        <v>55</v>
      </c>
      <c r="D236" s="98"/>
      <c r="E236" s="213">
        <v>45139</v>
      </c>
      <c r="F236" s="98" t="s">
        <v>2663</v>
      </c>
      <c r="G236" s="140" t="s">
        <v>2664</v>
      </c>
      <c r="H236" s="8"/>
      <c r="I236" s="140" t="s">
        <v>3579</v>
      </c>
      <c r="J236" s="98">
        <v>98064</v>
      </c>
      <c r="K236" s="98" t="s">
        <v>52</v>
      </c>
      <c r="L236" s="98" t="s">
        <v>80</v>
      </c>
      <c r="M236" s="98" t="s">
        <v>40</v>
      </c>
      <c r="N236" s="237">
        <f>+VLOOKUP(A236,COMISIONES!$C$2:$AR$33,42,0)</f>
        <v>20</v>
      </c>
      <c r="O236" s="53">
        <f t="shared" si="3"/>
        <v>20</v>
      </c>
      <c r="P236" s="7">
        <f>+VLOOKUP(A236,COMISIONES!$C$2:$C$33,1,0)</f>
        <v>20009174</v>
      </c>
    </row>
    <row r="237" spans="1:16" hidden="1">
      <c r="A237" s="98">
        <v>20002636</v>
      </c>
      <c r="B237" s="98">
        <v>1</v>
      </c>
      <c r="C237" s="98" t="s">
        <v>55</v>
      </c>
      <c r="D237" s="98"/>
      <c r="E237" s="213">
        <v>45139</v>
      </c>
      <c r="F237" s="98" t="s">
        <v>2135</v>
      </c>
      <c r="G237" s="140" t="s">
        <v>2136</v>
      </c>
      <c r="H237" s="98"/>
      <c r="I237" s="140" t="s">
        <v>3513</v>
      </c>
      <c r="J237" s="98">
        <v>98007</v>
      </c>
      <c r="K237" s="98" t="s">
        <v>51</v>
      </c>
      <c r="L237" s="98" t="s">
        <v>80</v>
      </c>
      <c r="M237" s="98" t="s">
        <v>40</v>
      </c>
      <c r="N237" s="237">
        <f>+VLOOKUP(A237,COMISIONES!$C$2:$AR$33,42,0)</f>
        <v>15</v>
      </c>
      <c r="O237" s="53">
        <f t="shared" si="3"/>
        <v>15</v>
      </c>
      <c r="P237" s="7">
        <f>+VLOOKUP(A237,COMISIONES!$C$2:$C$33,1,0)</f>
        <v>20002636</v>
      </c>
    </row>
    <row r="238" spans="1:16" hidden="1">
      <c r="A238" s="98">
        <v>20002708</v>
      </c>
      <c r="B238" s="98">
        <v>1</v>
      </c>
      <c r="C238" s="98" t="s">
        <v>55</v>
      </c>
      <c r="D238" s="98"/>
      <c r="E238" s="213">
        <v>45139</v>
      </c>
      <c r="F238" s="98" t="s">
        <v>2843</v>
      </c>
      <c r="G238" s="140" t="s">
        <v>2844</v>
      </c>
      <c r="H238" s="98"/>
      <c r="I238" s="140" t="s">
        <v>3569</v>
      </c>
      <c r="J238" s="98">
        <v>98021</v>
      </c>
      <c r="K238" s="98" t="s">
        <v>49</v>
      </c>
      <c r="L238" s="98" t="s">
        <v>80</v>
      </c>
      <c r="M238" s="98" t="s">
        <v>40</v>
      </c>
      <c r="N238" s="237">
        <f>+VLOOKUP(A238,COMISIONES!$C$2:$AR$33,42,0)</f>
        <v>15</v>
      </c>
      <c r="O238" s="53">
        <f t="shared" si="3"/>
        <v>15</v>
      </c>
      <c r="P238" s="7">
        <f>+VLOOKUP(A238,COMISIONES!$C$2:$C$33,1,0)</f>
        <v>20002708</v>
      </c>
    </row>
    <row r="239" spans="1:16" hidden="1">
      <c r="A239" s="98">
        <v>20006360</v>
      </c>
      <c r="B239" s="98">
        <v>1</v>
      </c>
      <c r="C239" s="98" t="s">
        <v>55</v>
      </c>
      <c r="D239" s="98"/>
      <c r="E239" s="213">
        <v>45139</v>
      </c>
      <c r="F239" s="98" t="s">
        <v>2597</v>
      </c>
      <c r="G239" s="140" t="s">
        <v>2598</v>
      </c>
      <c r="H239" s="98"/>
      <c r="I239" s="140" t="s">
        <v>3548</v>
      </c>
      <c r="J239" s="98">
        <v>98012</v>
      </c>
      <c r="K239" s="98" t="s">
        <v>50</v>
      </c>
      <c r="L239" s="98" t="s">
        <v>80</v>
      </c>
      <c r="M239" s="98" t="s">
        <v>40</v>
      </c>
      <c r="N239" s="237">
        <f>+VLOOKUP(A239,COMISIONES!$C$2:$AR$33,42,0)</f>
        <v>10</v>
      </c>
      <c r="O239" s="53">
        <f t="shared" si="3"/>
        <v>10</v>
      </c>
      <c r="P239" s="7">
        <f>+VLOOKUP(A239,COMISIONES!$C$2:$C$33,1,0)</f>
        <v>20006360</v>
      </c>
    </row>
    <row r="240" spans="1:16" hidden="1">
      <c r="A240" s="98">
        <v>20006233</v>
      </c>
      <c r="B240" s="98">
        <v>1</v>
      </c>
      <c r="C240" s="98" t="s">
        <v>55</v>
      </c>
      <c r="D240" s="98"/>
      <c r="E240" s="213">
        <v>45139</v>
      </c>
      <c r="F240" s="98" t="s">
        <v>2702</v>
      </c>
      <c r="G240" s="140" t="s">
        <v>2703</v>
      </c>
      <c r="H240" s="98"/>
      <c r="I240" s="140" t="s">
        <v>3544</v>
      </c>
      <c r="J240" s="98">
        <v>98008</v>
      </c>
      <c r="K240" s="98" t="s">
        <v>52</v>
      </c>
      <c r="L240" s="98" t="s">
        <v>80</v>
      </c>
      <c r="M240" s="98" t="s">
        <v>40</v>
      </c>
      <c r="N240" s="237">
        <f>+VLOOKUP(A240,COMISIONES!$C$2:$AR$33,42,0)</f>
        <v>15</v>
      </c>
      <c r="O240" s="53">
        <f t="shared" si="3"/>
        <v>15</v>
      </c>
      <c r="P240" s="7">
        <f>+VLOOKUP(A240,COMISIONES!$C$2:$C$33,1,0)</f>
        <v>20006233</v>
      </c>
    </row>
    <row r="241" spans="1:16" hidden="1">
      <c r="A241" s="98">
        <v>20000033</v>
      </c>
      <c r="B241" s="98">
        <v>1</v>
      </c>
      <c r="C241" s="98" t="s">
        <v>55</v>
      </c>
      <c r="D241" s="98"/>
      <c r="E241" s="213">
        <v>45139</v>
      </c>
      <c r="F241" s="98" t="s">
        <v>2528</v>
      </c>
      <c r="G241" s="140" t="s">
        <v>2529</v>
      </c>
      <c r="H241" s="98"/>
      <c r="I241" s="140" t="s">
        <v>3540</v>
      </c>
      <c r="J241" s="98">
        <v>98000</v>
      </c>
      <c r="K241" s="98" t="s">
        <v>51</v>
      </c>
      <c r="L241" s="98" t="s">
        <v>80</v>
      </c>
      <c r="M241" s="98" t="s">
        <v>40</v>
      </c>
      <c r="N241" s="237">
        <f>+VLOOKUP(A241,COMISIONES!$C$2:$AR$33,42,0)</f>
        <v>15</v>
      </c>
      <c r="O241" s="53">
        <f t="shared" si="3"/>
        <v>15</v>
      </c>
      <c r="P241" s="7">
        <f>+VLOOKUP(A241,COMISIONES!$C$2:$C$33,1,0)</f>
        <v>20000033</v>
      </c>
    </row>
    <row r="242" spans="1:16" hidden="1">
      <c r="A242" s="98">
        <v>20009592</v>
      </c>
      <c r="B242" s="98">
        <v>1</v>
      </c>
      <c r="C242" s="98" t="s">
        <v>55</v>
      </c>
      <c r="D242" s="98"/>
      <c r="E242" s="213">
        <v>45139</v>
      </c>
      <c r="F242" s="98" t="s">
        <v>2498</v>
      </c>
      <c r="G242" s="140" t="s">
        <v>2499</v>
      </c>
      <c r="H242" s="98"/>
      <c r="I242" s="140" t="s">
        <v>3891</v>
      </c>
      <c r="J242" s="98">
        <v>98076</v>
      </c>
      <c r="K242" s="98" t="s">
        <v>52</v>
      </c>
      <c r="L242" s="98" t="s">
        <v>80</v>
      </c>
      <c r="M242" s="98" t="s">
        <v>40</v>
      </c>
      <c r="N242" s="237">
        <f>+VLOOKUP(A242,COMISIONES!$C$2:$AR$33,42,0)</f>
        <v>10</v>
      </c>
      <c r="O242" s="53">
        <f t="shared" si="3"/>
        <v>10</v>
      </c>
      <c r="P242" s="7">
        <f>+VLOOKUP(A242,COMISIONES!$C$2:$C$33,1,0)</f>
        <v>20009592</v>
      </c>
    </row>
    <row r="243" spans="1:16" hidden="1">
      <c r="A243" s="98">
        <v>20006893</v>
      </c>
      <c r="B243" s="98">
        <v>1</v>
      </c>
      <c r="C243" s="98" t="s">
        <v>55</v>
      </c>
      <c r="D243" s="98"/>
      <c r="E243" s="213">
        <v>45139</v>
      </c>
      <c r="F243" s="98" t="s">
        <v>2428</v>
      </c>
      <c r="G243" s="140" t="s">
        <v>2429</v>
      </c>
      <c r="H243" s="8"/>
      <c r="I243" s="140" t="s">
        <v>3537</v>
      </c>
      <c r="J243" s="98">
        <v>98071</v>
      </c>
      <c r="K243" s="98" t="s">
        <v>51</v>
      </c>
      <c r="L243" s="98" t="s">
        <v>80</v>
      </c>
      <c r="M243" s="98" t="s">
        <v>40</v>
      </c>
      <c r="N243" s="237">
        <f>+VLOOKUP(A243,COMISIONES!$C$2:$AR$33,42,0)</f>
        <v>15</v>
      </c>
      <c r="O243" s="53">
        <f t="shared" si="3"/>
        <v>15</v>
      </c>
      <c r="P243" s="7">
        <f>+VLOOKUP(A243,COMISIONES!$C$2:$C$33,1,0)</f>
        <v>20006893</v>
      </c>
    </row>
    <row r="244" spans="1:16" hidden="1">
      <c r="A244" s="98">
        <v>20009174</v>
      </c>
      <c r="B244" s="98">
        <v>1</v>
      </c>
      <c r="C244" s="98" t="s">
        <v>55</v>
      </c>
      <c r="D244" s="98"/>
      <c r="E244" s="213">
        <v>45139</v>
      </c>
      <c r="F244" s="98" t="s">
        <v>2419</v>
      </c>
      <c r="G244" s="140" t="s">
        <v>2420</v>
      </c>
      <c r="H244" s="10"/>
      <c r="I244" s="140" t="s">
        <v>3536</v>
      </c>
      <c r="J244" s="98">
        <v>98064</v>
      </c>
      <c r="K244" s="98" t="s">
        <v>52</v>
      </c>
      <c r="L244" s="98" t="s">
        <v>80</v>
      </c>
      <c r="M244" s="98" t="s">
        <v>40</v>
      </c>
      <c r="N244" s="237">
        <f>+VLOOKUP(A244,COMISIONES!$C$2:$AR$33,42,0)</f>
        <v>20</v>
      </c>
      <c r="O244" s="53">
        <f t="shared" si="3"/>
        <v>20</v>
      </c>
      <c r="P244" s="7">
        <f>+VLOOKUP(A244,COMISIONES!$C$2:$C$33,1,0)</f>
        <v>20009174</v>
      </c>
    </row>
    <row r="245" spans="1:16" hidden="1">
      <c r="A245" s="98">
        <v>20008625</v>
      </c>
      <c r="B245" s="98">
        <v>1</v>
      </c>
      <c r="C245" s="98" t="s">
        <v>55</v>
      </c>
      <c r="D245" s="98"/>
      <c r="E245" s="213">
        <v>45139</v>
      </c>
      <c r="F245" s="98" t="s">
        <v>2345</v>
      </c>
      <c r="G245" s="140" t="s">
        <v>2346</v>
      </c>
      <c r="H245" s="98"/>
      <c r="I245" s="140" t="s">
        <v>3532</v>
      </c>
      <c r="J245" s="98">
        <v>98053</v>
      </c>
      <c r="K245" s="98" t="s">
        <v>49</v>
      </c>
      <c r="L245" s="98" t="s">
        <v>80</v>
      </c>
      <c r="M245" s="98" t="s">
        <v>40</v>
      </c>
      <c r="N245" s="237">
        <f>+VLOOKUP(A245,COMISIONES!$C$2:$AR$33,42,0)</f>
        <v>10</v>
      </c>
      <c r="O245" s="53">
        <f t="shared" si="3"/>
        <v>10</v>
      </c>
      <c r="P245" s="7">
        <f>+VLOOKUP(A245,COMISIONES!$C$2:$C$33,1,0)</f>
        <v>20008625</v>
      </c>
    </row>
    <row r="246" spans="1:16" hidden="1">
      <c r="A246" s="98">
        <v>20009592</v>
      </c>
      <c r="B246" s="98">
        <v>1</v>
      </c>
      <c r="C246" s="98" t="s">
        <v>55</v>
      </c>
      <c r="D246" s="98"/>
      <c r="E246" s="213">
        <v>45139</v>
      </c>
      <c r="F246" s="98" t="s">
        <v>2297</v>
      </c>
      <c r="G246" s="140" t="s">
        <v>2298</v>
      </c>
      <c r="H246" s="8"/>
      <c r="I246" s="140" t="s">
        <v>3521</v>
      </c>
      <c r="J246" s="98">
        <v>98076</v>
      </c>
      <c r="K246" s="98" t="s">
        <v>52</v>
      </c>
      <c r="L246" s="98" t="s">
        <v>80</v>
      </c>
      <c r="M246" s="98" t="s">
        <v>40</v>
      </c>
      <c r="N246" s="237">
        <f>+VLOOKUP(A246,COMISIONES!$C$2:$AR$33,42,0)</f>
        <v>10</v>
      </c>
      <c r="O246" s="53">
        <f t="shared" si="3"/>
        <v>10</v>
      </c>
      <c r="P246" s="7">
        <f>+VLOOKUP(A246,COMISIONES!$C$2:$C$33,1,0)</f>
        <v>20009592</v>
      </c>
    </row>
    <row r="247" spans="1:16" hidden="1">
      <c r="A247" s="98">
        <v>20009690</v>
      </c>
      <c r="B247" s="98">
        <v>1</v>
      </c>
      <c r="C247" s="98" t="s">
        <v>55</v>
      </c>
      <c r="D247" s="98"/>
      <c r="E247" s="213">
        <v>45139</v>
      </c>
      <c r="F247" s="98" t="s">
        <v>2279</v>
      </c>
      <c r="G247" s="140" t="s">
        <v>2280</v>
      </c>
      <c r="H247" s="98"/>
      <c r="I247" s="140" t="s">
        <v>3518</v>
      </c>
      <c r="J247" s="98">
        <v>98068</v>
      </c>
      <c r="K247" s="98" t="s">
        <v>49</v>
      </c>
      <c r="L247" s="98" t="s">
        <v>80</v>
      </c>
      <c r="M247" s="98" t="s">
        <v>40</v>
      </c>
      <c r="N247" s="237">
        <f>+VLOOKUP(A247,COMISIONES!$C$2:$AR$33,42,0)</f>
        <v>30</v>
      </c>
      <c r="O247" s="53">
        <f t="shared" si="3"/>
        <v>30</v>
      </c>
      <c r="P247" s="7">
        <f>+VLOOKUP(A247,COMISIONES!$C$2:$C$33,1,0)</f>
        <v>20009690</v>
      </c>
    </row>
    <row r="248" spans="1:16" hidden="1">
      <c r="A248" s="98">
        <v>20004161</v>
      </c>
      <c r="B248" s="98">
        <v>1</v>
      </c>
      <c r="C248" s="98" t="s">
        <v>55</v>
      </c>
      <c r="D248" s="98"/>
      <c r="E248" s="213">
        <v>45139</v>
      </c>
      <c r="F248" s="98" t="s">
        <v>2195</v>
      </c>
      <c r="G248" s="140" t="s">
        <v>2196</v>
      </c>
      <c r="H248" s="98"/>
      <c r="I248" s="140" t="s">
        <v>3509</v>
      </c>
      <c r="J248" s="98">
        <v>98019</v>
      </c>
      <c r="K248" s="98" t="s">
        <v>49</v>
      </c>
      <c r="L248" s="98" t="s">
        <v>80</v>
      </c>
      <c r="M248" s="98" t="s">
        <v>40</v>
      </c>
      <c r="N248" s="237">
        <f>+VLOOKUP(A248,COMISIONES!$C$2:$AR$33,42,0)</f>
        <v>32.5</v>
      </c>
      <c r="O248" s="53">
        <f t="shared" si="3"/>
        <v>32.5</v>
      </c>
      <c r="P248" s="7">
        <f>+VLOOKUP(A248,COMISIONES!$C$2:$C$33,1,0)</f>
        <v>20004161</v>
      </c>
    </row>
    <row r="249" spans="1:16" hidden="1">
      <c r="A249" s="98">
        <v>20009269</v>
      </c>
      <c r="B249" s="98">
        <v>1</v>
      </c>
      <c r="C249" s="98" t="s">
        <v>55</v>
      </c>
      <c r="D249" s="98"/>
      <c r="E249" s="213">
        <v>45139</v>
      </c>
      <c r="F249" s="98" t="s">
        <v>2183</v>
      </c>
      <c r="G249" s="140" t="s">
        <v>2184</v>
      </c>
      <c r="H249" s="10"/>
      <c r="I249" s="140" t="s">
        <v>3508</v>
      </c>
      <c r="J249" s="98">
        <v>98065</v>
      </c>
      <c r="K249" s="98" t="s">
        <v>49</v>
      </c>
      <c r="L249" s="98" t="s">
        <v>80</v>
      </c>
      <c r="M249" s="98" t="s">
        <v>40</v>
      </c>
      <c r="N249" s="237">
        <f>+VLOOKUP(A249,COMISIONES!$C$2:$AR$33,42,0)</f>
        <v>30</v>
      </c>
      <c r="O249" s="53">
        <f t="shared" si="3"/>
        <v>30</v>
      </c>
      <c r="P249" s="7">
        <f>+VLOOKUP(A249,COMISIONES!$C$2:$C$33,1,0)</f>
        <v>20009269</v>
      </c>
    </row>
    <row r="250" spans="1:16" hidden="1">
      <c r="A250" s="98">
        <v>20009690</v>
      </c>
      <c r="B250" s="98">
        <v>1</v>
      </c>
      <c r="C250" s="98" t="s">
        <v>55</v>
      </c>
      <c r="D250" s="98"/>
      <c r="E250" s="213">
        <v>45139</v>
      </c>
      <c r="F250" s="98" t="s">
        <v>2171</v>
      </c>
      <c r="G250" s="140" t="s">
        <v>2172</v>
      </c>
      <c r="H250" s="98"/>
      <c r="I250" s="140" t="s">
        <v>3505</v>
      </c>
      <c r="J250" s="98">
        <v>98068</v>
      </c>
      <c r="K250" s="98" t="s">
        <v>49</v>
      </c>
      <c r="L250" s="98" t="s">
        <v>80</v>
      </c>
      <c r="M250" s="98" t="s">
        <v>40</v>
      </c>
      <c r="N250" s="237">
        <f>+VLOOKUP(A250,COMISIONES!$C$2:$AR$33,42,0)</f>
        <v>30</v>
      </c>
      <c r="O250" s="53">
        <f t="shared" si="3"/>
        <v>30</v>
      </c>
      <c r="P250" s="7">
        <f>+VLOOKUP(A250,COMISIONES!$C$2:$C$33,1,0)</f>
        <v>20009690</v>
      </c>
    </row>
    <row r="251" spans="1:16" hidden="1">
      <c r="A251" s="98">
        <v>20010766</v>
      </c>
      <c r="B251" s="98">
        <v>1</v>
      </c>
      <c r="C251" s="98" t="s">
        <v>55</v>
      </c>
      <c r="D251" s="98"/>
      <c r="E251" s="213">
        <v>45139</v>
      </c>
      <c r="F251" s="98" t="s">
        <v>2153</v>
      </c>
      <c r="G251" s="140" t="s">
        <v>2154</v>
      </c>
      <c r="H251" s="83"/>
      <c r="I251" s="140" t="s">
        <v>3511</v>
      </c>
      <c r="J251" s="98">
        <v>98080</v>
      </c>
      <c r="K251" s="98" t="s">
        <v>51</v>
      </c>
      <c r="L251" s="98" t="s">
        <v>80</v>
      </c>
      <c r="M251" s="98" t="s">
        <v>40</v>
      </c>
      <c r="N251" s="237">
        <f>+VLOOKUP(A251,COMISIONES!$C$2:$AR$33,42,0)</f>
        <v>10</v>
      </c>
      <c r="O251" s="53">
        <f t="shared" si="3"/>
        <v>10</v>
      </c>
      <c r="P251" s="7">
        <f>+VLOOKUP(A251,COMISIONES!$C$2:$C$33,1,0)</f>
        <v>20010766</v>
      </c>
    </row>
    <row r="252" spans="1:16" hidden="1">
      <c r="A252" s="98">
        <v>20004161</v>
      </c>
      <c r="B252" s="98">
        <v>1</v>
      </c>
      <c r="C252" s="98" t="s">
        <v>55</v>
      </c>
      <c r="D252" s="98"/>
      <c r="E252" s="213">
        <v>45139</v>
      </c>
      <c r="F252" s="98" t="s">
        <v>2102</v>
      </c>
      <c r="G252" s="140" t="s">
        <v>2103</v>
      </c>
      <c r="H252" s="98"/>
      <c r="I252" s="140" t="s">
        <v>3488</v>
      </c>
      <c r="J252" s="98">
        <v>98019</v>
      </c>
      <c r="K252" s="98" t="s">
        <v>49</v>
      </c>
      <c r="L252" s="98" t="s">
        <v>80</v>
      </c>
      <c r="M252" s="98" t="s">
        <v>40</v>
      </c>
      <c r="N252" s="237">
        <f>+VLOOKUP(A252,COMISIONES!$C$2:$AR$33,42,0)</f>
        <v>32.5</v>
      </c>
      <c r="O252" s="53">
        <f t="shared" si="3"/>
        <v>32.5</v>
      </c>
      <c r="P252" s="7">
        <f>+VLOOKUP(A252,COMISIONES!$C$2:$C$33,1,0)</f>
        <v>20004161</v>
      </c>
    </row>
    <row r="253" spans="1:16" hidden="1">
      <c r="A253" s="98">
        <v>20009592</v>
      </c>
      <c r="B253" s="98">
        <v>1</v>
      </c>
      <c r="C253" s="98" t="s">
        <v>55</v>
      </c>
      <c r="D253" s="98"/>
      <c r="E253" s="213">
        <v>45139</v>
      </c>
      <c r="F253" s="98" t="s">
        <v>2099</v>
      </c>
      <c r="G253" s="140" t="s">
        <v>2100</v>
      </c>
      <c r="H253" s="98"/>
      <c r="I253" s="140" t="s">
        <v>3489</v>
      </c>
      <c r="J253" s="98">
        <v>98076</v>
      </c>
      <c r="K253" s="98" t="s">
        <v>52</v>
      </c>
      <c r="L253" s="98" t="s">
        <v>80</v>
      </c>
      <c r="M253" s="98" t="s">
        <v>40</v>
      </c>
      <c r="N253" s="237">
        <f>+VLOOKUP(A253,COMISIONES!$C$2:$AR$33,42,0)</f>
        <v>10</v>
      </c>
      <c r="O253" s="53">
        <f t="shared" si="3"/>
        <v>10</v>
      </c>
      <c r="P253" s="7">
        <f>+VLOOKUP(A253,COMISIONES!$C$2:$C$33,1,0)</f>
        <v>20009592</v>
      </c>
    </row>
    <row r="254" spans="1:16" hidden="1">
      <c r="A254" s="98">
        <v>20002708</v>
      </c>
      <c r="B254" s="98">
        <v>1</v>
      </c>
      <c r="C254" s="98" t="s">
        <v>55</v>
      </c>
      <c r="D254" s="98"/>
      <c r="E254" s="213">
        <v>45139</v>
      </c>
      <c r="F254" s="98" t="s">
        <v>1991</v>
      </c>
      <c r="G254" s="140" t="s">
        <v>1992</v>
      </c>
      <c r="H254" s="8"/>
      <c r="I254" s="140" t="s">
        <v>3477</v>
      </c>
      <c r="J254" s="98">
        <v>98021</v>
      </c>
      <c r="K254" s="98" t="s">
        <v>49</v>
      </c>
      <c r="L254" s="98" t="s">
        <v>80</v>
      </c>
      <c r="M254" s="98" t="s">
        <v>40</v>
      </c>
      <c r="N254" s="237">
        <f>+VLOOKUP(A254,COMISIONES!$C$2:$AR$33,42,0)</f>
        <v>15</v>
      </c>
      <c r="O254" s="53">
        <f t="shared" si="3"/>
        <v>15</v>
      </c>
      <c r="P254" s="7">
        <f>+VLOOKUP(A254,COMISIONES!$C$2:$C$33,1,0)</f>
        <v>20002708</v>
      </c>
    </row>
    <row r="255" spans="1:16" hidden="1">
      <c r="A255" s="98">
        <v>20008700</v>
      </c>
      <c r="B255" s="98">
        <v>1</v>
      </c>
      <c r="C255" s="98" t="s">
        <v>55</v>
      </c>
      <c r="D255" s="98"/>
      <c r="E255" s="213">
        <v>45139</v>
      </c>
      <c r="F255" s="98" t="s">
        <v>1920</v>
      </c>
      <c r="G255" s="140" t="s">
        <v>1921</v>
      </c>
      <c r="H255" s="98"/>
      <c r="I255" s="140" t="s">
        <v>3466</v>
      </c>
      <c r="J255" s="98">
        <v>98056</v>
      </c>
      <c r="K255" s="98" t="s">
        <v>50</v>
      </c>
      <c r="L255" s="98" t="s">
        <v>80</v>
      </c>
      <c r="M255" s="98" t="s">
        <v>40</v>
      </c>
      <c r="N255" s="237">
        <f>+VLOOKUP(A255,COMISIONES!$C$2:$AR$33,42,0)</f>
        <v>10</v>
      </c>
      <c r="O255" s="53">
        <f t="shared" si="3"/>
        <v>10</v>
      </c>
      <c r="P255" s="7">
        <f>+VLOOKUP(A255,COMISIONES!$C$2:$C$33,1,0)</f>
        <v>20008700</v>
      </c>
    </row>
    <row r="256" spans="1:16" hidden="1">
      <c r="A256" s="98">
        <v>20009690</v>
      </c>
      <c r="B256" s="98">
        <v>1</v>
      </c>
      <c r="C256" s="98" t="s">
        <v>55</v>
      </c>
      <c r="D256" s="98"/>
      <c r="E256" s="213">
        <v>45139</v>
      </c>
      <c r="F256" s="98" t="s">
        <v>1899</v>
      </c>
      <c r="G256" s="140" t="s">
        <v>1900</v>
      </c>
      <c r="H256" s="8"/>
      <c r="I256" s="140" t="s">
        <v>3456</v>
      </c>
      <c r="J256" s="98">
        <v>98068</v>
      </c>
      <c r="K256" s="98" t="s">
        <v>49</v>
      </c>
      <c r="L256" s="98" t="s">
        <v>80</v>
      </c>
      <c r="M256" s="98" t="s">
        <v>40</v>
      </c>
      <c r="N256" s="237">
        <f>+VLOOKUP(A256,COMISIONES!$C$2:$AR$33,42,0)</f>
        <v>30</v>
      </c>
      <c r="O256" s="53">
        <f t="shared" si="3"/>
        <v>30</v>
      </c>
      <c r="P256" s="7">
        <f>+VLOOKUP(A256,COMISIONES!$C$2:$C$33,1,0)</f>
        <v>20009690</v>
      </c>
    </row>
    <row r="257" spans="1:16" hidden="1">
      <c r="A257" s="98">
        <v>20007726</v>
      </c>
      <c r="B257" s="98">
        <v>1</v>
      </c>
      <c r="C257" s="98" t="s">
        <v>55</v>
      </c>
      <c r="D257" s="98"/>
      <c r="E257" s="213">
        <v>45139</v>
      </c>
      <c r="F257" s="98" t="s">
        <v>1773</v>
      </c>
      <c r="G257" s="140" t="s">
        <v>1774</v>
      </c>
      <c r="H257" s="98"/>
      <c r="I257" s="140" t="s">
        <v>3438</v>
      </c>
      <c r="J257" s="98">
        <v>98051</v>
      </c>
      <c r="K257" s="98" t="s">
        <v>49</v>
      </c>
      <c r="L257" s="98" t="s">
        <v>80</v>
      </c>
      <c r="M257" s="98" t="s">
        <v>40</v>
      </c>
      <c r="N257" s="237">
        <f>+VLOOKUP(A257,COMISIONES!$C$2:$AR$33,42,0)</f>
        <v>30</v>
      </c>
      <c r="O257" s="53">
        <f t="shared" si="3"/>
        <v>30</v>
      </c>
      <c r="P257" s="7">
        <f>+VLOOKUP(A257,COMISIONES!$C$2:$C$33,1,0)</f>
        <v>20007726</v>
      </c>
    </row>
    <row r="258" spans="1:16" hidden="1">
      <c r="A258" s="98">
        <v>20007726</v>
      </c>
      <c r="B258" s="98">
        <v>1</v>
      </c>
      <c r="C258" s="98" t="s">
        <v>55</v>
      </c>
      <c r="D258" s="98"/>
      <c r="E258" s="213">
        <v>45139</v>
      </c>
      <c r="F258" s="98" t="s">
        <v>1705</v>
      </c>
      <c r="G258" s="140" t="s">
        <v>1706</v>
      </c>
      <c r="H258" s="98"/>
      <c r="I258" s="140" t="s">
        <v>3421</v>
      </c>
      <c r="J258" s="98">
        <v>98051</v>
      </c>
      <c r="K258" s="98" t="s">
        <v>49</v>
      </c>
      <c r="L258" s="98" t="s">
        <v>80</v>
      </c>
      <c r="M258" s="98" t="s">
        <v>40</v>
      </c>
      <c r="N258" s="237">
        <f>+VLOOKUP(A258,COMISIONES!$C$2:$AR$33,42,0)</f>
        <v>30</v>
      </c>
      <c r="O258" s="53">
        <f t="shared" ref="O258:O321" si="4">N258*B258</f>
        <v>30</v>
      </c>
      <c r="P258" s="7">
        <f>+VLOOKUP(A258,COMISIONES!$C$2:$C$33,1,0)</f>
        <v>20007726</v>
      </c>
    </row>
    <row r="259" spans="1:16" hidden="1">
      <c r="A259" s="98">
        <v>20008700</v>
      </c>
      <c r="B259" s="98">
        <v>1</v>
      </c>
      <c r="C259" s="98" t="s">
        <v>55</v>
      </c>
      <c r="D259" s="98"/>
      <c r="E259" s="213">
        <v>45139</v>
      </c>
      <c r="F259" s="98" t="s">
        <v>1615</v>
      </c>
      <c r="G259" s="140" t="s">
        <v>1616</v>
      </c>
      <c r="H259" s="98"/>
      <c r="I259" s="140" t="s">
        <v>3410</v>
      </c>
      <c r="J259" s="98">
        <v>98056</v>
      </c>
      <c r="K259" s="98" t="s">
        <v>50</v>
      </c>
      <c r="L259" s="98" t="s">
        <v>80</v>
      </c>
      <c r="M259" s="98" t="s">
        <v>40</v>
      </c>
      <c r="N259" s="237">
        <f>+VLOOKUP(A259,COMISIONES!$C$2:$AR$33,42,0)</f>
        <v>10</v>
      </c>
      <c r="O259" s="53">
        <f t="shared" si="4"/>
        <v>10</v>
      </c>
      <c r="P259" s="7">
        <f>+VLOOKUP(A259,COMISIONES!$C$2:$C$33,1,0)</f>
        <v>20008700</v>
      </c>
    </row>
    <row r="260" spans="1:16" hidden="1">
      <c r="A260" s="98">
        <v>20006233</v>
      </c>
      <c r="B260" s="98">
        <v>1</v>
      </c>
      <c r="C260" s="98" t="s">
        <v>55</v>
      </c>
      <c r="D260" s="98"/>
      <c r="E260" s="213">
        <v>45139</v>
      </c>
      <c r="F260" s="98" t="s">
        <v>1543</v>
      </c>
      <c r="G260" s="140" t="s">
        <v>1544</v>
      </c>
      <c r="H260" s="98"/>
      <c r="I260" s="140" t="s">
        <v>3399</v>
      </c>
      <c r="J260" s="98">
        <v>98008</v>
      </c>
      <c r="K260" s="98" t="s">
        <v>52</v>
      </c>
      <c r="L260" s="98" t="s">
        <v>80</v>
      </c>
      <c r="M260" s="98" t="s">
        <v>40</v>
      </c>
      <c r="N260" s="237">
        <f>+VLOOKUP(A260,COMISIONES!$C$2:$AR$33,42,0)</f>
        <v>15</v>
      </c>
      <c r="O260" s="53">
        <f t="shared" si="4"/>
        <v>15</v>
      </c>
      <c r="P260" s="7">
        <f>+VLOOKUP(A260,COMISIONES!$C$2:$C$33,1,0)</f>
        <v>20006233</v>
      </c>
    </row>
    <row r="261" spans="1:16" hidden="1">
      <c r="A261" s="98">
        <v>20010262</v>
      </c>
      <c r="B261" s="98">
        <v>1</v>
      </c>
      <c r="C261" s="98" t="s">
        <v>55</v>
      </c>
      <c r="D261" s="98"/>
      <c r="E261" s="213">
        <v>45139</v>
      </c>
      <c r="F261" s="98" t="s">
        <v>1537</v>
      </c>
      <c r="G261" s="140" t="s">
        <v>1538</v>
      </c>
      <c r="H261" s="98"/>
      <c r="I261" s="140" t="s">
        <v>3395</v>
      </c>
      <c r="J261" s="98">
        <v>98073</v>
      </c>
      <c r="K261" s="98" t="s">
        <v>52</v>
      </c>
      <c r="L261" s="98" t="s">
        <v>80</v>
      </c>
      <c r="M261" s="98" t="s">
        <v>40</v>
      </c>
      <c r="N261" s="237">
        <f>+VLOOKUP(A261,COMISIONES!$C$2:$AR$33,42,0)</f>
        <v>15</v>
      </c>
      <c r="O261" s="53">
        <f t="shared" si="4"/>
        <v>15</v>
      </c>
      <c r="P261" s="7">
        <f>+VLOOKUP(A261,COMISIONES!$C$2:$C$33,1,0)</f>
        <v>20010262</v>
      </c>
    </row>
    <row r="262" spans="1:16" hidden="1">
      <c r="A262" s="98">
        <v>20007352</v>
      </c>
      <c r="B262" s="98">
        <v>1</v>
      </c>
      <c r="C262" s="98" t="s">
        <v>55</v>
      </c>
      <c r="D262" s="98"/>
      <c r="E262" s="213">
        <v>45139</v>
      </c>
      <c r="F262" s="98" t="s">
        <v>1477</v>
      </c>
      <c r="G262" s="140" t="s">
        <v>1478</v>
      </c>
      <c r="H262" s="83"/>
      <c r="I262" s="140" t="s">
        <v>3390</v>
      </c>
      <c r="J262" s="98">
        <v>98034</v>
      </c>
      <c r="K262" s="98" t="s">
        <v>52</v>
      </c>
      <c r="L262" s="98" t="s">
        <v>80</v>
      </c>
      <c r="M262" s="98" t="s">
        <v>40</v>
      </c>
      <c r="N262" s="237">
        <f>+VLOOKUP(A262,COMISIONES!$C$2:$AR$33,42,0)</f>
        <v>15</v>
      </c>
      <c r="O262" s="53">
        <f t="shared" si="4"/>
        <v>15</v>
      </c>
      <c r="P262" s="7">
        <f>+VLOOKUP(A262,COMISIONES!$C$2:$C$33,1,0)</f>
        <v>20007352</v>
      </c>
    </row>
    <row r="263" spans="1:16" hidden="1">
      <c r="A263" s="98">
        <v>20009174</v>
      </c>
      <c r="B263" s="98">
        <v>1</v>
      </c>
      <c r="C263" s="98" t="s">
        <v>55</v>
      </c>
      <c r="D263" s="98"/>
      <c r="E263" s="213">
        <v>45139</v>
      </c>
      <c r="F263" s="98" t="s">
        <v>1461</v>
      </c>
      <c r="G263" s="140" t="s">
        <v>1462</v>
      </c>
      <c r="H263" s="98"/>
      <c r="I263" s="140" t="s">
        <v>3389</v>
      </c>
      <c r="J263" s="98">
        <v>98064</v>
      </c>
      <c r="K263" s="98" t="s">
        <v>52</v>
      </c>
      <c r="L263" s="98" t="s">
        <v>80</v>
      </c>
      <c r="M263" s="98" t="s">
        <v>40</v>
      </c>
      <c r="N263" s="237">
        <f>+VLOOKUP(A263,COMISIONES!$C$2:$AR$33,42,0)</f>
        <v>20</v>
      </c>
      <c r="O263" s="53">
        <f t="shared" si="4"/>
        <v>20</v>
      </c>
      <c r="P263" s="7">
        <f>+VLOOKUP(A263,COMISIONES!$C$2:$C$33,1,0)</f>
        <v>20009174</v>
      </c>
    </row>
    <row r="264" spans="1:16" hidden="1">
      <c r="A264" s="98">
        <v>20004566</v>
      </c>
      <c r="B264" s="98">
        <v>1</v>
      </c>
      <c r="C264" s="98" t="s">
        <v>55</v>
      </c>
      <c r="D264" s="98"/>
      <c r="E264" s="213">
        <v>45139</v>
      </c>
      <c r="F264" s="98" t="s">
        <v>1348</v>
      </c>
      <c r="G264" s="140" t="s">
        <v>1349</v>
      </c>
      <c r="H264" s="83"/>
      <c r="I264" s="140" t="s">
        <v>3370</v>
      </c>
      <c r="J264" s="98">
        <v>98023</v>
      </c>
      <c r="K264" s="98" t="s">
        <v>50</v>
      </c>
      <c r="L264" s="98" t="s">
        <v>80</v>
      </c>
      <c r="M264" s="98" t="s">
        <v>40</v>
      </c>
      <c r="N264" s="237">
        <f>+VLOOKUP(A264,COMISIONES!$C$2:$AR$33,42,0)</f>
        <v>20</v>
      </c>
      <c r="O264" s="53">
        <f t="shared" si="4"/>
        <v>20</v>
      </c>
      <c r="P264" s="7">
        <f>+VLOOKUP(A264,COMISIONES!$C$2:$C$33,1,0)</f>
        <v>20004566</v>
      </c>
    </row>
    <row r="265" spans="1:16" hidden="1">
      <c r="A265" s="98">
        <v>20007726</v>
      </c>
      <c r="B265" s="98">
        <v>1</v>
      </c>
      <c r="C265" s="98" t="s">
        <v>55</v>
      </c>
      <c r="D265" s="98"/>
      <c r="E265" s="213">
        <v>45139</v>
      </c>
      <c r="F265" s="98" t="s">
        <v>1324</v>
      </c>
      <c r="G265" s="140" t="s">
        <v>1325</v>
      </c>
      <c r="H265" s="98"/>
      <c r="I265" s="140" t="s">
        <v>3371</v>
      </c>
      <c r="J265" s="98">
        <v>98051</v>
      </c>
      <c r="K265" s="98" t="s">
        <v>49</v>
      </c>
      <c r="L265" s="98" t="s">
        <v>80</v>
      </c>
      <c r="M265" s="98" t="s">
        <v>40</v>
      </c>
      <c r="N265" s="237">
        <f>+VLOOKUP(A265,COMISIONES!$C$2:$AR$33,42,0)</f>
        <v>30</v>
      </c>
      <c r="O265" s="53">
        <f t="shared" si="4"/>
        <v>30</v>
      </c>
      <c r="P265" s="7">
        <f>+VLOOKUP(A265,COMISIONES!$C$2:$C$33,1,0)</f>
        <v>20007726</v>
      </c>
    </row>
    <row r="266" spans="1:16" hidden="1">
      <c r="A266" s="98">
        <v>20006893</v>
      </c>
      <c r="B266" s="98">
        <v>1</v>
      </c>
      <c r="C266" s="98" t="s">
        <v>55</v>
      </c>
      <c r="D266" s="98"/>
      <c r="E266" s="213">
        <v>45139</v>
      </c>
      <c r="F266" s="98" t="s">
        <v>1157</v>
      </c>
      <c r="G266" s="140" t="s">
        <v>1158</v>
      </c>
      <c r="H266" s="98"/>
      <c r="I266" s="140" t="s">
        <v>3344</v>
      </c>
      <c r="J266" s="98">
        <v>98071</v>
      </c>
      <c r="K266" s="98" t="s">
        <v>51</v>
      </c>
      <c r="L266" s="98" t="s">
        <v>80</v>
      </c>
      <c r="M266" s="98" t="s">
        <v>40</v>
      </c>
      <c r="N266" s="237">
        <f>+VLOOKUP(A266,COMISIONES!$C$2:$AR$33,42,0)</f>
        <v>15</v>
      </c>
      <c r="O266" s="53">
        <f t="shared" si="4"/>
        <v>15</v>
      </c>
      <c r="P266" s="7">
        <f>+VLOOKUP(A266,COMISIONES!$C$2:$C$33,1,0)</f>
        <v>20006893</v>
      </c>
    </row>
    <row r="267" spans="1:16" hidden="1">
      <c r="A267" s="98">
        <v>20004638</v>
      </c>
      <c r="B267" s="98">
        <v>1</v>
      </c>
      <c r="C267" s="98" t="s">
        <v>55</v>
      </c>
      <c r="D267" s="98"/>
      <c r="E267" s="213">
        <v>45139</v>
      </c>
      <c r="F267" s="98" t="s">
        <v>1211</v>
      </c>
      <c r="G267" s="140" t="s">
        <v>1212</v>
      </c>
      <c r="H267" s="98"/>
      <c r="I267" s="140" t="s">
        <v>3347</v>
      </c>
      <c r="J267" s="98">
        <v>98009</v>
      </c>
      <c r="K267" s="98" t="s">
        <v>51</v>
      </c>
      <c r="L267" s="98" t="s">
        <v>80</v>
      </c>
      <c r="M267" s="98" t="s">
        <v>40</v>
      </c>
      <c r="N267" s="237">
        <f>+VLOOKUP(A267,COMISIONES!$C$2:$AR$33,42,0)</f>
        <v>10</v>
      </c>
      <c r="O267" s="53">
        <f t="shared" si="4"/>
        <v>10</v>
      </c>
      <c r="P267" s="7">
        <f>+VLOOKUP(A267,COMISIONES!$C$2:$C$33,1,0)</f>
        <v>20004638</v>
      </c>
    </row>
    <row r="268" spans="1:16" hidden="1">
      <c r="A268" s="98">
        <v>20006233</v>
      </c>
      <c r="B268" s="98">
        <v>1</v>
      </c>
      <c r="C268" s="98" t="s">
        <v>55</v>
      </c>
      <c r="D268" s="98"/>
      <c r="E268" s="213">
        <v>45139</v>
      </c>
      <c r="F268" s="98" t="s">
        <v>1079</v>
      </c>
      <c r="G268" s="140" t="s">
        <v>1080</v>
      </c>
      <c r="H268" s="98"/>
      <c r="I268" s="140" t="s">
        <v>3329</v>
      </c>
      <c r="J268" s="98">
        <v>98008</v>
      </c>
      <c r="K268" s="98" t="s">
        <v>52</v>
      </c>
      <c r="L268" s="98" t="s">
        <v>80</v>
      </c>
      <c r="M268" s="98" t="s">
        <v>40</v>
      </c>
      <c r="N268" s="237">
        <f>+VLOOKUP(A268,COMISIONES!$C$2:$AR$33,42,0)</f>
        <v>15</v>
      </c>
      <c r="O268" s="53">
        <f t="shared" si="4"/>
        <v>15</v>
      </c>
      <c r="P268" s="7">
        <f>+VLOOKUP(A268,COMISIONES!$C$2:$C$33,1,0)</f>
        <v>20006233</v>
      </c>
    </row>
    <row r="269" spans="1:16" hidden="1">
      <c r="A269" s="98">
        <v>20009690</v>
      </c>
      <c r="B269" s="98">
        <v>1</v>
      </c>
      <c r="C269" s="98" t="s">
        <v>55</v>
      </c>
      <c r="D269" s="98"/>
      <c r="E269" s="213">
        <v>45139</v>
      </c>
      <c r="F269" s="98" t="s">
        <v>991</v>
      </c>
      <c r="G269" s="140" t="s">
        <v>992</v>
      </c>
      <c r="H269" s="98"/>
      <c r="I269" s="140" t="s">
        <v>3321</v>
      </c>
      <c r="J269" s="98">
        <v>98068</v>
      </c>
      <c r="K269" s="98" t="s">
        <v>49</v>
      </c>
      <c r="L269" s="98" t="s">
        <v>80</v>
      </c>
      <c r="M269" s="98" t="s">
        <v>40</v>
      </c>
      <c r="N269" s="237">
        <f>+VLOOKUP(A269,COMISIONES!$C$2:$AR$33,42,0)</f>
        <v>30</v>
      </c>
      <c r="O269" s="53">
        <f t="shared" si="4"/>
        <v>30</v>
      </c>
      <c r="P269" s="7">
        <f>+VLOOKUP(A269,COMISIONES!$C$2:$C$33,1,0)</f>
        <v>20009690</v>
      </c>
    </row>
    <row r="270" spans="1:16" hidden="1">
      <c r="A270" s="98">
        <v>20009592</v>
      </c>
      <c r="B270" s="98">
        <v>1</v>
      </c>
      <c r="C270" s="98" t="s">
        <v>55</v>
      </c>
      <c r="D270" s="98"/>
      <c r="E270" s="213">
        <v>45139</v>
      </c>
      <c r="F270" s="98" t="s">
        <v>1012</v>
      </c>
      <c r="G270" s="140" t="s">
        <v>1013</v>
      </c>
      <c r="H270" s="98"/>
      <c r="I270" s="140" t="s">
        <v>3319</v>
      </c>
      <c r="J270" s="98">
        <v>98076</v>
      </c>
      <c r="K270" s="98" t="s">
        <v>52</v>
      </c>
      <c r="L270" s="98" t="s">
        <v>80</v>
      </c>
      <c r="M270" s="98" t="s">
        <v>40</v>
      </c>
      <c r="N270" s="237">
        <f>+VLOOKUP(A270,COMISIONES!$C$2:$AR$33,42,0)</f>
        <v>10</v>
      </c>
      <c r="O270" s="53">
        <f t="shared" si="4"/>
        <v>10</v>
      </c>
      <c r="P270" s="7">
        <f>+VLOOKUP(A270,COMISIONES!$C$2:$C$33,1,0)</f>
        <v>20009592</v>
      </c>
    </row>
    <row r="271" spans="1:16" hidden="1">
      <c r="A271" s="98">
        <v>20008625</v>
      </c>
      <c r="B271" s="98">
        <v>1</v>
      </c>
      <c r="C271" s="98" t="s">
        <v>55</v>
      </c>
      <c r="D271" s="98"/>
      <c r="E271" s="213">
        <v>45139</v>
      </c>
      <c r="F271" s="98" t="s">
        <v>933</v>
      </c>
      <c r="G271" s="140" t="s">
        <v>934</v>
      </c>
      <c r="H271" s="98"/>
      <c r="I271" s="140" t="s">
        <v>3314</v>
      </c>
      <c r="J271" s="98">
        <v>98053</v>
      </c>
      <c r="K271" s="98" t="s">
        <v>49</v>
      </c>
      <c r="L271" s="98" t="s">
        <v>80</v>
      </c>
      <c r="M271" s="98" t="s">
        <v>40</v>
      </c>
      <c r="N271" s="237">
        <f>+VLOOKUP(A271,COMISIONES!$C$2:$AR$33,42,0)</f>
        <v>10</v>
      </c>
      <c r="O271" s="53">
        <f t="shared" si="4"/>
        <v>10</v>
      </c>
      <c r="P271" s="7">
        <f>+VLOOKUP(A271,COMISIONES!$C$2:$C$33,1,0)</f>
        <v>20008625</v>
      </c>
    </row>
    <row r="272" spans="1:16" hidden="1">
      <c r="A272" s="98">
        <v>20008625</v>
      </c>
      <c r="B272" s="98">
        <v>1</v>
      </c>
      <c r="C272" s="98" t="s">
        <v>55</v>
      </c>
      <c r="D272" s="98"/>
      <c r="E272" s="213">
        <v>45139</v>
      </c>
      <c r="F272" s="98" t="s">
        <v>2594</v>
      </c>
      <c r="G272" s="140" t="s">
        <v>2595</v>
      </c>
      <c r="H272" s="98"/>
      <c r="I272" s="140" t="s">
        <v>3556</v>
      </c>
      <c r="J272" s="98">
        <v>98053</v>
      </c>
      <c r="K272" s="98" t="s">
        <v>49</v>
      </c>
      <c r="L272" s="98" t="s">
        <v>80</v>
      </c>
      <c r="M272" s="98" t="s">
        <v>40</v>
      </c>
      <c r="N272" s="237">
        <f>+VLOOKUP(A272,COMISIONES!$C$2:$AR$33,42,0)</f>
        <v>10</v>
      </c>
      <c r="O272" s="53">
        <f t="shared" si="4"/>
        <v>10</v>
      </c>
      <c r="P272" s="7">
        <f>+VLOOKUP(A272,COMISIONES!$C$2:$C$33,1,0)</f>
        <v>20008625</v>
      </c>
    </row>
    <row r="273" spans="1:16" hidden="1">
      <c r="A273" s="98">
        <v>20004161</v>
      </c>
      <c r="B273" s="98">
        <v>1</v>
      </c>
      <c r="C273" s="98" t="s">
        <v>55</v>
      </c>
      <c r="D273" s="98"/>
      <c r="E273" s="213">
        <v>45139</v>
      </c>
      <c r="F273" s="98" t="s">
        <v>2555</v>
      </c>
      <c r="G273" s="140" t="s">
        <v>2556</v>
      </c>
      <c r="H273" s="8"/>
      <c r="I273" s="140" t="s">
        <v>3555</v>
      </c>
      <c r="J273" s="98">
        <v>98019</v>
      </c>
      <c r="K273" s="98" t="s">
        <v>49</v>
      </c>
      <c r="L273" s="98" t="s">
        <v>80</v>
      </c>
      <c r="M273" s="98" t="s">
        <v>40</v>
      </c>
      <c r="N273" s="237">
        <f>+VLOOKUP(A273,COMISIONES!$C$2:$AR$33,42,0)</f>
        <v>32.5</v>
      </c>
      <c r="O273" s="53">
        <f t="shared" si="4"/>
        <v>32.5</v>
      </c>
      <c r="P273" s="7">
        <f>+VLOOKUP(A273,COMISIONES!$C$2:$C$33,1,0)</f>
        <v>20004161</v>
      </c>
    </row>
    <row r="274" spans="1:16" hidden="1">
      <c r="A274" s="98">
        <v>20010766</v>
      </c>
      <c r="B274" s="98">
        <v>1</v>
      </c>
      <c r="C274" s="98" t="s">
        <v>55</v>
      </c>
      <c r="D274" s="98"/>
      <c r="E274" s="213">
        <v>45139</v>
      </c>
      <c r="F274" s="98" t="s">
        <v>2027</v>
      </c>
      <c r="G274" s="140" t="s">
        <v>2028</v>
      </c>
      <c r="H274" s="98"/>
      <c r="I274" s="140" t="s">
        <v>3483</v>
      </c>
      <c r="J274" s="98">
        <v>98080</v>
      </c>
      <c r="K274" s="98" t="s">
        <v>51</v>
      </c>
      <c r="L274" s="98" t="s">
        <v>80</v>
      </c>
      <c r="M274" s="98" t="s">
        <v>40</v>
      </c>
      <c r="N274" s="237">
        <f>+VLOOKUP(A274,COMISIONES!$C$2:$AR$33,42,0)</f>
        <v>10</v>
      </c>
      <c r="O274" s="53">
        <f t="shared" si="4"/>
        <v>10</v>
      </c>
      <c r="P274" s="7">
        <f>+VLOOKUP(A274,COMISIONES!$C$2:$C$33,1,0)</f>
        <v>20010766</v>
      </c>
    </row>
    <row r="275" spans="1:16" hidden="1">
      <c r="A275" s="98">
        <v>20004235</v>
      </c>
      <c r="B275" s="98">
        <v>1</v>
      </c>
      <c r="C275" s="98" t="s">
        <v>55</v>
      </c>
      <c r="D275" s="98"/>
      <c r="E275" s="213">
        <v>45139</v>
      </c>
      <c r="F275" s="98" t="s">
        <v>1860</v>
      </c>
      <c r="G275" s="140" t="s">
        <v>1861</v>
      </c>
      <c r="H275" s="98"/>
      <c r="I275" s="140" t="s">
        <v>3453</v>
      </c>
      <c r="J275" s="98">
        <v>98002</v>
      </c>
      <c r="K275" s="98" t="s">
        <v>49</v>
      </c>
      <c r="L275" s="98" t="s">
        <v>80</v>
      </c>
      <c r="M275" s="98" t="s">
        <v>40</v>
      </c>
      <c r="N275" s="237">
        <f>+VLOOKUP(A275,COMISIONES!$C$2:$AR$33,42,0)</f>
        <v>15</v>
      </c>
      <c r="O275" s="53">
        <f t="shared" si="4"/>
        <v>15</v>
      </c>
      <c r="P275" s="7">
        <f>+VLOOKUP(A275,COMISIONES!$C$2:$C$33,1,0)</f>
        <v>20004235</v>
      </c>
    </row>
    <row r="276" spans="1:16" hidden="1">
      <c r="A276" s="98">
        <v>20009690</v>
      </c>
      <c r="B276" s="98">
        <v>1</v>
      </c>
      <c r="C276" s="98" t="s">
        <v>55</v>
      </c>
      <c r="D276" s="98"/>
      <c r="E276" s="213">
        <v>45139</v>
      </c>
      <c r="F276" s="98" t="s">
        <v>1767</v>
      </c>
      <c r="G276" s="140" t="s">
        <v>1768</v>
      </c>
      <c r="H276" s="98"/>
      <c r="I276" s="140" t="s">
        <v>3437</v>
      </c>
      <c r="J276" s="98">
        <v>98068</v>
      </c>
      <c r="K276" s="98" t="s">
        <v>49</v>
      </c>
      <c r="L276" s="98" t="s">
        <v>80</v>
      </c>
      <c r="M276" s="98" t="s">
        <v>40</v>
      </c>
      <c r="N276" s="237">
        <f>+VLOOKUP(A276,COMISIONES!$C$2:$AR$33,42,0)</f>
        <v>30</v>
      </c>
      <c r="O276" s="53">
        <f t="shared" si="4"/>
        <v>30</v>
      </c>
      <c r="P276" s="7">
        <f>+VLOOKUP(A276,COMISIONES!$C$2:$C$33,1,0)</f>
        <v>20009690</v>
      </c>
    </row>
    <row r="277" spans="1:16" hidden="1">
      <c r="A277" s="98">
        <v>20009690</v>
      </c>
      <c r="B277" s="98">
        <v>1</v>
      </c>
      <c r="C277" s="98" t="s">
        <v>55</v>
      </c>
      <c r="D277" s="98"/>
      <c r="E277" s="213">
        <v>45139</v>
      </c>
      <c r="F277" s="98" t="s">
        <v>1552</v>
      </c>
      <c r="G277" s="140" t="s">
        <v>1553</v>
      </c>
      <c r="H277" s="98"/>
      <c r="I277" s="140" t="s">
        <v>3400</v>
      </c>
      <c r="J277" s="98">
        <v>98068</v>
      </c>
      <c r="K277" s="98" t="s">
        <v>49</v>
      </c>
      <c r="L277" s="98" t="s">
        <v>80</v>
      </c>
      <c r="M277" s="98" t="s">
        <v>40</v>
      </c>
      <c r="N277" s="237">
        <f>+VLOOKUP(A277,COMISIONES!$C$2:$AR$33,42,0)</f>
        <v>30</v>
      </c>
      <c r="O277" s="53">
        <f t="shared" si="4"/>
        <v>30</v>
      </c>
      <c r="P277" s="7">
        <f>+VLOOKUP(A277,COMISIONES!$C$2:$C$33,1,0)</f>
        <v>20009690</v>
      </c>
    </row>
    <row r="278" spans="1:16" hidden="1">
      <c r="A278" s="98">
        <v>20007020</v>
      </c>
      <c r="B278" s="98">
        <v>1</v>
      </c>
      <c r="C278" s="98" t="s">
        <v>55</v>
      </c>
      <c r="D278" s="98"/>
      <c r="E278" s="213">
        <v>45139</v>
      </c>
      <c r="F278" s="98" t="s">
        <v>1428</v>
      </c>
      <c r="G278" s="140" t="s">
        <v>1429</v>
      </c>
      <c r="H278" s="98"/>
      <c r="I278" s="140" t="s">
        <v>3382</v>
      </c>
      <c r="J278" s="98">
        <v>98047</v>
      </c>
      <c r="K278" s="98" t="s">
        <v>50</v>
      </c>
      <c r="L278" s="98" t="s">
        <v>80</v>
      </c>
      <c r="M278" s="98" t="s">
        <v>40</v>
      </c>
      <c r="N278" s="237">
        <f>+VLOOKUP(A278,COMISIONES!$C$2:$AR$33,42,0)</f>
        <v>10</v>
      </c>
      <c r="O278" s="53">
        <f t="shared" si="4"/>
        <v>10</v>
      </c>
      <c r="P278" s="7">
        <f>+VLOOKUP(A278,COMISIONES!$C$2:$C$33,1,0)</f>
        <v>20007020</v>
      </c>
    </row>
    <row r="279" spans="1:16" hidden="1">
      <c r="A279" s="98">
        <v>20008711</v>
      </c>
      <c r="B279" s="98">
        <v>1</v>
      </c>
      <c r="C279" s="98" t="s">
        <v>55</v>
      </c>
      <c r="D279" s="98"/>
      <c r="E279" s="213">
        <v>45139</v>
      </c>
      <c r="F279" s="98" t="s">
        <v>2915</v>
      </c>
      <c r="G279" s="140" t="s">
        <v>2916</v>
      </c>
      <c r="H279" s="98"/>
      <c r="I279" s="140" t="s">
        <v>3594</v>
      </c>
      <c r="J279" s="98">
        <v>98055</v>
      </c>
      <c r="K279" s="98" t="s">
        <v>50</v>
      </c>
      <c r="L279" s="98" t="s">
        <v>80</v>
      </c>
      <c r="M279" s="98" t="s">
        <v>40</v>
      </c>
      <c r="N279" s="237">
        <f>+VLOOKUP(A279,COMISIONES!$C$2:$AR$33,42,0)</f>
        <v>15</v>
      </c>
      <c r="O279" s="53">
        <f t="shared" si="4"/>
        <v>15</v>
      </c>
      <c r="P279" s="7">
        <f>+VLOOKUP(A279,COMISIONES!$C$2:$C$33,1,0)</f>
        <v>20008711</v>
      </c>
    </row>
    <row r="280" spans="1:16" hidden="1">
      <c r="A280" s="98">
        <v>20006360</v>
      </c>
      <c r="B280" s="98">
        <v>1</v>
      </c>
      <c r="C280" s="98" t="s">
        <v>55</v>
      </c>
      <c r="D280" s="98"/>
      <c r="E280" s="213">
        <v>45139</v>
      </c>
      <c r="F280" s="98" t="s">
        <v>2735</v>
      </c>
      <c r="G280" s="140" t="s">
        <v>2736</v>
      </c>
      <c r="H280" s="98"/>
      <c r="I280" s="140" t="s">
        <v>3578</v>
      </c>
      <c r="J280" s="98">
        <v>98012</v>
      </c>
      <c r="K280" s="98" t="s">
        <v>50</v>
      </c>
      <c r="L280" s="98" t="s">
        <v>80</v>
      </c>
      <c r="M280" s="98" t="s">
        <v>40</v>
      </c>
      <c r="N280" s="237">
        <f>+VLOOKUP(A280,COMISIONES!$C$2:$AR$33,42,0)</f>
        <v>10</v>
      </c>
      <c r="O280" s="53">
        <f t="shared" si="4"/>
        <v>10</v>
      </c>
      <c r="P280" s="7">
        <f>+VLOOKUP(A280,COMISIONES!$C$2:$C$33,1,0)</f>
        <v>20006360</v>
      </c>
    </row>
    <row r="281" spans="1:16" hidden="1">
      <c r="A281" s="98">
        <v>20010262</v>
      </c>
      <c r="B281" s="98">
        <v>1</v>
      </c>
      <c r="C281" s="98" t="s">
        <v>55</v>
      </c>
      <c r="D281" s="98"/>
      <c r="E281" s="213">
        <v>45139</v>
      </c>
      <c r="F281" s="98" t="s">
        <v>2666</v>
      </c>
      <c r="G281" s="140" t="s">
        <v>2667</v>
      </c>
      <c r="H281" s="98"/>
      <c r="I281" s="140" t="s">
        <v>3582</v>
      </c>
      <c r="J281" s="98">
        <v>98073</v>
      </c>
      <c r="K281" s="98" t="s">
        <v>52</v>
      </c>
      <c r="L281" s="98" t="s">
        <v>80</v>
      </c>
      <c r="M281" s="98" t="s">
        <v>40</v>
      </c>
      <c r="N281" s="237">
        <f>+VLOOKUP(A281,COMISIONES!$C$2:$AR$33,42,0)</f>
        <v>15</v>
      </c>
      <c r="O281" s="53">
        <f t="shared" si="4"/>
        <v>15</v>
      </c>
      <c r="P281" s="7">
        <f>+VLOOKUP(A281,COMISIONES!$C$2:$C$33,1,0)</f>
        <v>20010262</v>
      </c>
    </row>
    <row r="282" spans="1:16" hidden="1">
      <c r="A282" s="98">
        <v>20007726</v>
      </c>
      <c r="B282" s="98">
        <v>1</v>
      </c>
      <c r="C282" s="98" t="s">
        <v>55</v>
      </c>
      <c r="D282" s="98"/>
      <c r="E282" s="213">
        <v>45139</v>
      </c>
      <c r="F282" s="98" t="s">
        <v>2570</v>
      </c>
      <c r="G282" s="140" t="s">
        <v>2571</v>
      </c>
      <c r="H282" s="98"/>
      <c r="I282" s="140" t="s">
        <v>3557</v>
      </c>
      <c r="J282" s="98">
        <v>98051</v>
      </c>
      <c r="K282" s="98" t="s">
        <v>49</v>
      </c>
      <c r="L282" s="98" t="s">
        <v>80</v>
      </c>
      <c r="M282" s="98" t="s">
        <v>40</v>
      </c>
      <c r="N282" s="237">
        <f>+VLOOKUP(A282,COMISIONES!$C$2:$AR$33,42,0)</f>
        <v>30</v>
      </c>
      <c r="O282" s="53">
        <f t="shared" si="4"/>
        <v>30</v>
      </c>
      <c r="P282" s="7">
        <f>+VLOOKUP(A282,COMISIONES!$C$2:$C$33,1,0)</f>
        <v>20007726</v>
      </c>
    </row>
    <row r="283" spans="1:16" hidden="1">
      <c r="A283" s="98">
        <v>20008625</v>
      </c>
      <c r="B283" s="98">
        <v>1</v>
      </c>
      <c r="C283" s="98" t="s">
        <v>55</v>
      </c>
      <c r="D283" s="98"/>
      <c r="E283" s="213">
        <v>45139</v>
      </c>
      <c r="F283" s="98" t="s">
        <v>2465</v>
      </c>
      <c r="G283" s="140" t="s">
        <v>2466</v>
      </c>
      <c r="H283" s="98"/>
      <c r="I283" s="140" t="s">
        <v>3892</v>
      </c>
      <c r="J283" s="98">
        <v>98053</v>
      </c>
      <c r="K283" s="98" t="s">
        <v>49</v>
      </c>
      <c r="L283" s="98" t="s">
        <v>80</v>
      </c>
      <c r="M283" s="98" t="s">
        <v>40</v>
      </c>
      <c r="N283" s="237">
        <f>+VLOOKUP(A283,COMISIONES!$C$2:$AR$33,42,0)</f>
        <v>10</v>
      </c>
      <c r="O283" s="53">
        <f t="shared" si="4"/>
        <v>10</v>
      </c>
      <c r="P283" s="7">
        <f>+VLOOKUP(A283,COMISIONES!$C$2:$C$33,1,0)</f>
        <v>20008625</v>
      </c>
    </row>
    <row r="284" spans="1:16" hidden="1">
      <c r="A284" s="98">
        <v>20007726</v>
      </c>
      <c r="B284" s="98">
        <v>1</v>
      </c>
      <c r="C284" s="98" t="s">
        <v>55</v>
      </c>
      <c r="D284" s="98"/>
      <c r="E284" s="213">
        <v>45139</v>
      </c>
      <c r="F284" s="98" t="s">
        <v>2201</v>
      </c>
      <c r="G284" s="140" t="s">
        <v>2202</v>
      </c>
      <c r="H284" s="98"/>
      <c r="I284" s="140" t="s">
        <v>3510</v>
      </c>
      <c r="J284" s="98">
        <v>98051</v>
      </c>
      <c r="K284" s="98" t="s">
        <v>49</v>
      </c>
      <c r="L284" s="98" t="s">
        <v>80</v>
      </c>
      <c r="M284" s="98" t="s">
        <v>40</v>
      </c>
      <c r="N284" s="237">
        <f>+VLOOKUP(A284,COMISIONES!$C$2:$AR$33,42,0)</f>
        <v>30</v>
      </c>
      <c r="O284" s="53">
        <f t="shared" si="4"/>
        <v>30</v>
      </c>
      <c r="P284" s="7">
        <f>+VLOOKUP(A284,COMISIONES!$C$2:$C$33,1,0)</f>
        <v>20007726</v>
      </c>
    </row>
    <row r="285" spans="1:16" hidden="1">
      <c r="A285" s="98">
        <v>20008625</v>
      </c>
      <c r="B285" s="98">
        <v>1</v>
      </c>
      <c r="C285" s="98" t="s">
        <v>55</v>
      </c>
      <c r="D285" s="98"/>
      <c r="E285" s="213">
        <v>45139</v>
      </c>
      <c r="F285" s="98" t="s">
        <v>2165</v>
      </c>
      <c r="G285" s="140" t="s">
        <v>2166</v>
      </c>
      <c r="H285" s="98"/>
      <c r="I285" s="140" t="s">
        <v>3503</v>
      </c>
      <c r="J285" s="98">
        <v>98053</v>
      </c>
      <c r="K285" s="98" t="s">
        <v>49</v>
      </c>
      <c r="L285" s="98" t="s">
        <v>80</v>
      </c>
      <c r="M285" s="98" t="s">
        <v>40</v>
      </c>
      <c r="N285" s="237">
        <f>+VLOOKUP(A285,COMISIONES!$C$2:$AR$33,42,0)</f>
        <v>10</v>
      </c>
      <c r="O285" s="53">
        <f t="shared" si="4"/>
        <v>10</v>
      </c>
      <c r="P285" s="7">
        <f>+VLOOKUP(A285,COMISIONES!$C$2:$C$33,1,0)</f>
        <v>20008625</v>
      </c>
    </row>
    <row r="286" spans="1:16" hidden="1">
      <c r="A286" s="98">
        <v>20006893</v>
      </c>
      <c r="B286" s="98">
        <v>1</v>
      </c>
      <c r="C286" s="98" t="s">
        <v>55</v>
      </c>
      <c r="D286" s="98"/>
      <c r="E286" s="213">
        <v>45139</v>
      </c>
      <c r="F286" s="98" t="s">
        <v>2162</v>
      </c>
      <c r="G286" s="140" t="s">
        <v>2163</v>
      </c>
      <c r="H286" s="10"/>
      <c r="I286" s="140" t="s">
        <v>3504</v>
      </c>
      <c r="J286" s="98">
        <v>98071</v>
      </c>
      <c r="K286" s="98" t="s">
        <v>51</v>
      </c>
      <c r="L286" s="98" t="s">
        <v>80</v>
      </c>
      <c r="M286" s="98" t="s">
        <v>40</v>
      </c>
      <c r="N286" s="237">
        <f>+VLOOKUP(A286,COMISIONES!$C$2:$AR$33,42,0)</f>
        <v>15</v>
      </c>
      <c r="O286" s="53">
        <f t="shared" si="4"/>
        <v>15</v>
      </c>
      <c r="P286" s="7">
        <f>+VLOOKUP(A286,COMISIONES!$C$2:$C$33,1,0)</f>
        <v>20006893</v>
      </c>
    </row>
    <row r="287" spans="1:16" hidden="1">
      <c r="A287" s="98">
        <v>20010262</v>
      </c>
      <c r="B287" s="98">
        <v>1</v>
      </c>
      <c r="C287" s="98" t="s">
        <v>55</v>
      </c>
      <c r="D287" s="98"/>
      <c r="E287" s="213">
        <v>45139</v>
      </c>
      <c r="F287" s="98" t="s">
        <v>2075</v>
      </c>
      <c r="G287" s="140" t="s">
        <v>2076</v>
      </c>
      <c r="H287" s="98"/>
      <c r="I287" s="140" t="s">
        <v>3485</v>
      </c>
      <c r="J287" s="98">
        <v>98073</v>
      </c>
      <c r="K287" s="98" t="s">
        <v>52</v>
      </c>
      <c r="L287" s="98" t="s">
        <v>80</v>
      </c>
      <c r="M287" s="98" t="s">
        <v>40</v>
      </c>
      <c r="N287" s="237">
        <f>+VLOOKUP(A287,COMISIONES!$C$2:$AR$33,42,0)</f>
        <v>15</v>
      </c>
      <c r="O287" s="53">
        <f t="shared" si="4"/>
        <v>15</v>
      </c>
      <c r="P287" s="7">
        <f>+VLOOKUP(A287,COMISIONES!$C$2:$C$33,1,0)</f>
        <v>20010262</v>
      </c>
    </row>
    <row r="288" spans="1:16" hidden="1">
      <c r="A288" s="98">
        <v>20004235</v>
      </c>
      <c r="B288" s="98">
        <v>1</v>
      </c>
      <c r="C288" s="98" t="s">
        <v>55</v>
      </c>
      <c r="D288" s="98"/>
      <c r="E288" s="213">
        <v>45139</v>
      </c>
      <c r="F288" s="98" t="s">
        <v>1949</v>
      </c>
      <c r="G288" s="140" t="s">
        <v>1950</v>
      </c>
      <c r="H288" s="98"/>
      <c r="I288" s="140" t="s">
        <v>3474</v>
      </c>
      <c r="J288" s="98">
        <v>98002</v>
      </c>
      <c r="K288" s="98" t="s">
        <v>49</v>
      </c>
      <c r="L288" s="98" t="s">
        <v>80</v>
      </c>
      <c r="M288" s="98" t="s">
        <v>40</v>
      </c>
      <c r="N288" s="237">
        <f>+VLOOKUP(A288,COMISIONES!$C$2:$AR$33,42,0)</f>
        <v>15</v>
      </c>
      <c r="O288" s="53">
        <f t="shared" si="4"/>
        <v>15</v>
      </c>
      <c r="P288" s="7">
        <f>+VLOOKUP(A288,COMISIONES!$C$2:$C$33,1,0)</f>
        <v>20004235</v>
      </c>
    </row>
    <row r="289" spans="1:16" hidden="1">
      <c r="A289" s="98">
        <v>20009690</v>
      </c>
      <c r="B289" s="98">
        <v>1</v>
      </c>
      <c r="C289" s="98" t="s">
        <v>55</v>
      </c>
      <c r="D289" s="98"/>
      <c r="E289" s="213">
        <v>45139</v>
      </c>
      <c r="F289" s="98" t="s">
        <v>1926</v>
      </c>
      <c r="G289" s="140" t="s">
        <v>1927</v>
      </c>
      <c r="H289" s="8"/>
      <c r="I289" s="140" t="s">
        <v>3469</v>
      </c>
      <c r="J289" s="98">
        <v>98068</v>
      </c>
      <c r="K289" s="98" t="s">
        <v>49</v>
      </c>
      <c r="L289" s="98" t="s">
        <v>80</v>
      </c>
      <c r="M289" s="98" t="s">
        <v>40</v>
      </c>
      <c r="N289" s="237">
        <f>+VLOOKUP(A289,COMISIONES!$C$2:$AR$33,42,0)</f>
        <v>30</v>
      </c>
      <c r="O289" s="53">
        <f t="shared" si="4"/>
        <v>30</v>
      </c>
      <c r="P289" s="7">
        <f>+VLOOKUP(A289,COMISIONES!$C$2:$C$33,1,0)</f>
        <v>20009690</v>
      </c>
    </row>
    <row r="290" spans="1:16" hidden="1">
      <c r="A290" s="98">
        <v>20010101</v>
      </c>
      <c r="B290" s="98">
        <v>1</v>
      </c>
      <c r="C290" s="98" t="s">
        <v>55</v>
      </c>
      <c r="D290" s="98"/>
      <c r="E290" s="213">
        <v>45139</v>
      </c>
      <c r="F290" s="98" t="s">
        <v>1845</v>
      </c>
      <c r="G290" s="140" t="s">
        <v>1846</v>
      </c>
      <c r="H290" s="98"/>
      <c r="I290" s="140" t="s">
        <v>3454</v>
      </c>
      <c r="J290" s="98">
        <v>98072</v>
      </c>
      <c r="K290" s="98" t="s">
        <v>49</v>
      </c>
      <c r="L290" s="98" t="s">
        <v>80</v>
      </c>
      <c r="M290" s="98" t="s">
        <v>40</v>
      </c>
      <c r="N290" s="237">
        <f>+VLOOKUP(A290,COMISIONES!$C$2:$AR$33,42,0)</f>
        <v>30</v>
      </c>
      <c r="O290" s="53">
        <f t="shared" si="4"/>
        <v>30</v>
      </c>
      <c r="P290" s="7">
        <f>+VLOOKUP(A290,COMISIONES!$C$2:$C$33,1,0)</f>
        <v>20010101</v>
      </c>
    </row>
    <row r="291" spans="1:16" hidden="1">
      <c r="A291" s="98">
        <v>20007020</v>
      </c>
      <c r="B291" s="98">
        <v>1</v>
      </c>
      <c r="C291" s="98" t="s">
        <v>55</v>
      </c>
      <c r="D291" s="98"/>
      <c r="E291" s="213">
        <v>45139</v>
      </c>
      <c r="F291" s="98" t="s">
        <v>1678</v>
      </c>
      <c r="G291" s="140" t="s">
        <v>1679</v>
      </c>
      <c r="H291" s="98"/>
      <c r="I291" s="140" t="s">
        <v>3422</v>
      </c>
      <c r="J291" s="98">
        <v>98047</v>
      </c>
      <c r="K291" s="98" t="s">
        <v>50</v>
      </c>
      <c r="L291" s="98" t="s">
        <v>80</v>
      </c>
      <c r="M291" s="98" t="s">
        <v>40</v>
      </c>
      <c r="N291" s="237">
        <f>+VLOOKUP(A291,COMISIONES!$C$2:$AR$33,42,0)</f>
        <v>10</v>
      </c>
      <c r="O291" s="53">
        <f t="shared" si="4"/>
        <v>10</v>
      </c>
      <c r="P291" s="7">
        <f>+VLOOKUP(A291,COMISIONES!$C$2:$C$33,1,0)</f>
        <v>20007020</v>
      </c>
    </row>
    <row r="292" spans="1:16" hidden="1">
      <c r="A292" s="98">
        <v>20004638</v>
      </c>
      <c r="B292" s="98">
        <v>1</v>
      </c>
      <c r="C292" s="98" t="s">
        <v>55</v>
      </c>
      <c r="D292" s="98"/>
      <c r="E292" s="213">
        <v>45139</v>
      </c>
      <c r="F292" s="98" t="s">
        <v>1591</v>
      </c>
      <c r="G292" s="140" t="s">
        <v>1592</v>
      </c>
      <c r="H292" s="98"/>
      <c r="I292" s="140" t="s">
        <v>3409</v>
      </c>
      <c r="J292" s="98">
        <v>98009</v>
      </c>
      <c r="K292" s="98" t="s">
        <v>51</v>
      </c>
      <c r="L292" s="98" t="s">
        <v>80</v>
      </c>
      <c r="M292" s="98" t="s">
        <v>40</v>
      </c>
      <c r="N292" s="237">
        <f>+VLOOKUP(A292,COMISIONES!$C$2:$AR$33,42,0)</f>
        <v>10</v>
      </c>
      <c r="O292" s="53">
        <f t="shared" si="4"/>
        <v>10</v>
      </c>
      <c r="P292" s="7">
        <f>+VLOOKUP(A292,COMISIONES!$C$2:$C$33,1,0)</f>
        <v>20004638</v>
      </c>
    </row>
    <row r="293" spans="1:16" hidden="1">
      <c r="A293" s="98">
        <v>20000661</v>
      </c>
      <c r="B293" s="98">
        <v>1</v>
      </c>
      <c r="C293" s="98" t="s">
        <v>55</v>
      </c>
      <c r="D293" s="98"/>
      <c r="E293" s="213">
        <v>45139</v>
      </c>
      <c r="F293" s="98" t="s">
        <v>1504</v>
      </c>
      <c r="G293" s="140" t="s">
        <v>1505</v>
      </c>
      <c r="H293" s="98"/>
      <c r="I293" s="140" t="s">
        <v>3397</v>
      </c>
      <c r="J293" s="98">
        <v>98013</v>
      </c>
      <c r="K293" s="98" t="s">
        <v>51</v>
      </c>
      <c r="L293" s="98" t="s">
        <v>80</v>
      </c>
      <c r="M293" s="98" t="s">
        <v>40</v>
      </c>
      <c r="N293" s="237">
        <f>+VLOOKUP(A293,COMISIONES!$C$2:$AR$33,42,0)</f>
        <v>15</v>
      </c>
      <c r="O293" s="53">
        <f t="shared" si="4"/>
        <v>15</v>
      </c>
      <c r="P293" s="7">
        <f>+VLOOKUP(A293,COMISIONES!$C$2:$C$33,1,0)</f>
        <v>20000661</v>
      </c>
    </row>
    <row r="294" spans="1:16" hidden="1">
      <c r="A294" s="98">
        <v>20010262</v>
      </c>
      <c r="B294" s="98">
        <v>1</v>
      </c>
      <c r="C294" s="98" t="s">
        <v>55</v>
      </c>
      <c r="D294" s="98"/>
      <c r="E294" s="213">
        <v>45139</v>
      </c>
      <c r="F294" s="98" t="s">
        <v>1510</v>
      </c>
      <c r="G294" s="140" t="s">
        <v>1511</v>
      </c>
      <c r="H294" s="98"/>
      <c r="I294" s="140" t="s">
        <v>3394</v>
      </c>
      <c r="J294" s="98">
        <v>98073</v>
      </c>
      <c r="K294" s="98" t="s">
        <v>52</v>
      </c>
      <c r="L294" s="98" t="s">
        <v>80</v>
      </c>
      <c r="M294" s="98" t="s">
        <v>40</v>
      </c>
      <c r="N294" s="237">
        <f>+VLOOKUP(A294,COMISIONES!$C$2:$AR$33,42,0)</f>
        <v>15</v>
      </c>
      <c r="O294" s="53">
        <f t="shared" si="4"/>
        <v>15</v>
      </c>
      <c r="P294" s="7">
        <f>+VLOOKUP(A294,COMISIONES!$C$2:$C$33,1,0)</f>
        <v>20010262</v>
      </c>
    </row>
    <row r="295" spans="1:16" hidden="1">
      <c r="A295" s="98">
        <v>20004235</v>
      </c>
      <c r="B295" s="98">
        <v>1</v>
      </c>
      <c r="C295" s="98" t="s">
        <v>55</v>
      </c>
      <c r="D295" s="98"/>
      <c r="E295" s="213">
        <v>45139</v>
      </c>
      <c r="F295" s="98" t="s">
        <v>1549</v>
      </c>
      <c r="G295" s="140" t="s">
        <v>1550</v>
      </c>
      <c r="H295" s="98"/>
      <c r="I295" s="140" t="s">
        <v>3398</v>
      </c>
      <c r="J295" s="98">
        <v>98002</v>
      </c>
      <c r="K295" s="98" t="s">
        <v>49</v>
      </c>
      <c r="L295" s="98" t="s">
        <v>80</v>
      </c>
      <c r="M295" s="98" t="s">
        <v>40</v>
      </c>
      <c r="N295" s="237">
        <f>+VLOOKUP(A295,COMISIONES!$C$2:$AR$33,42,0)</f>
        <v>15</v>
      </c>
      <c r="O295" s="53">
        <f t="shared" si="4"/>
        <v>15</v>
      </c>
      <c r="P295" s="7">
        <f>+VLOOKUP(A295,COMISIONES!$C$2:$C$33,1,0)</f>
        <v>20004235</v>
      </c>
    </row>
    <row r="296" spans="1:16" hidden="1">
      <c r="A296" s="98">
        <v>20004235</v>
      </c>
      <c r="B296" s="98">
        <v>1</v>
      </c>
      <c r="C296" s="98" t="s">
        <v>55</v>
      </c>
      <c r="D296" s="98"/>
      <c r="E296" s="213">
        <v>45139</v>
      </c>
      <c r="F296" s="98" t="s">
        <v>1154</v>
      </c>
      <c r="G296" s="140" t="s">
        <v>1155</v>
      </c>
      <c r="H296" s="98"/>
      <c r="I296" s="140" t="s">
        <v>3343</v>
      </c>
      <c r="J296" s="98">
        <v>98002</v>
      </c>
      <c r="K296" s="98" t="s">
        <v>49</v>
      </c>
      <c r="L296" s="98" t="s">
        <v>80</v>
      </c>
      <c r="M296" s="98" t="s">
        <v>40</v>
      </c>
      <c r="N296" s="237">
        <f>+VLOOKUP(A296,COMISIONES!$C$2:$AR$33,42,0)</f>
        <v>15</v>
      </c>
      <c r="O296" s="53">
        <f t="shared" si="4"/>
        <v>15</v>
      </c>
      <c r="P296" s="7">
        <f>+VLOOKUP(A296,COMISIONES!$C$2:$C$33,1,0)</f>
        <v>20004235</v>
      </c>
    </row>
    <row r="297" spans="1:16" hidden="1">
      <c r="A297" s="98">
        <v>20000033</v>
      </c>
      <c r="B297" s="98">
        <v>1</v>
      </c>
      <c r="C297" s="98" t="s">
        <v>55</v>
      </c>
      <c r="D297" s="98"/>
      <c r="E297" s="213">
        <v>45139</v>
      </c>
      <c r="F297" s="98" t="s">
        <v>1231</v>
      </c>
      <c r="G297" s="140" t="s">
        <v>1232</v>
      </c>
      <c r="H297" s="8"/>
      <c r="I297" s="140" t="s">
        <v>3348</v>
      </c>
      <c r="J297" s="98">
        <v>98000</v>
      </c>
      <c r="K297" s="98" t="s">
        <v>51</v>
      </c>
      <c r="L297" s="98" t="s">
        <v>80</v>
      </c>
      <c r="M297" s="98" t="s">
        <v>40</v>
      </c>
      <c r="N297" s="237">
        <f>+VLOOKUP(A297,COMISIONES!$C$2:$AR$33,42,0)</f>
        <v>15</v>
      </c>
      <c r="O297" s="53">
        <f t="shared" si="4"/>
        <v>15</v>
      </c>
      <c r="P297" s="7">
        <f>+VLOOKUP(A297,COMISIONES!$C$2:$C$33,1,0)</f>
        <v>20000033</v>
      </c>
    </row>
    <row r="298" spans="1:16" hidden="1">
      <c r="A298" s="98">
        <v>20006162</v>
      </c>
      <c r="B298" s="98">
        <v>1</v>
      </c>
      <c r="C298" s="98" t="s">
        <v>55</v>
      </c>
      <c r="D298" s="98"/>
      <c r="E298" s="213">
        <v>45139</v>
      </c>
      <c r="F298" s="98" t="s">
        <v>1145</v>
      </c>
      <c r="G298" s="140" t="s">
        <v>1146</v>
      </c>
      <c r="H298" s="98"/>
      <c r="I298" s="140" t="s">
        <v>3330</v>
      </c>
      <c r="J298" s="98">
        <v>98069</v>
      </c>
      <c r="K298" s="98" t="s">
        <v>50</v>
      </c>
      <c r="L298" s="98" t="s">
        <v>80</v>
      </c>
      <c r="M298" s="98" t="s">
        <v>40</v>
      </c>
      <c r="N298" s="237">
        <f>+VLOOKUP(A298,COMISIONES!$C$2:$AR$33,42,0)</f>
        <v>20</v>
      </c>
      <c r="O298" s="53">
        <f t="shared" si="4"/>
        <v>20</v>
      </c>
      <c r="P298" s="7">
        <f>+VLOOKUP(A298,COMISIONES!$C$2:$C$33,1,0)</f>
        <v>20006162</v>
      </c>
    </row>
    <row r="299" spans="1:16" hidden="1">
      <c r="A299" s="98">
        <v>20004161</v>
      </c>
      <c r="B299" s="98">
        <v>1</v>
      </c>
      <c r="C299" s="98" t="s">
        <v>55</v>
      </c>
      <c r="D299" s="98"/>
      <c r="E299" s="213">
        <v>45139</v>
      </c>
      <c r="F299" s="98" t="s">
        <v>939</v>
      </c>
      <c r="G299" s="140" t="s">
        <v>940</v>
      </c>
      <c r="H299" s="83"/>
      <c r="I299" s="140" t="s">
        <v>3315</v>
      </c>
      <c r="J299" s="98">
        <v>98019</v>
      </c>
      <c r="K299" s="98" t="s">
        <v>49</v>
      </c>
      <c r="L299" s="98" t="s">
        <v>80</v>
      </c>
      <c r="M299" s="98" t="s">
        <v>40</v>
      </c>
      <c r="N299" s="237">
        <f>+VLOOKUP(A299,COMISIONES!$C$2:$AR$33,42,0)</f>
        <v>32.5</v>
      </c>
      <c r="O299" s="53">
        <f t="shared" si="4"/>
        <v>32.5</v>
      </c>
      <c r="P299" s="7">
        <f>+VLOOKUP(A299,COMISIONES!$C$2:$C$33,1,0)</f>
        <v>20004161</v>
      </c>
    </row>
    <row r="300" spans="1:16" hidden="1">
      <c r="A300" s="98">
        <v>20008625</v>
      </c>
      <c r="B300" s="98">
        <v>1</v>
      </c>
      <c r="C300" s="98" t="s">
        <v>55</v>
      </c>
      <c r="D300" s="98"/>
      <c r="E300" s="213">
        <v>45139</v>
      </c>
      <c r="F300" s="98" t="s">
        <v>865</v>
      </c>
      <c r="G300" s="140" t="s">
        <v>866</v>
      </c>
      <c r="H300" s="8"/>
      <c r="I300" s="140" t="s">
        <v>3302</v>
      </c>
      <c r="J300" s="98">
        <v>98053</v>
      </c>
      <c r="K300" s="98" t="s">
        <v>49</v>
      </c>
      <c r="L300" s="98" t="s">
        <v>80</v>
      </c>
      <c r="M300" s="98" t="s">
        <v>40</v>
      </c>
      <c r="N300" s="237">
        <f>+VLOOKUP(A300,COMISIONES!$C$2:$AR$33,42,0)</f>
        <v>10</v>
      </c>
      <c r="O300" s="53">
        <f t="shared" si="4"/>
        <v>10</v>
      </c>
      <c r="P300" s="7">
        <f>+VLOOKUP(A300,COMISIONES!$C$2:$C$33,1,0)</f>
        <v>20008625</v>
      </c>
    </row>
    <row r="301" spans="1:16" hidden="1">
      <c r="A301" s="98">
        <v>20005527</v>
      </c>
      <c r="B301" s="98">
        <v>1</v>
      </c>
      <c r="C301" s="98" t="s">
        <v>55</v>
      </c>
      <c r="D301" s="98"/>
      <c r="E301" s="213">
        <v>45139</v>
      </c>
      <c r="F301" s="98" t="s">
        <v>2900</v>
      </c>
      <c r="G301" s="140" t="s">
        <v>2901</v>
      </c>
      <c r="H301" s="98"/>
      <c r="I301" s="140" t="s">
        <v>3592</v>
      </c>
      <c r="J301" s="98">
        <v>98041</v>
      </c>
      <c r="K301" s="98" t="s">
        <v>52</v>
      </c>
      <c r="L301" s="98" t="s">
        <v>80</v>
      </c>
      <c r="M301" s="98" t="s">
        <v>40</v>
      </c>
      <c r="N301" s="237">
        <f>+VLOOKUP(A301,COMISIONES!$C$2:$AR$33,42,0)</f>
        <v>10</v>
      </c>
      <c r="O301" s="53">
        <f t="shared" si="4"/>
        <v>10</v>
      </c>
      <c r="P301" s="7">
        <f>+VLOOKUP(A301,COMISIONES!$C$2:$C$33,1,0)</f>
        <v>20005527</v>
      </c>
    </row>
    <row r="302" spans="1:16" hidden="1">
      <c r="A302" s="98">
        <v>20000033</v>
      </c>
      <c r="B302" s="98">
        <v>1</v>
      </c>
      <c r="C302" s="98" t="s">
        <v>55</v>
      </c>
      <c r="D302" s="98"/>
      <c r="E302" s="213">
        <v>45139</v>
      </c>
      <c r="F302" s="98" t="s">
        <v>2831</v>
      </c>
      <c r="G302" s="140" t="s">
        <v>2832</v>
      </c>
      <c r="H302" s="98"/>
      <c r="I302" s="140" t="s">
        <v>3572</v>
      </c>
      <c r="J302" s="98">
        <v>98000</v>
      </c>
      <c r="K302" s="98" t="s">
        <v>51</v>
      </c>
      <c r="L302" s="98" t="s">
        <v>80</v>
      </c>
      <c r="M302" s="98" t="s">
        <v>40</v>
      </c>
      <c r="N302" s="237">
        <f>+VLOOKUP(A302,COMISIONES!$C$2:$AR$33,42,0)</f>
        <v>15</v>
      </c>
      <c r="O302" s="53">
        <f t="shared" si="4"/>
        <v>15</v>
      </c>
      <c r="P302" s="7">
        <f>+VLOOKUP(A302,COMISIONES!$C$2:$C$33,1,0)</f>
        <v>20000033</v>
      </c>
    </row>
    <row r="303" spans="1:16" hidden="1">
      <c r="A303" s="98">
        <v>20009174</v>
      </c>
      <c r="B303" s="98">
        <v>1</v>
      </c>
      <c r="C303" s="98" t="s">
        <v>55</v>
      </c>
      <c r="D303" s="98"/>
      <c r="E303" s="213">
        <v>45139</v>
      </c>
      <c r="F303" s="98" t="s">
        <v>2111</v>
      </c>
      <c r="G303" s="140" t="s">
        <v>2112</v>
      </c>
      <c r="H303" s="8"/>
      <c r="I303" s="140" t="s">
        <v>3492</v>
      </c>
      <c r="J303" s="98">
        <v>98064</v>
      </c>
      <c r="K303" s="98" t="s">
        <v>52</v>
      </c>
      <c r="L303" s="98" t="s">
        <v>80</v>
      </c>
      <c r="M303" s="98" t="s">
        <v>40</v>
      </c>
      <c r="N303" s="237">
        <f>+VLOOKUP(A303,COMISIONES!$C$2:$AR$33,42,0)</f>
        <v>20</v>
      </c>
      <c r="O303" s="53">
        <f t="shared" si="4"/>
        <v>20</v>
      </c>
      <c r="P303" s="7">
        <f>+VLOOKUP(A303,COMISIONES!$C$2:$C$33,1,0)</f>
        <v>20009174</v>
      </c>
    </row>
    <row r="304" spans="1:16" hidden="1">
      <c r="A304" s="98">
        <v>20010087</v>
      </c>
      <c r="B304" s="98">
        <v>1</v>
      </c>
      <c r="C304" s="98" t="s">
        <v>55</v>
      </c>
      <c r="D304" s="98"/>
      <c r="E304" s="213">
        <v>45139</v>
      </c>
      <c r="F304" s="98" t="s">
        <v>2018</v>
      </c>
      <c r="G304" s="140" t="s">
        <v>2019</v>
      </c>
      <c r="H304" s="83"/>
      <c r="I304" s="140" t="s">
        <v>3893</v>
      </c>
      <c r="J304" s="98">
        <v>98074</v>
      </c>
      <c r="K304" s="98" t="s">
        <v>50</v>
      </c>
      <c r="L304" s="98" t="s">
        <v>80</v>
      </c>
      <c r="M304" s="98" t="s">
        <v>40</v>
      </c>
      <c r="N304" s="237">
        <v>0</v>
      </c>
      <c r="O304" s="53">
        <f t="shared" si="4"/>
        <v>0</v>
      </c>
      <c r="P304" s="7" t="s">
        <v>3962</v>
      </c>
    </row>
    <row r="305" spans="1:16" hidden="1">
      <c r="A305" s="98">
        <v>20010101</v>
      </c>
      <c r="B305" s="98">
        <v>1</v>
      </c>
      <c r="C305" s="98" t="s">
        <v>55</v>
      </c>
      <c r="D305" s="98"/>
      <c r="E305" s="213">
        <v>45139</v>
      </c>
      <c r="F305" s="98" t="s">
        <v>1932</v>
      </c>
      <c r="G305" s="140" t="s">
        <v>1933</v>
      </c>
      <c r="H305" s="98"/>
      <c r="I305" s="140" t="s">
        <v>3467</v>
      </c>
      <c r="J305" s="98">
        <v>98072</v>
      </c>
      <c r="K305" s="98" t="s">
        <v>49</v>
      </c>
      <c r="L305" s="98" t="s">
        <v>80</v>
      </c>
      <c r="M305" s="98" t="s">
        <v>40</v>
      </c>
      <c r="N305" s="237">
        <f>+VLOOKUP(A305,COMISIONES!$C$2:$AR$33,42,0)</f>
        <v>30</v>
      </c>
      <c r="O305" s="53">
        <f t="shared" si="4"/>
        <v>30</v>
      </c>
      <c r="P305" s="7">
        <f>+VLOOKUP(A305,COMISIONES!$C$2:$C$33,1,0)</f>
        <v>20010101</v>
      </c>
    </row>
    <row r="306" spans="1:16" hidden="1">
      <c r="A306" s="98">
        <v>20009174</v>
      </c>
      <c r="B306" s="98">
        <v>1</v>
      </c>
      <c r="C306" s="98" t="s">
        <v>55</v>
      </c>
      <c r="D306" s="98"/>
      <c r="E306" s="213">
        <v>45139</v>
      </c>
      <c r="F306" s="98" t="s">
        <v>1516</v>
      </c>
      <c r="G306" s="140" t="s">
        <v>1517</v>
      </c>
      <c r="H306" s="98"/>
      <c r="I306" s="140" t="s">
        <v>3393</v>
      </c>
      <c r="J306" s="98">
        <v>98064</v>
      </c>
      <c r="K306" s="98" t="s">
        <v>52</v>
      </c>
      <c r="L306" s="98" t="s">
        <v>80</v>
      </c>
      <c r="M306" s="98" t="s">
        <v>40</v>
      </c>
      <c r="N306" s="237">
        <f>+VLOOKUP(A306,COMISIONES!$C$2:$AR$33,42,0)</f>
        <v>20</v>
      </c>
      <c r="O306" s="53">
        <f t="shared" si="4"/>
        <v>20</v>
      </c>
      <c r="P306" s="7">
        <f>+VLOOKUP(A306,COMISIONES!$C$2:$C$33,1,0)</f>
        <v>20009174</v>
      </c>
    </row>
    <row r="307" spans="1:16" hidden="1">
      <c r="A307" s="98">
        <v>20005527</v>
      </c>
      <c r="B307" s="98">
        <v>1</v>
      </c>
      <c r="C307" s="98" t="s">
        <v>55</v>
      </c>
      <c r="D307" s="98"/>
      <c r="E307" s="213">
        <v>45139</v>
      </c>
      <c r="F307" s="98" t="s">
        <v>1148</v>
      </c>
      <c r="G307" s="140" t="s">
        <v>1149</v>
      </c>
      <c r="H307" s="98"/>
      <c r="I307" s="140" t="s">
        <v>3345</v>
      </c>
      <c r="J307" s="98">
        <v>98041</v>
      </c>
      <c r="K307" s="98" t="s">
        <v>52</v>
      </c>
      <c r="L307" s="98" t="s">
        <v>80</v>
      </c>
      <c r="M307" s="98" t="s">
        <v>40</v>
      </c>
      <c r="N307" s="237">
        <f>+VLOOKUP(A307,COMISIONES!$C$2:$AR$33,42,0)</f>
        <v>10</v>
      </c>
      <c r="O307" s="53">
        <f t="shared" si="4"/>
        <v>10</v>
      </c>
      <c r="P307" s="7">
        <f>+VLOOKUP(A307,COMISIONES!$C$2:$C$33,1,0)</f>
        <v>20005527</v>
      </c>
    </row>
    <row r="308" spans="1:16" hidden="1">
      <c r="A308" s="98">
        <v>20010604</v>
      </c>
      <c r="B308" s="98">
        <v>1</v>
      </c>
      <c r="C308" s="98" t="s">
        <v>55</v>
      </c>
      <c r="D308" s="98"/>
      <c r="E308" s="213">
        <v>45139</v>
      </c>
      <c r="F308" s="98" t="s">
        <v>957</v>
      </c>
      <c r="G308" s="140" t="s">
        <v>958</v>
      </c>
      <c r="H308" s="83"/>
      <c r="I308" s="140" t="s">
        <v>3316</v>
      </c>
      <c r="J308" s="98">
        <v>98078</v>
      </c>
      <c r="K308" s="98" t="s">
        <v>50</v>
      </c>
      <c r="L308" s="98" t="s">
        <v>80</v>
      </c>
      <c r="M308" s="98" t="s">
        <v>40</v>
      </c>
      <c r="N308" s="237">
        <f>+VLOOKUP(A308,COMISIONES!$C$2:$AR$33,42,0)</f>
        <v>10</v>
      </c>
      <c r="O308" s="53">
        <f t="shared" si="4"/>
        <v>10</v>
      </c>
      <c r="P308" s="7">
        <f>+VLOOKUP(A308,COMISIONES!$C$2:$C$33,1,0)</f>
        <v>20010604</v>
      </c>
    </row>
    <row r="309" spans="1:16" hidden="1">
      <c r="A309" s="98">
        <v>20009174</v>
      </c>
      <c r="B309" s="98">
        <v>1</v>
      </c>
      <c r="C309" s="98" t="s">
        <v>55</v>
      </c>
      <c r="D309" s="98"/>
      <c r="E309" s="213">
        <v>45139</v>
      </c>
      <c r="F309" s="98" t="s">
        <v>853</v>
      </c>
      <c r="G309" s="140" t="s">
        <v>854</v>
      </c>
      <c r="H309" s="98"/>
      <c r="I309" s="140" t="s">
        <v>3308</v>
      </c>
      <c r="J309" s="98">
        <v>98064</v>
      </c>
      <c r="K309" s="98" t="s">
        <v>52</v>
      </c>
      <c r="L309" s="98" t="s">
        <v>80</v>
      </c>
      <c r="M309" s="98" t="s">
        <v>40</v>
      </c>
      <c r="N309" s="237">
        <f>+VLOOKUP(A309,COMISIONES!$C$2:$AR$33,42,0)</f>
        <v>20</v>
      </c>
      <c r="O309" s="53">
        <f t="shared" si="4"/>
        <v>20</v>
      </c>
      <c r="P309" s="7">
        <f>+VLOOKUP(A309,COMISIONES!$C$2:$C$33,1,0)</f>
        <v>20009174</v>
      </c>
    </row>
    <row r="310" spans="1:16" hidden="1">
      <c r="A310" s="98">
        <v>20001487</v>
      </c>
      <c r="B310" s="98">
        <v>1</v>
      </c>
      <c r="C310" s="98" t="s">
        <v>55</v>
      </c>
      <c r="D310" s="98"/>
      <c r="E310" s="213">
        <v>45139</v>
      </c>
      <c r="F310" s="98" t="s">
        <v>3297</v>
      </c>
      <c r="G310" s="140" t="s">
        <v>3253</v>
      </c>
      <c r="H310" s="98"/>
      <c r="I310" s="140" t="s">
        <v>3574</v>
      </c>
      <c r="J310" s="98">
        <v>98003</v>
      </c>
      <c r="K310" s="98" t="s">
        <v>51</v>
      </c>
      <c r="L310" s="98" t="s">
        <v>80</v>
      </c>
      <c r="M310" s="98" t="s">
        <v>40</v>
      </c>
      <c r="N310" s="237">
        <f>+VLOOKUP(A310,COMISIONES!$C$2:$AR$33,42,0)</f>
        <v>30</v>
      </c>
      <c r="O310" s="53">
        <f t="shared" si="4"/>
        <v>30</v>
      </c>
      <c r="P310" s="7">
        <f>+VLOOKUP(A310,COMISIONES!$C$2:$C$33,1,0)</f>
        <v>20001487</v>
      </c>
    </row>
    <row r="311" spans="1:16" hidden="1">
      <c r="A311" s="98">
        <v>20000033</v>
      </c>
      <c r="B311" s="98">
        <v>1</v>
      </c>
      <c r="C311" s="98" t="s">
        <v>55</v>
      </c>
      <c r="D311" s="98"/>
      <c r="E311" s="213">
        <v>45139</v>
      </c>
      <c r="F311" s="98" t="s">
        <v>3293</v>
      </c>
      <c r="G311" s="140" t="s">
        <v>3249</v>
      </c>
      <c r="H311" s="98"/>
      <c r="I311" s="140" t="s">
        <v>3894</v>
      </c>
      <c r="J311" s="98">
        <v>98000</v>
      </c>
      <c r="K311" s="98" t="s">
        <v>51</v>
      </c>
      <c r="L311" s="98" t="s">
        <v>80</v>
      </c>
      <c r="M311" s="98" t="s">
        <v>40</v>
      </c>
      <c r="N311" s="237">
        <f>+VLOOKUP(A311,COMISIONES!$C$2:$AR$33,42,0)</f>
        <v>15</v>
      </c>
      <c r="O311" s="53">
        <f t="shared" si="4"/>
        <v>15</v>
      </c>
      <c r="P311" s="7">
        <f>+VLOOKUP(A311,COMISIONES!$C$2:$C$33,1,0)</f>
        <v>20000033</v>
      </c>
    </row>
    <row r="312" spans="1:16" hidden="1">
      <c r="A312" s="98">
        <v>20010617</v>
      </c>
      <c r="B312" s="98">
        <v>1</v>
      </c>
      <c r="C312" s="98" t="s">
        <v>55</v>
      </c>
      <c r="D312" s="98"/>
      <c r="E312" s="213">
        <v>45139</v>
      </c>
      <c r="F312" s="98" t="s">
        <v>3289</v>
      </c>
      <c r="G312" s="140" t="s">
        <v>3244</v>
      </c>
      <c r="H312" s="8"/>
      <c r="I312" s="140" t="s">
        <v>3512</v>
      </c>
      <c r="J312" s="98">
        <v>98079</v>
      </c>
      <c r="K312" s="98" t="s">
        <v>49</v>
      </c>
      <c r="L312" s="98" t="s">
        <v>80</v>
      </c>
      <c r="M312" s="98" t="s">
        <v>40</v>
      </c>
      <c r="N312" s="237">
        <f>+VLOOKUP(A312,COMISIONES!$C$2:$AR$33,42,0)</f>
        <v>5</v>
      </c>
      <c r="O312" s="53">
        <f t="shared" si="4"/>
        <v>5</v>
      </c>
      <c r="P312" s="7">
        <f>+VLOOKUP(A312,COMISIONES!$C$2:$C$33,1,0)</f>
        <v>20010617</v>
      </c>
    </row>
    <row r="313" spans="1:16" hidden="1">
      <c r="A313" s="98">
        <v>20009592</v>
      </c>
      <c r="B313" s="98">
        <v>1</v>
      </c>
      <c r="C313" s="98" t="s">
        <v>55</v>
      </c>
      <c r="D313" s="98"/>
      <c r="E313" s="213">
        <v>45139</v>
      </c>
      <c r="F313" s="98" t="s">
        <v>3284</v>
      </c>
      <c r="G313" s="140" t="s">
        <v>3239</v>
      </c>
      <c r="H313" s="8"/>
      <c r="I313" s="140" t="s">
        <v>3481</v>
      </c>
      <c r="J313" s="98">
        <v>98076</v>
      </c>
      <c r="K313" s="98" t="s">
        <v>52</v>
      </c>
      <c r="L313" s="98" t="s">
        <v>80</v>
      </c>
      <c r="M313" s="98" t="s">
        <v>40</v>
      </c>
      <c r="N313" s="237">
        <f>+VLOOKUP(A313,COMISIONES!$C$2:$AR$33,42,0)</f>
        <v>10</v>
      </c>
      <c r="O313" s="53">
        <f t="shared" si="4"/>
        <v>10</v>
      </c>
      <c r="P313" s="7">
        <f>+VLOOKUP(A313,COMISIONES!$C$2:$C$33,1,0)</f>
        <v>20009592</v>
      </c>
    </row>
    <row r="314" spans="1:16" hidden="1">
      <c r="A314" s="98">
        <v>20010101</v>
      </c>
      <c r="B314" s="98">
        <v>1</v>
      </c>
      <c r="C314" s="98" t="s">
        <v>55</v>
      </c>
      <c r="D314" s="98"/>
      <c r="E314" s="213">
        <v>45139</v>
      </c>
      <c r="F314" s="98" t="s">
        <v>1964</v>
      </c>
      <c r="G314" s="140" t="s">
        <v>1965</v>
      </c>
      <c r="H314" s="98"/>
      <c r="I314" s="140" t="s">
        <v>3479</v>
      </c>
      <c r="J314" s="98">
        <v>98072</v>
      </c>
      <c r="K314" s="98" t="s">
        <v>49</v>
      </c>
      <c r="L314" s="98" t="s">
        <v>80</v>
      </c>
      <c r="M314" s="98" t="s">
        <v>40</v>
      </c>
      <c r="N314" s="237">
        <f>+VLOOKUP(A314,COMISIONES!$C$2:$AR$33,42,0)</f>
        <v>30</v>
      </c>
      <c r="O314" s="53">
        <f t="shared" si="4"/>
        <v>30</v>
      </c>
      <c r="P314" s="7">
        <f>+VLOOKUP(A314,COMISIONES!$C$2:$C$33,1,0)</f>
        <v>20010101</v>
      </c>
    </row>
    <row r="315" spans="1:16" hidden="1">
      <c r="A315" s="98">
        <v>20009592</v>
      </c>
      <c r="B315" s="98">
        <v>1</v>
      </c>
      <c r="C315" s="98" t="s">
        <v>55</v>
      </c>
      <c r="D315" s="98"/>
      <c r="E315" s="213">
        <v>45139</v>
      </c>
      <c r="F315" s="98" t="s">
        <v>3283</v>
      </c>
      <c r="G315" s="140" t="s">
        <v>3238</v>
      </c>
      <c r="H315" s="98"/>
      <c r="I315" s="140" t="s">
        <v>3480</v>
      </c>
      <c r="J315" s="98">
        <v>98076</v>
      </c>
      <c r="K315" s="98" t="s">
        <v>52</v>
      </c>
      <c r="L315" s="98" t="s">
        <v>80</v>
      </c>
      <c r="M315" s="98" t="s">
        <v>40</v>
      </c>
      <c r="N315" s="237">
        <f>+VLOOKUP(A315,COMISIONES!$C$2:$AR$33,42,0)</f>
        <v>10</v>
      </c>
      <c r="O315" s="53">
        <f t="shared" si="4"/>
        <v>10</v>
      </c>
      <c r="P315" s="7">
        <f>+VLOOKUP(A315,COMISIONES!$C$2:$C$33,1,0)</f>
        <v>20009592</v>
      </c>
    </row>
    <row r="316" spans="1:16" hidden="1">
      <c r="A316" s="98">
        <v>20007726</v>
      </c>
      <c r="B316" s="98">
        <v>1</v>
      </c>
      <c r="C316" s="98" t="s">
        <v>55</v>
      </c>
      <c r="D316" s="98"/>
      <c r="E316" s="213">
        <v>45139</v>
      </c>
      <c r="F316" s="98" t="s">
        <v>1884</v>
      </c>
      <c r="G316" s="140" t="s">
        <v>1885</v>
      </c>
      <c r="H316" s="8"/>
      <c r="I316" s="140" t="s">
        <v>3455</v>
      </c>
      <c r="J316" s="98">
        <v>98051</v>
      </c>
      <c r="K316" s="98" t="s">
        <v>49</v>
      </c>
      <c r="L316" s="98" t="s">
        <v>80</v>
      </c>
      <c r="M316" s="98" t="s">
        <v>40</v>
      </c>
      <c r="N316" s="237">
        <f>+VLOOKUP(A316,COMISIONES!$C$2:$AR$33,42,0)</f>
        <v>30</v>
      </c>
      <c r="O316" s="53">
        <f t="shared" si="4"/>
        <v>30</v>
      </c>
      <c r="P316" s="7">
        <f>+VLOOKUP(A316,COMISIONES!$C$2:$C$33,1,0)</f>
        <v>20007726</v>
      </c>
    </row>
    <row r="317" spans="1:16" hidden="1">
      <c r="A317" s="98">
        <v>20008439</v>
      </c>
      <c r="B317" s="98">
        <v>1</v>
      </c>
      <c r="C317" s="98" t="s">
        <v>55</v>
      </c>
      <c r="D317" s="98"/>
      <c r="E317" s="213">
        <v>45139</v>
      </c>
      <c r="F317" s="98" t="s">
        <v>1863</v>
      </c>
      <c r="G317" s="140" t="s">
        <v>1864</v>
      </c>
      <c r="H317" s="98"/>
      <c r="I317" s="140" t="s">
        <v>3452</v>
      </c>
      <c r="J317" s="98">
        <v>98049</v>
      </c>
      <c r="K317" s="98" t="s">
        <v>50</v>
      </c>
      <c r="L317" s="98" t="s">
        <v>80</v>
      </c>
      <c r="M317" s="98" t="s">
        <v>40</v>
      </c>
      <c r="N317" s="237">
        <f>+VLOOKUP(A317,COMISIONES!$C$2:$AR$33,42,0)</f>
        <v>15</v>
      </c>
      <c r="O317" s="53">
        <f t="shared" si="4"/>
        <v>15</v>
      </c>
      <c r="P317" s="7">
        <f>+VLOOKUP(A317,COMISIONES!$C$2:$C$33,1,0)</f>
        <v>20008439</v>
      </c>
    </row>
    <row r="318" spans="1:16" hidden="1">
      <c r="A318" s="98">
        <v>20010101</v>
      </c>
      <c r="B318" s="98">
        <v>1</v>
      </c>
      <c r="C318" s="98" t="s">
        <v>55</v>
      </c>
      <c r="D318" s="98"/>
      <c r="E318" s="213">
        <v>45139</v>
      </c>
      <c r="F318" s="98" t="s">
        <v>1812</v>
      </c>
      <c r="G318" s="140" t="s">
        <v>1813</v>
      </c>
      <c r="H318" s="98"/>
      <c r="I318" s="140" t="s">
        <v>3439</v>
      </c>
      <c r="J318" s="98">
        <v>98072</v>
      </c>
      <c r="K318" s="98" t="s">
        <v>49</v>
      </c>
      <c r="L318" s="98" t="s">
        <v>80</v>
      </c>
      <c r="M318" s="98" t="s">
        <v>40</v>
      </c>
      <c r="N318" s="237">
        <f>+VLOOKUP(A318,COMISIONES!$C$2:$AR$33,42,0)</f>
        <v>30</v>
      </c>
      <c r="O318" s="53">
        <f t="shared" si="4"/>
        <v>30</v>
      </c>
      <c r="P318" s="7">
        <f>+VLOOKUP(A318,COMISIONES!$C$2:$C$33,1,0)</f>
        <v>20010101</v>
      </c>
    </row>
    <row r="319" spans="1:16" hidden="1">
      <c r="A319" s="98">
        <v>20006360</v>
      </c>
      <c r="B319" s="98">
        <v>1</v>
      </c>
      <c r="C319" s="98" t="s">
        <v>55</v>
      </c>
      <c r="D319" s="98"/>
      <c r="E319" s="213">
        <v>45139</v>
      </c>
      <c r="F319" s="98" t="s">
        <v>1567</v>
      </c>
      <c r="G319" s="140" t="s">
        <v>1568</v>
      </c>
      <c r="H319" s="83"/>
      <c r="I319" s="140" t="s">
        <v>3411</v>
      </c>
      <c r="J319" s="98">
        <v>98012</v>
      </c>
      <c r="K319" s="98" t="s">
        <v>50</v>
      </c>
      <c r="L319" s="98" t="s">
        <v>80</v>
      </c>
      <c r="M319" s="98" t="s">
        <v>40</v>
      </c>
      <c r="N319" s="237">
        <f>+VLOOKUP(A319,COMISIONES!$C$2:$AR$33,42,0)</f>
        <v>10</v>
      </c>
      <c r="O319" s="53">
        <f t="shared" si="4"/>
        <v>10</v>
      </c>
      <c r="P319" s="7">
        <f>+VLOOKUP(A319,COMISIONES!$C$2:$C$33,1,0)</f>
        <v>20006360</v>
      </c>
    </row>
    <row r="320" spans="1:16" hidden="1">
      <c r="A320" s="98">
        <v>20000661</v>
      </c>
      <c r="B320" s="98">
        <v>1</v>
      </c>
      <c r="C320" s="98" t="s">
        <v>55</v>
      </c>
      <c r="D320" s="98"/>
      <c r="E320" s="213">
        <v>45139</v>
      </c>
      <c r="F320" s="98" t="s">
        <v>3274</v>
      </c>
      <c r="G320" s="140" t="s">
        <v>3229</v>
      </c>
      <c r="H320" s="98"/>
      <c r="I320" s="140" t="s">
        <v>3396</v>
      </c>
      <c r="J320" s="98">
        <v>98013</v>
      </c>
      <c r="K320" s="98" t="s">
        <v>51</v>
      </c>
      <c r="L320" s="98" t="s">
        <v>80</v>
      </c>
      <c r="M320" s="98" t="s">
        <v>40</v>
      </c>
      <c r="N320" s="237">
        <f>+VLOOKUP(A320,COMISIONES!$C$2:$AR$33,42,0)</f>
        <v>15</v>
      </c>
      <c r="O320" s="53">
        <f t="shared" si="4"/>
        <v>15</v>
      </c>
      <c r="P320" s="7">
        <f>+VLOOKUP(A320,COMISIONES!$C$2:$C$33,1,0)</f>
        <v>20000661</v>
      </c>
    </row>
    <row r="321" spans="1:16" hidden="1">
      <c r="A321" s="98">
        <v>20004566</v>
      </c>
      <c r="B321" s="98">
        <v>1</v>
      </c>
      <c r="C321" s="98" t="s">
        <v>55</v>
      </c>
      <c r="D321" s="98"/>
      <c r="E321" s="213">
        <v>45139</v>
      </c>
      <c r="F321" s="98" t="s">
        <v>3271</v>
      </c>
      <c r="G321" s="140" t="s">
        <v>3224</v>
      </c>
      <c r="H321" s="10"/>
      <c r="I321" s="140" t="s">
        <v>3379</v>
      </c>
      <c r="J321" s="98">
        <v>98023</v>
      </c>
      <c r="K321" s="98" t="s">
        <v>50</v>
      </c>
      <c r="L321" s="98" t="s">
        <v>80</v>
      </c>
      <c r="M321" s="98" t="s">
        <v>40</v>
      </c>
      <c r="N321" s="237">
        <f>+VLOOKUP(A321,COMISIONES!$C$2:$AR$33,42,0)</f>
        <v>20</v>
      </c>
      <c r="O321" s="53">
        <f t="shared" si="4"/>
        <v>20</v>
      </c>
      <c r="P321" s="7">
        <f>+VLOOKUP(A321,COMISIONES!$C$2:$C$33,1,0)</f>
        <v>20004566</v>
      </c>
    </row>
    <row r="322" spans="1:16" hidden="1">
      <c r="A322" s="98">
        <v>20001487</v>
      </c>
      <c r="B322" s="98">
        <v>1</v>
      </c>
      <c r="C322" s="98" t="s">
        <v>55</v>
      </c>
      <c r="D322" s="98"/>
      <c r="E322" s="213">
        <v>45139</v>
      </c>
      <c r="F322" s="98" t="s">
        <v>3269</v>
      </c>
      <c r="G322" s="140" t="s">
        <v>3222</v>
      </c>
      <c r="H322" s="98"/>
      <c r="I322" s="140" t="s">
        <v>3367</v>
      </c>
      <c r="J322" s="98">
        <v>98003</v>
      </c>
      <c r="K322" s="98" t="s">
        <v>51</v>
      </c>
      <c r="L322" s="98" t="s">
        <v>80</v>
      </c>
      <c r="M322" s="98" t="s">
        <v>40</v>
      </c>
      <c r="N322" s="237">
        <f>+VLOOKUP(A322,COMISIONES!$C$2:$AR$33,42,0)</f>
        <v>30</v>
      </c>
      <c r="O322" s="53">
        <f t="shared" ref="O322:O377" si="5">N322*B322</f>
        <v>30</v>
      </c>
      <c r="P322" s="7">
        <f>+VLOOKUP(A322,COMISIONES!$C$2:$C$33,1,0)</f>
        <v>20001487</v>
      </c>
    </row>
    <row r="323" spans="1:16" hidden="1">
      <c r="A323" s="98">
        <v>20000661</v>
      </c>
      <c r="B323" s="98">
        <v>1</v>
      </c>
      <c r="C323" s="98" t="s">
        <v>55</v>
      </c>
      <c r="D323" s="98"/>
      <c r="E323" s="213">
        <v>45139</v>
      </c>
      <c r="F323" s="98" t="s">
        <v>3266</v>
      </c>
      <c r="G323" s="140" t="s">
        <v>3219</v>
      </c>
      <c r="H323" s="98"/>
      <c r="I323" s="140" t="s">
        <v>3349</v>
      </c>
      <c r="J323" s="98">
        <v>98013</v>
      </c>
      <c r="K323" s="98" t="s">
        <v>51</v>
      </c>
      <c r="L323" s="98" t="s">
        <v>80</v>
      </c>
      <c r="M323" s="98" t="s">
        <v>40</v>
      </c>
      <c r="N323" s="237">
        <f>+VLOOKUP(A323,COMISIONES!$C$2:$AR$33,42,0)</f>
        <v>15</v>
      </c>
      <c r="O323" s="53">
        <f t="shared" si="5"/>
        <v>15</v>
      </c>
      <c r="P323" s="7">
        <f>+VLOOKUP(A323,COMISIONES!$C$2:$C$33,1,0)</f>
        <v>20000661</v>
      </c>
    </row>
    <row r="324" spans="1:16" hidden="1">
      <c r="A324" s="98">
        <v>20004638</v>
      </c>
      <c r="B324" s="98">
        <v>1</v>
      </c>
      <c r="C324" s="98" t="s">
        <v>55</v>
      </c>
      <c r="D324" s="98"/>
      <c r="E324" s="213">
        <v>45139</v>
      </c>
      <c r="F324" s="98" t="s">
        <v>3265</v>
      </c>
      <c r="G324" s="140" t="s">
        <v>3218</v>
      </c>
      <c r="H324" s="98"/>
      <c r="I324" s="140" t="s">
        <v>3346</v>
      </c>
      <c r="J324" s="98">
        <v>98009</v>
      </c>
      <c r="K324" s="98" t="s">
        <v>51</v>
      </c>
      <c r="L324" s="98" t="s">
        <v>80</v>
      </c>
      <c r="M324" s="98" t="s">
        <v>40</v>
      </c>
      <c r="N324" s="237">
        <f>+VLOOKUP(A324,COMISIONES!$C$2:$AR$33,42,0)</f>
        <v>10</v>
      </c>
      <c r="O324" s="53">
        <f t="shared" si="5"/>
        <v>10</v>
      </c>
      <c r="P324" s="7">
        <f>+VLOOKUP(A324,COMISIONES!$C$2:$C$33,1,0)</f>
        <v>20004638</v>
      </c>
    </row>
    <row r="325" spans="1:16" hidden="1">
      <c r="A325" s="98">
        <v>20009592</v>
      </c>
      <c r="B325" s="98">
        <v>1</v>
      </c>
      <c r="C325" s="98" t="s">
        <v>55</v>
      </c>
      <c r="D325" s="98"/>
      <c r="E325" s="213">
        <v>45139</v>
      </c>
      <c r="F325" s="98" t="s">
        <v>3262</v>
      </c>
      <c r="G325" s="140" t="s">
        <v>3214</v>
      </c>
      <c r="H325" s="98"/>
      <c r="I325" s="140" t="s">
        <v>3320</v>
      </c>
      <c r="J325" s="98">
        <v>98076</v>
      </c>
      <c r="K325" s="98" t="s">
        <v>52</v>
      </c>
      <c r="L325" s="98" t="s">
        <v>80</v>
      </c>
      <c r="M325" s="98" t="s">
        <v>40</v>
      </c>
      <c r="N325" s="237">
        <f>+VLOOKUP(A325,COMISIONES!$C$2:$AR$33,42,0)</f>
        <v>10</v>
      </c>
      <c r="O325" s="53">
        <f t="shared" si="5"/>
        <v>10</v>
      </c>
      <c r="P325" s="7">
        <f>+VLOOKUP(A325,COMISIONES!$C$2:$C$33,1,0)</f>
        <v>20009592</v>
      </c>
    </row>
    <row r="326" spans="1:16" hidden="1">
      <c r="A326" s="98">
        <v>20009688</v>
      </c>
      <c r="B326" s="98">
        <v>1</v>
      </c>
      <c r="C326" s="98" t="s">
        <v>55</v>
      </c>
      <c r="D326" s="98"/>
      <c r="E326" s="213">
        <v>45139</v>
      </c>
      <c r="F326" s="98" t="s">
        <v>3260</v>
      </c>
      <c r="G326" s="140" t="s">
        <v>3212</v>
      </c>
      <c r="H326" s="98"/>
      <c r="I326" s="140" t="s">
        <v>3307</v>
      </c>
      <c r="J326" s="98">
        <v>98075</v>
      </c>
      <c r="K326" s="98" t="s">
        <v>52</v>
      </c>
      <c r="L326" s="98" t="s">
        <v>80</v>
      </c>
      <c r="M326" s="98" t="s">
        <v>40</v>
      </c>
      <c r="N326" s="237">
        <f>+VLOOKUP(A326,COMISIONES!$C$2:$AR$33,42,0)</f>
        <v>15</v>
      </c>
      <c r="O326" s="53">
        <f t="shared" si="5"/>
        <v>15</v>
      </c>
      <c r="P326" s="7">
        <f>+VLOOKUP(A326,COMISIONES!$C$2:$C$33,1,0)</f>
        <v>20009688</v>
      </c>
    </row>
    <row r="327" spans="1:16" hidden="1">
      <c r="A327" s="98">
        <v>20006360</v>
      </c>
      <c r="B327" s="98">
        <v>2</v>
      </c>
      <c r="C327" s="98" t="s">
        <v>55</v>
      </c>
      <c r="D327" s="98"/>
      <c r="E327" s="213">
        <v>45139</v>
      </c>
      <c r="F327" s="98" t="s">
        <v>3298</v>
      </c>
      <c r="G327" s="140" t="s">
        <v>3254</v>
      </c>
      <c r="H327" s="98"/>
      <c r="I327" s="140" t="s">
        <v>3895</v>
      </c>
      <c r="J327" s="98">
        <v>98012</v>
      </c>
      <c r="K327" s="98" t="s">
        <v>50</v>
      </c>
      <c r="L327" s="98" t="s">
        <v>80</v>
      </c>
      <c r="M327" s="98" t="s">
        <v>40</v>
      </c>
      <c r="N327" s="237">
        <f>+VLOOKUP(A327,COMISIONES!$C$2:$AR$33,42,0)</f>
        <v>10</v>
      </c>
      <c r="O327" s="53">
        <f t="shared" si="5"/>
        <v>20</v>
      </c>
      <c r="P327" s="7">
        <f>+VLOOKUP(A327,COMISIONES!$C$2:$C$33,1,0)</f>
        <v>20006360</v>
      </c>
    </row>
    <row r="328" spans="1:16" hidden="1">
      <c r="A328" s="98">
        <v>20010262</v>
      </c>
      <c r="B328" s="98">
        <v>2</v>
      </c>
      <c r="C328" s="98" t="s">
        <v>55</v>
      </c>
      <c r="D328" s="98"/>
      <c r="E328" s="213">
        <v>45139</v>
      </c>
      <c r="F328" s="98" t="s">
        <v>3275</v>
      </c>
      <c r="G328" s="140" t="s">
        <v>3230</v>
      </c>
      <c r="H328" s="98"/>
      <c r="I328" s="140" t="s">
        <v>3896</v>
      </c>
      <c r="J328" s="98">
        <v>98073</v>
      </c>
      <c r="K328" s="98" t="s">
        <v>52</v>
      </c>
      <c r="L328" s="98" t="s">
        <v>80</v>
      </c>
      <c r="M328" s="98" t="s">
        <v>40</v>
      </c>
      <c r="N328" s="237">
        <f>+VLOOKUP(A328,COMISIONES!$C$2:$AR$33,42,0)</f>
        <v>15</v>
      </c>
      <c r="O328" s="53">
        <f t="shared" si="5"/>
        <v>30</v>
      </c>
      <c r="P328" s="7">
        <f>+VLOOKUP(A328,COMISIONES!$C$2:$C$33,1,0)</f>
        <v>20010262</v>
      </c>
    </row>
    <row r="329" spans="1:16">
      <c r="A329" s="98">
        <v>20010101</v>
      </c>
      <c r="B329" s="98">
        <v>1</v>
      </c>
      <c r="C329" s="133" t="s">
        <v>55</v>
      </c>
      <c r="D329" s="98">
        <v>340326</v>
      </c>
      <c r="E329" s="137">
        <v>44986</v>
      </c>
      <c r="F329" s="98" t="s">
        <v>596</v>
      </c>
      <c r="G329" s="140" t="s">
        <v>485</v>
      </c>
      <c r="H329" s="98" t="s">
        <v>44</v>
      </c>
      <c r="I329" s="140" t="s">
        <v>707</v>
      </c>
      <c r="J329" s="98">
        <v>98072</v>
      </c>
      <c r="K329" s="98" t="s">
        <v>49</v>
      </c>
      <c r="L329" s="98" t="s">
        <v>80</v>
      </c>
      <c r="M329" s="98" t="s">
        <v>40</v>
      </c>
      <c r="N329" s="237">
        <f>+VLOOKUP(A329,COMISIONES!$C$2:$AR$33,42,0)</f>
        <v>30</v>
      </c>
      <c r="O329" s="53">
        <f t="shared" si="5"/>
        <v>30</v>
      </c>
      <c r="P329" s="7">
        <f>+VLOOKUP(A329,COMISIONES!$C$2:$C$33,1,0)</f>
        <v>20010101</v>
      </c>
    </row>
    <row r="330" spans="1:16">
      <c r="A330" s="98">
        <v>20009269</v>
      </c>
      <c r="B330" s="98">
        <v>1</v>
      </c>
      <c r="C330" s="133" t="s">
        <v>55</v>
      </c>
      <c r="D330" s="98">
        <v>340207</v>
      </c>
      <c r="E330" s="137">
        <v>44986</v>
      </c>
      <c r="F330" s="98" t="s">
        <v>597</v>
      </c>
      <c r="G330" s="140" t="s">
        <v>486</v>
      </c>
      <c r="H330" s="98" t="s">
        <v>44</v>
      </c>
      <c r="I330" s="140" t="s">
        <v>3897</v>
      </c>
      <c r="J330" s="98">
        <v>98065</v>
      </c>
      <c r="K330" s="98" t="s">
        <v>49</v>
      </c>
      <c r="L330" s="98" t="s">
        <v>80</v>
      </c>
      <c r="M330" s="98" t="s">
        <v>40</v>
      </c>
      <c r="N330" s="237">
        <f>+VLOOKUP(A330,COMISIONES!$C$2:$AR$33,42,0)</f>
        <v>30</v>
      </c>
      <c r="O330" s="53">
        <f t="shared" si="5"/>
        <v>30</v>
      </c>
      <c r="P330" s="7">
        <f>+VLOOKUP(A330,COMISIONES!$C$2:$C$33,1,0)</f>
        <v>20009269</v>
      </c>
    </row>
    <row r="331" spans="1:16">
      <c r="A331" s="98">
        <v>20008909</v>
      </c>
      <c r="B331" s="98">
        <v>1</v>
      </c>
      <c r="C331" s="133" t="s">
        <v>55</v>
      </c>
      <c r="D331" s="98">
        <v>340314</v>
      </c>
      <c r="E331" s="137">
        <v>44986</v>
      </c>
      <c r="F331" s="98" t="s">
        <v>3898</v>
      </c>
      <c r="G331" s="140" t="s">
        <v>3899</v>
      </c>
      <c r="H331" s="98" t="s">
        <v>44</v>
      </c>
      <c r="I331" s="140" t="s">
        <v>3900</v>
      </c>
      <c r="J331" s="98">
        <v>98060</v>
      </c>
      <c r="K331" s="98" t="s">
        <v>50</v>
      </c>
      <c r="L331" s="98" t="s">
        <v>80</v>
      </c>
      <c r="M331" s="98" t="s">
        <v>40</v>
      </c>
      <c r="N331" s="237">
        <v>0</v>
      </c>
      <c r="O331" s="53">
        <f t="shared" si="5"/>
        <v>0</v>
      </c>
      <c r="P331" s="7" t="s">
        <v>3962</v>
      </c>
    </row>
    <row r="332" spans="1:16">
      <c r="A332" s="98">
        <v>20001487</v>
      </c>
      <c r="B332" s="98">
        <v>1</v>
      </c>
      <c r="C332" s="133" t="s">
        <v>55</v>
      </c>
      <c r="D332" s="98">
        <v>340190</v>
      </c>
      <c r="E332" s="137">
        <v>44986</v>
      </c>
      <c r="F332" s="98" t="s">
        <v>598</v>
      </c>
      <c r="G332" s="140" t="s">
        <v>487</v>
      </c>
      <c r="H332" s="98" t="s">
        <v>44</v>
      </c>
      <c r="I332" s="140" t="s">
        <v>708</v>
      </c>
      <c r="J332" s="98">
        <v>98003</v>
      </c>
      <c r="K332" s="98" t="s">
        <v>51</v>
      </c>
      <c r="L332" s="98" t="s">
        <v>80</v>
      </c>
      <c r="M332" s="98" t="s">
        <v>40</v>
      </c>
      <c r="N332" s="237">
        <f>+VLOOKUP(A332,COMISIONES!$C$2:$AR$33,42,0)</f>
        <v>30</v>
      </c>
      <c r="O332" s="53">
        <f t="shared" si="5"/>
        <v>30</v>
      </c>
      <c r="P332" s="7">
        <f>+VLOOKUP(A332,COMISIONES!$C$2:$C$33,1,0)</f>
        <v>20001487</v>
      </c>
    </row>
    <row r="333" spans="1:16">
      <c r="A333" s="98">
        <v>20006162</v>
      </c>
      <c r="B333" s="98">
        <v>1</v>
      </c>
      <c r="C333" s="133" t="s">
        <v>55</v>
      </c>
      <c r="D333" s="98">
        <v>340335</v>
      </c>
      <c r="E333" s="137">
        <v>44986</v>
      </c>
      <c r="F333" s="98" t="s">
        <v>599</v>
      </c>
      <c r="G333" s="140" t="s">
        <v>488</v>
      </c>
      <c r="H333" s="98" t="s">
        <v>44</v>
      </c>
      <c r="I333" s="140" t="s">
        <v>709</v>
      </c>
      <c r="J333" s="98">
        <v>98069</v>
      </c>
      <c r="K333" s="98" t="s">
        <v>50</v>
      </c>
      <c r="L333" s="98" t="s">
        <v>80</v>
      </c>
      <c r="M333" s="98" t="s">
        <v>40</v>
      </c>
      <c r="N333" s="237">
        <f>+VLOOKUP(A333,COMISIONES!$C$2:$AR$33,42,0)</f>
        <v>20</v>
      </c>
      <c r="O333" s="53">
        <f t="shared" si="5"/>
        <v>20</v>
      </c>
      <c r="P333" s="7">
        <f>+VLOOKUP(A333,COMISIONES!$C$2:$C$33,1,0)</f>
        <v>20006162</v>
      </c>
    </row>
    <row r="334" spans="1:16">
      <c r="A334" s="98">
        <v>20001487</v>
      </c>
      <c r="B334" s="98">
        <v>1</v>
      </c>
      <c r="C334" s="133" t="s">
        <v>55</v>
      </c>
      <c r="D334" s="98">
        <v>340873</v>
      </c>
      <c r="E334" s="137">
        <v>44986</v>
      </c>
      <c r="F334" s="98" t="s">
        <v>460</v>
      </c>
      <c r="G334" s="140" t="s">
        <v>457</v>
      </c>
      <c r="H334" s="98" t="s">
        <v>44</v>
      </c>
      <c r="I334" s="140" t="s">
        <v>710</v>
      </c>
      <c r="J334" s="98">
        <v>98003</v>
      </c>
      <c r="K334" s="98" t="s">
        <v>51</v>
      </c>
      <c r="L334" s="98" t="s">
        <v>80</v>
      </c>
      <c r="M334" s="98" t="s">
        <v>40</v>
      </c>
      <c r="N334" s="237">
        <f>+VLOOKUP(A334,COMISIONES!$C$2:$AR$33,42,0)</f>
        <v>30</v>
      </c>
      <c r="O334" s="53">
        <f t="shared" si="5"/>
        <v>30</v>
      </c>
      <c r="P334" s="7">
        <f>+VLOOKUP(A334,COMISIONES!$C$2:$C$33,1,0)</f>
        <v>20001487</v>
      </c>
    </row>
    <row r="335" spans="1:16">
      <c r="A335" s="98">
        <v>20004161</v>
      </c>
      <c r="B335" s="98">
        <v>1</v>
      </c>
      <c r="C335" s="133" t="s">
        <v>55</v>
      </c>
      <c r="D335" s="98">
        <v>340927</v>
      </c>
      <c r="E335" s="137">
        <v>44986</v>
      </c>
      <c r="F335" s="98" t="s">
        <v>600</v>
      </c>
      <c r="G335" s="140" t="s">
        <v>489</v>
      </c>
      <c r="H335" s="98" t="s">
        <v>44</v>
      </c>
      <c r="I335" s="140" t="s">
        <v>711</v>
      </c>
      <c r="J335" s="98">
        <v>98019</v>
      </c>
      <c r="K335" s="98" t="s">
        <v>49</v>
      </c>
      <c r="L335" s="98" t="s">
        <v>80</v>
      </c>
      <c r="M335" s="98" t="s">
        <v>40</v>
      </c>
      <c r="N335" s="237">
        <f>+VLOOKUP(A335,COMISIONES!$C$2:$AR$33,42,0)</f>
        <v>32.5</v>
      </c>
      <c r="O335" s="53">
        <f t="shared" si="5"/>
        <v>32.5</v>
      </c>
      <c r="P335" s="7">
        <f>+VLOOKUP(A335,COMISIONES!$C$2:$C$33,1,0)</f>
        <v>20004161</v>
      </c>
    </row>
    <row r="336" spans="1:16">
      <c r="A336" s="98">
        <v>20000033</v>
      </c>
      <c r="B336" s="98">
        <v>1</v>
      </c>
      <c r="C336" s="133" t="s">
        <v>55</v>
      </c>
      <c r="D336" s="98">
        <v>340926</v>
      </c>
      <c r="E336" s="137">
        <v>44986</v>
      </c>
      <c r="F336" s="98" t="s">
        <v>601</v>
      </c>
      <c r="G336" s="140" t="s">
        <v>490</v>
      </c>
      <c r="H336" s="98" t="s">
        <v>44</v>
      </c>
      <c r="I336" s="140" t="s">
        <v>712</v>
      </c>
      <c r="J336" s="98">
        <v>98000</v>
      </c>
      <c r="K336" s="98" t="s">
        <v>51</v>
      </c>
      <c r="L336" s="98" t="s">
        <v>80</v>
      </c>
      <c r="M336" s="98" t="s">
        <v>40</v>
      </c>
      <c r="N336" s="237">
        <f>+VLOOKUP(A336,COMISIONES!$C$2:$AR$33,42,0)</f>
        <v>15</v>
      </c>
      <c r="O336" s="53">
        <f t="shared" si="5"/>
        <v>15</v>
      </c>
      <c r="P336" s="7">
        <f>+VLOOKUP(A336,COMISIONES!$C$2:$C$33,1,0)</f>
        <v>20000033</v>
      </c>
    </row>
    <row r="337" spans="1:16">
      <c r="A337" s="98">
        <v>20004161</v>
      </c>
      <c r="B337" s="98">
        <v>1</v>
      </c>
      <c r="C337" s="133" t="s">
        <v>55</v>
      </c>
      <c r="D337" s="98">
        <v>340904</v>
      </c>
      <c r="E337" s="137">
        <v>44986</v>
      </c>
      <c r="F337" s="98" t="s">
        <v>602</v>
      </c>
      <c r="G337" s="140" t="s">
        <v>491</v>
      </c>
      <c r="H337" s="98" t="s">
        <v>44</v>
      </c>
      <c r="I337" s="140" t="s">
        <v>713</v>
      </c>
      <c r="J337" s="98">
        <v>98019</v>
      </c>
      <c r="K337" s="98" t="s">
        <v>49</v>
      </c>
      <c r="L337" s="98" t="s">
        <v>80</v>
      </c>
      <c r="M337" s="98" t="s">
        <v>40</v>
      </c>
      <c r="N337" s="237">
        <f>+VLOOKUP(A337,COMISIONES!$C$2:$AR$33,42,0)</f>
        <v>32.5</v>
      </c>
      <c r="O337" s="53">
        <f t="shared" si="5"/>
        <v>32.5</v>
      </c>
      <c r="P337" s="7">
        <f>+VLOOKUP(A337,COMISIONES!$C$2:$C$33,1,0)</f>
        <v>20004161</v>
      </c>
    </row>
    <row r="338" spans="1:16">
      <c r="A338" s="98">
        <v>20009269</v>
      </c>
      <c r="B338" s="98">
        <v>1</v>
      </c>
      <c r="C338" s="133" t="s">
        <v>55</v>
      </c>
      <c r="D338" s="98">
        <v>340894</v>
      </c>
      <c r="E338" s="137">
        <v>44986</v>
      </c>
      <c r="F338" s="98" t="s">
        <v>603</v>
      </c>
      <c r="G338" s="140" t="s">
        <v>492</v>
      </c>
      <c r="H338" s="98" t="s">
        <v>44</v>
      </c>
      <c r="I338" s="140" t="s">
        <v>714</v>
      </c>
      <c r="J338" s="98">
        <v>98065</v>
      </c>
      <c r="K338" s="98" t="s">
        <v>49</v>
      </c>
      <c r="L338" s="98" t="s">
        <v>80</v>
      </c>
      <c r="M338" s="98" t="s">
        <v>40</v>
      </c>
      <c r="N338" s="237">
        <f>+VLOOKUP(A338,COMISIONES!$C$2:$AR$33,42,0)</f>
        <v>30</v>
      </c>
      <c r="O338" s="53">
        <f t="shared" si="5"/>
        <v>30</v>
      </c>
      <c r="P338" s="7">
        <f>+VLOOKUP(A338,COMISIONES!$C$2:$C$33,1,0)</f>
        <v>20009269</v>
      </c>
    </row>
    <row r="339" spans="1:16">
      <c r="A339" s="98">
        <v>20000661</v>
      </c>
      <c r="B339" s="98">
        <v>1</v>
      </c>
      <c r="C339" s="133" t="s">
        <v>55</v>
      </c>
      <c r="D339" s="98">
        <v>340925</v>
      </c>
      <c r="E339" s="137">
        <v>44986</v>
      </c>
      <c r="F339" s="98" t="s">
        <v>604</v>
      </c>
      <c r="G339" s="140" t="s">
        <v>493</v>
      </c>
      <c r="H339" s="98" t="s">
        <v>46</v>
      </c>
      <c r="I339" s="140" t="s">
        <v>715</v>
      </c>
      <c r="J339" s="98">
        <v>98013</v>
      </c>
      <c r="K339" s="98" t="s">
        <v>51</v>
      </c>
      <c r="L339" s="98" t="s">
        <v>80</v>
      </c>
      <c r="M339" s="98" t="s">
        <v>40</v>
      </c>
      <c r="N339" s="237">
        <f>+VLOOKUP(A339,COMISIONES!$C$2:$AR$33,42,0)</f>
        <v>15</v>
      </c>
      <c r="O339" s="53">
        <f t="shared" si="5"/>
        <v>15</v>
      </c>
      <c r="P339" s="7">
        <f>+VLOOKUP(A339,COMISIONES!$C$2:$C$33,1,0)</f>
        <v>20000661</v>
      </c>
    </row>
    <row r="340" spans="1:16">
      <c r="A340" s="98">
        <v>20008439</v>
      </c>
      <c r="B340" s="98">
        <v>1</v>
      </c>
      <c r="C340" s="133" t="s">
        <v>55</v>
      </c>
      <c r="D340" s="98">
        <v>340892</v>
      </c>
      <c r="E340" s="137">
        <v>44986</v>
      </c>
      <c r="F340" s="98" t="s">
        <v>605</v>
      </c>
      <c r="G340" s="140" t="s">
        <v>494</v>
      </c>
      <c r="H340" s="98" t="s">
        <v>44</v>
      </c>
      <c r="I340" s="140" t="s">
        <v>716</v>
      </c>
      <c r="J340" s="98">
        <v>98049</v>
      </c>
      <c r="K340" s="98" t="s">
        <v>50</v>
      </c>
      <c r="L340" s="98" t="s">
        <v>80</v>
      </c>
      <c r="M340" s="98" t="s">
        <v>40</v>
      </c>
      <c r="N340" s="237">
        <f>+VLOOKUP(A340,COMISIONES!$C$2:$AR$33,42,0)</f>
        <v>15</v>
      </c>
      <c r="O340" s="53">
        <f t="shared" si="5"/>
        <v>15</v>
      </c>
      <c r="P340" s="7">
        <f>+VLOOKUP(A340,COMISIONES!$C$2:$C$33,1,0)</f>
        <v>20008439</v>
      </c>
    </row>
    <row r="341" spans="1:16">
      <c r="A341" s="98">
        <v>20004566</v>
      </c>
      <c r="B341" s="98">
        <v>1</v>
      </c>
      <c r="C341" s="133" t="s">
        <v>55</v>
      </c>
      <c r="D341" s="98">
        <v>341580</v>
      </c>
      <c r="E341" s="137">
        <v>44986</v>
      </c>
      <c r="F341" s="98" t="s">
        <v>606</v>
      </c>
      <c r="G341" s="140" t="s">
        <v>495</v>
      </c>
      <c r="H341" s="98" t="s">
        <v>44</v>
      </c>
      <c r="I341" s="140" t="s">
        <v>717</v>
      </c>
      <c r="J341" s="98">
        <v>98023</v>
      </c>
      <c r="K341" s="98" t="s">
        <v>50</v>
      </c>
      <c r="L341" s="98" t="s">
        <v>80</v>
      </c>
      <c r="M341" s="98" t="s">
        <v>40</v>
      </c>
      <c r="N341" s="237">
        <f>+VLOOKUP(A341,COMISIONES!$C$2:$AR$33,42,0)</f>
        <v>20</v>
      </c>
      <c r="O341" s="53">
        <f t="shared" si="5"/>
        <v>20</v>
      </c>
      <c r="P341" s="7">
        <f>+VLOOKUP(A341,COMISIONES!$C$2:$C$33,1,0)</f>
        <v>20004566</v>
      </c>
    </row>
    <row r="342" spans="1:16">
      <c r="A342" s="98">
        <v>20008439</v>
      </c>
      <c r="B342" s="98">
        <v>1</v>
      </c>
      <c r="C342" s="133" t="s">
        <v>55</v>
      </c>
      <c r="D342" s="98">
        <v>341747</v>
      </c>
      <c r="E342" s="137">
        <v>44986</v>
      </c>
      <c r="F342" s="98" t="s">
        <v>607</v>
      </c>
      <c r="G342" s="140" t="s">
        <v>496</v>
      </c>
      <c r="H342" s="98" t="s">
        <v>44</v>
      </c>
      <c r="I342" s="140" t="s">
        <v>718</v>
      </c>
      <c r="J342" s="98">
        <v>98049</v>
      </c>
      <c r="K342" s="98" t="s">
        <v>50</v>
      </c>
      <c r="L342" s="98" t="s">
        <v>80</v>
      </c>
      <c r="M342" s="98" t="s">
        <v>40</v>
      </c>
      <c r="N342" s="237">
        <f>+VLOOKUP(A342,COMISIONES!$C$2:$AR$33,42,0)</f>
        <v>15</v>
      </c>
      <c r="O342" s="53">
        <f t="shared" si="5"/>
        <v>15</v>
      </c>
      <c r="P342" s="7">
        <f>+VLOOKUP(A342,COMISIONES!$C$2:$C$33,1,0)</f>
        <v>20008439</v>
      </c>
    </row>
    <row r="343" spans="1:16">
      <c r="A343" s="98">
        <v>20006360</v>
      </c>
      <c r="B343" s="98">
        <v>1</v>
      </c>
      <c r="C343" s="133" t="s">
        <v>55</v>
      </c>
      <c r="D343" s="98">
        <v>341732</v>
      </c>
      <c r="E343" s="137">
        <v>44986</v>
      </c>
      <c r="F343" s="98" t="s">
        <v>608</v>
      </c>
      <c r="G343" s="140" t="s">
        <v>497</v>
      </c>
      <c r="H343" s="98" t="s">
        <v>44</v>
      </c>
      <c r="I343" s="140" t="s">
        <v>719</v>
      </c>
      <c r="J343" s="98">
        <v>98012</v>
      </c>
      <c r="K343" s="98" t="s">
        <v>50</v>
      </c>
      <c r="L343" s="98" t="s">
        <v>80</v>
      </c>
      <c r="M343" s="98" t="s">
        <v>40</v>
      </c>
      <c r="N343" s="237">
        <f>+VLOOKUP(A343,COMISIONES!$C$2:$AR$33,42,0)</f>
        <v>10</v>
      </c>
      <c r="O343" s="53">
        <f t="shared" si="5"/>
        <v>10</v>
      </c>
      <c r="P343" s="7">
        <f>+VLOOKUP(A343,COMISIONES!$C$2:$C$33,1,0)</f>
        <v>20006360</v>
      </c>
    </row>
    <row r="344" spans="1:16">
      <c r="A344" s="98">
        <v>20006162</v>
      </c>
      <c r="B344" s="98">
        <v>1</v>
      </c>
      <c r="C344" s="133" t="s">
        <v>55</v>
      </c>
      <c r="D344" s="98">
        <v>341734</v>
      </c>
      <c r="E344" s="137">
        <v>44986</v>
      </c>
      <c r="F344" s="98" t="s">
        <v>609</v>
      </c>
      <c r="G344" s="140" t="s">
        <v>498</v>
      </c>
      <c r="H344" s="98" t="s">
        <v>44</v>
      </c>
      <c r="I344" s="140" t="s">
        <v>720</v>
      </c>
      <c r="J344" s="98">
        <v>98069</v>
      </c>
      <c r="K344" s="98" t="s">
        <v>50</v>
      </c>
      <c r="L344" s="98" t="s">
        <v>80</v>
      </c>
      <c r="M344" s="98" t="s">
        <v>40</v>
      </c>
      <c r="N344" s="237">
        <f>+VLOOKUP(A344,COMISIONES!$C$2:$AR$33,42,0)</f>
        <v>20</v>
      </c>
      <c r="O344" s="53">
        <f t="shared" si="5"/>
        <v>20</v>
      </c>
      <c r="P344" s="7">
        <f>+VLOOKUP(A344,COMISIONES!$C$2:$C$33,1,0)</f>
        <v>20006162</v>
      </c>
    </row>
    <row r="345" spans="1:16">
      <c r="A345" s="98">
        <v>20001487</v>
      </c>
      <c r="B345" s="98">
        <v>1</v>
      </c>
      <c r="C345" s="133" t="s">
        <v>55</v>
      </c>
      <c r="D345" s="98">
        <v>341998</v>
      </c>
      <c r="E345" s="137">
        <v>44986</v>
      </c>
      <c r="F345" s="98" t="s">
        <v>610</v>
      </c>
      <c r="G345" s="140" t="s">
        <v>499</v>
      </c>
      <c r="H345" s="98" t="s">
        <v>44</v>
      </c>
      <c r="I345" s="140" t="s">
        <v>721</v>
      </c>
      <c r="J345" s="98">
        <v>98003</v>
      </c>
      <c r="K345" s="98" t="s">
        <v>51</v>
      </c>
      <c r="L345" s="98" t="s">
        <v>80</v>
      </c>
      <c r="M345" s="98" t="s">
        <v>40</v>
      </c>
      <c r="N345" s="237">
        <f>+VLOOKUP(A345,COMISIONES!$C$2:$AR$33,42,0)</f>
        <v>30</v>
      </c>
      <c r="O345" s="53">
        <f t="shared" si="5"/>
        <v>30</v>
      </c>
      <c r="P345" s="7">
        <f>+VLOOKUP(A345,COMISIONES!$C$2:$C$33,1,0)</f>
        <v>20001487</v>
      </c>
    </row>
    <row r="346" spans="1:16">
      <c r="A346" s="98">
        <v>20001487</v>
      </c>
      <c r="B346" s="98">
        <v>1</v>
      </c>
      <c r="C346" s="133" t="s">
        <v>55</v>
      </c>
      <c r="D346" s="98">
        <v>342449</v>
      </c>
      <c r="E346" s="137">
        <v>44986</v>
      </c>
      <c r="F346" s="98" t="s">
        <v>3691</v>
      </c>
      <c r="G346" s="140" t="s">
        <v>3611</v>
      </c>
      <c r="H346" s="98" t="s">
        <v>44</v>
      </c>
      <c r="I346" s="140" t="s">
        <v>3771</v>
      </c>
      <c r="J346" s="98">
        <v>98003</v>
      </c>
      <c r="K346" s="98" t="s">
        <v>51</v>
      </c>
      <c r="L346" s="98" t="s">
        <v>80</v>
      </c>
      <c r="M346" s="98" t="s">
        <v>40</v>
      </c>
      <c r="N346" s="237">
        <f>+VLOOKUP(A346,COMISIONES!$C$2:$AR$33,42,0)</f>
        <v>30</v>
      </c>
      <c r="O346" s="53">
        <f t="shared" si="5"/>
        <v>30</v>
      </c>
      <c r="P346" s="7">
        <f>+VLOOKUP(A346,COMISIONES!$C$2:$C$33,1,0)</f>
        <v>20001487</v>
      </c>
    </row>
    <row r="347" spans="1:16">
      <c r="A347" s="98">
        <v>20008711</v>
      </c>
      <c r="B347" s="98">
        <v>1</v>
      </c>
      <c r="C347" s="133" t="s">
        <v>55</v>
      </c>
      <c r="D347" s="98">
        <v>342582</v>
      </c>
      <c r="E347" s="137">
        <v>44986</v>
      </c>
      <c r="F347" s="98" t="s">
        <v>611</v>
      </c>
      <c r="G347" s="140" t="s">
        <v>500</v>
      </c>
      <c r="H347" s="98" t="s">
        <v>44</v>
      </c>
      <c r="I347" s="140" t="s">
        <v>722</v>
      </c>
      <c r="J347" s="98">
        <v>98055</v>
      </c>
      <c r="K347" s="98" t="s">
        <v>50</v>
      </c>
      <c r="L347" s="98" t="s">
        <v>80</v>
      </c>
      <c r="M347" s="98" t="s">
        <v>40</v>
      </c>
      <c r="N347" s="237">
        <f>+VLOOKUP(A347,COMISIONES!$C$2:$AR$33,42,0)</f>
        <v>15</v>
      </c>
      <c r="O347" s="53">
        <f t="shared" si="5"/>
        <v>15</v>
      </c>
      <c r="P347" s="7">
        <f>+VLOOKUP(A347,COMISIONES!$C$2:$C$33,1,0)</f>
        <v>20008711</v>
      </c>
    </row>
    <row r="348" spans="1:16">
      <c r="A348" s="98">
        <v>20006360</v>
      </c>
      <c r="B348" s="98">
        <v>1</v>
      </c>
      <c r="C348" s="133" t="s">
        <v>55</v>
      </c>
      <c r="D348" s="98">
        <v>342602</v>
      </c>
      <c r="E348" s="137">
        <v>44986</v>
      </c>
      <c r="F348" s="98" t="s">
        <v>612</v>
      </c>
      <c r="G348" s="140" t="s">
        <v>501</v>
      </c>
      <c r="H348" s="98" t="s">
        <v>44</v>
      </c>
      <c r="I348" s="140" t="s">
        <v>723</v>
      </c>
      <c r="J348" s="98">
        <v>98012</v>
      </c>
      <c r="K348" s="98" t="s">
        <v>50</v>
      </c>
      <c r="L348" s="98" t="s">
        <v>80</v>
      </c>
      <c r="M348" s="98" t="s">
        <v>40</v>
      </c>
      <c r="N348" s="237">
        <f>+VLOOKUP(A348,COMISIONES!$C$2:$AR$33,42,0)</f>
        <v>10</v>
      </c>
      <c r="O348" s="53">
        <f t="shared" si="5"/>
        <v>10</v>
      </c>
      <c r="P348" s="7">
        <f>+VLOOKUP(A348,COMISIONES!$C$2:$C$33,1,0)</f>
        <v>20006360</v>
      </c>
    </row>
    <row r="349" spans="1:16">
      <c r="A349" s="98">
        <v>20007352</v>
      </c>
      <c r="B349" s="98">
        <v>1</v>
      </c>
      <c r="C349" s="133" t="s">
        <v>55</v>
      </c>
      <c r="D349" s="98">
        <v>342652</v>
      </c>
      <c r="E349" s="137">
        <v>44986</v>
      </c>
      <c r="F349" s="98" t="s">
        <v>613</v>
      </c>
      <c r="G349" s="140" t="s">
        <v>502</v>
      </c>
      <c r="H349" s="98" t="s">
        <v>44</v>
      </c>
      <c r="I349" s="140" t="s">
        <v>724</v>
      </c>
      <c r="J349" s="98">
        <v>98034</v>
      </c>
      <c r="K349" s="98" t="s">
        <v>52</v>
      </c>
      <c r="L349" s="98" t="s">
        <v>80</v>
      </c>
      <c r="M349" s="98" t="s">
        <v>40</v>
      </c>
      <c r="N349" s="237">
        <f>+VLOOKUP(A349,COMISIONES!$C$2:$AR$33,42,0)</f>
        <v>15</v>
      </c>
      <c r="O349" s="53">
        <f t="shared" si="5"/>
        <v>15</v>
      </c>
      <c r="P349" s="7">
        <f>+VLOOKUP(A349,COMISIONES!$C$2:$C$33,1,0)</f>
        <v>20007352</v>
      </c>
    </row>
    <row r="350" spans="1:16">
      <c r="A350" s="98">
        <v>20005527</v>
      </c>
      <c r="B350" s="98">
        <v>1</v>
      </c>
      <c r="C350" s="133" t="s">
        <v>55</v>
      </c>
      <c r="D350" s="98">
        <v>342639</v>
      </c>
      <c r="E350" s="137">
        <v>44986</v>
      </c>
      <c r="F350" s="98" t="s">
        <v>614</v>
      </c>
      <c r="G350" s="140" t="s">
        <v>503</v>
      </c>
      <c r="H350" s="98" t="s">
        <v>44</v>
      </c>
      <c r="I350" s="140" t="s">
        <v>725</v>
      </c>
      <c r="J350" s="98">
        <v>98041</v>
      </c>
      <c r="K350" s="98" t="s">
        <v>52</v>
      </c>
      <c r="L350" s="98" t="s">
        <v>80</v>
      </c>
      <c r="M350" s="98" t="s">
        <v>40</v>
      </c>
      <c r="N350" s="237">
        <f>+VLOOKUP(A350,COMISIONES!$C$2:$AR$33,42,0)</f>
        <v>10</v>
      </c>
      <c r="O350" s="53">
        <f t="shared" si="5"/>
        <v>10</v>
      </c>
      <c r="P350" s="7">
        <f>+VLOOKUP(A350,COMISIONES!$C$2:$C$33,1,0)</f>
        <v>20005527</v>
      </c>
    </row>
    <row r="351" spans="1:16">
      <c r="A351" s="98">
        <v>20004566</v>
      </c>
      <c r="B351" s="98">
        <v>1</v>
      </c>
      <c r="C351" s="133" t="s">
        <v>55</v>
      </c>
      <c r="D351" s="98">
        <v>342638</v>
      </c>
      <c r="E351" s="137">
        <v>44986</v>
      </c>
      <c r="F351" s="98" t="s">
        <v>615</v>
      </c>
      <c r="G351" s="140" t="s">
        <v>504</v>
      </c>
      <c r="H351" s="98" t="s">
        <v>44</v>
      </c>
      <c r="I351" s="140" t="s">
        <v>726</v>
      </c>
      <c r="J351" s="98">
        <v>98023</v>
      </c>
      <c r="K351" s="98" t="s">
        <v>50</v>
      </c>
      <c r="L351" s="98" t="s">
        <v>80</v>
      </c>
      <c r="M351" s="98" t="s">
        <v>40</v>
      </c>
      <c r="N351" s="237">
        <f>+VLOOKUP(A351,COMISIONES!$C$2:$AR$33,42,0)</f>
        <v>20</v>
      </c>
      <c r="O351" s="53">
        <f t="shared" si="5"/>
        <v>20</v>
      </c>
      <c r="P351" s="7">
        <f>+VLOOKUP(A351,COMISIONES!$C$2:$C$33,1,0)</f>
        <v>20004566</v>
      </c>
    </row>
    <row r="352" spans="1:16">
      <c r="A352" s="98">
        <v>20004638</v>
      </c>
      <c r="B352" s="98">
        <v>1</v>
      </c>
      <c r="C352" s="133" t="s">
        <v>55</v>
      </c>
      <c r="D352" s="98">
        <v>342687</v>
      </c>
      <c r="E352" s="137">
        <v>44986</v>
      </c>
      <c r="F352" s="98" t="s">
        <v>616</v>
      </c>
      <c r="G352" s="140" t="s">
        <v>505</v>
      </c>
      <c r="H352" s="98" t="s">
        <v>44</v>
      </c>
      <c r="I352" s="140" t="s">
        <v>727</v>
      </c>
      <c r="J352" s="98">
        <v>98009</v>
      </c>
      <c r="K352" s="98" t="s">
        <v>51</v>
      </c>
      <c r="L352" s="98" t="s">
        <v>80</v>
      </c>
      <c r="M352" s="98" t="s">
        <v>40</v>
      </c>
      <c r="N352" s="237">
        <f>+VLOOKUP(A352,COMISIONES!$C$2:$AR$33,42,0)</f>
        <v>10</v>
      </c>
      <c r="O352" s="53">
        <f t="shared" si="5"/>
        <v>10</v>
      </c>
      <c r="P352" s="7">
        <f>+VLOOKUP(A352,COMISIONES!$C$2:$C$33,1,0)</f>
        <v>20004638</v>
      </c>
    </row>
    <row r="353" spans="1:16">
      <c r="A353" s="98">
        <v>20006162</v>
      </c>
      <c r="B353" s="98">
        <v>1</v>
      </c>
      <c r="C353" s="133" t="s">
        <v>55</v>
      </c>
      <c r="D353" s="98">
        <v>343128</v>
      </c>
      <c r="E353" s="137">
        <v>44986</v>
      </c>
      <c r="F353" s="98" t="s">
        <v>3692</v>
      </c>
      <c r="G353" s="140" t="s">
        <v>3612</v>
      </c>
      <c r="H353" s="98" t="s">
        <v>44</v>
      </c>
      <c r="I353" s="140" t="s">
        <v>3772</v>
      </c>
      <c r="J353" s="98">
        <v>98069</v>
      </c>
      <c r="K353" s="98" t="s">
        <v>50</v>
      </c>
      <c r="L353" s="98" t="s">
        <v>80</v>
      </c>
      <c r="M353" s="98" t="s">
        <v>40</v>
      </c>
      <c r="N353" s="237">
        <f>+VLOOKUP(A353,COMISIONES!$C$2:$AR$33,42,0)</f>
        <v>20</v>
      </c>
      <c r="O353" s="53">
        <f t="shared" si="5"/>
        <v>20</v>
      </c>
      <c r="P353" s="7">
        <f>+VLOOKUP(A353,COMISIONES!$C$2:$C$33,1,0)</f>
        <v>20006162</v>
      </c>
    </row>
    <row r="354" spans="1:16">
      <c r="A354" s="98">
        <v>20007726</v>
      </c>
      <c r="B354" s="98">
        <v>1</v>
      </c>
      <c r="C354" s="133" t="s">
        <v>55</v>
      </c>
      <c r="D354" s="98">
        <v>343573</v>
      </c>
      <c r="E354" s="137">
        <v>44986</v>
      </c>
      <c r="F354" s="98" t="s">
        <v>617</v>
      </c>
      <c r="G354" s="140" t="s">
        <v>506</v>
      </c>
      <c r="H354" s="98" t="s">
        <v>44</v>
      </c>
      <c r="I354" s="140" t="s">
        <v>728</v>
      </c>
      <c r="J354" s="98">
        <v>98051</v>
      </c>
      <c r="K354" s="98" t="s">
        <v>49</v>
      </c>
      <c r="L354" s="98" t="s">
        <v>80</v>
      </c>
      <c r="M354" s="98" t="s">
        <v>40</v>
      </c>
      <c r="N354" s="237">
        <f>+VLOOKUP(A354,COMISIONES!$C$2:$AR$33,42,0)</f>
        <v>30</v>
      </c>
      <c r="O354" s="53">
        <f t="shared" si="5"/>
        <v>30</v>
      </c>
      <c r="P354" s="7">
        <f>+VLOOKUP(A354,COMISIONES!$C$2:$C$33,1,0)</f>
        <v>20007726</v>
      </c>
    </row>
    <row r="355" spans="1:16">
      <c r="A355" s="98">
        <v>20008711</v>
      </c>
      <c r="B355" s="98">
        <v>1</v>
      </c>
      <c r="C355" s="133" t="s">
        <v>55</v>
      </c>
      <c r="D355" s="98">
        <v>343945</v>
      </c>
      <c r="E355" s="137">
        <v>44986</v>
      </c>
      <c r="F355" s="98" t="s">
        <v>618</v>
      </c>
      <c r="G355" s="140" t="s">
        <v>507</v>
      </c>
      <c r="H355" s="98" t="s">
        <v>43</v>
      </c>
      <c r="I355" s="140" t="s">
        <v>729</v>
      </c>
      <c r="J355" s="98">
        <v>98055</v>
      </c>
      <c r="K355" s="98" t="s">
        <v>50</v>
      </c>
      <c r="L355" s="98" t="s">
        <v>80</v>
      </c>
      <c r="M355" s="98" t="s">
        <v>40</v>
      </c>
      <c r="N355" s="237">
        <f>+VLOOKUP(A355,COMISIONES!$C$2:$AR$33,42,0)</f>
        <v>15</v>
      </c>
      <c r="O355" s="53">
        <f t="shared" si="5"/>
        <v>15</v>
      </c>
      <c r="P355" s="7">
        <f>+VLOOKUP(A355,COMISIONES!$C$2:$C$33,1,0)</f>
        <v>20008711</v>
      </c>
    </row>
    <row r="356" spans="1:16">
      <c r="A356" s="98">
        <v>20009690</v>
      </c>
      <c r="B356" s="98">
        <v>1</v>
      </c>
      <c r="C356" s="133" t="s">
        <v>55</v>
      </c>
      <c r="D356" s="98">
        <v>343950</v>
      </c>
      <c r="E356" s="137">
        <v>44986</v>
      </c>
      <c r="F356" s="98" t="s">
        <v>619</v>
      </c>
      <c r="G356" s="140" t="s">
        <v>508</v>
      </c>
      <c r="H356" s="98" t="s">
        <v>44</v>
      </c>
      <c r="I356" s="140" t="s">
        <v>730</v>
      </c>
      <c r="J356" s="98">
        <v>98068</v>
      </c>
      <c r="K356" s="98" t="s">
        <v>49</v>
      </c>
      <c r="L356" s="98" t="s">
        <v>80</v>
      </c>
      <c r="M356" s="98" t="s">
        <v>40</v>
      </c>
      <c r="N356" s="237">
        <f>+VLOOKUP(A356,COMISIONES!$C$2:$AR$33,42,0)</f>
        <v>30</v>
      </c>
      <c r="O356" s="53">
        <f t="shared" si="5"/>
        <v>30</v>
      </c>
      <c r="P356" s="7">
        <f>+VLOOKUP(A356,COMISIONES!$C$2:$C$33,1,0)</f>
        <v>20009690</v>
      </c>
    </row>
    <row r="357" spans="1:16">
      <c r="A357" s="98">
        <v>20007352</v>
      </c>
      <c r="B357" s="98">
        <v>1</v>
      </c>
      <c r="C357" s="133" t="s">
        <v>55</v>
      </c>
      <c r="D357" s="98">
        <v>343932</v>
      </c>
      <c r="E357" s="137">
        <v>44986</v>
      </c>
      <c r="F357" s="98" t="s">
        <v>620</v>
      </c>
      <c r="G357" s="140" t="s">
        <v>509</v>
      </c>
      <c r="H357" s="98" t="s">
        <v>44</v>
      </c>
      <c r="I357" s="140" t="s">
        <v>731</v>
      </c>
      <c r="J357" s="98">
        <v>98034</v>
      </c>
      <c r="K357" s="98" t="s">
        <v>52</v>
      </c>
      <c r="L357" s="98" t="s">
        <v>80</v>
      </c>
      <c r="M357" s="98" t="s">
        <v>40</v>
      </c>
      <c r="N357" s="237">
        <f>+VLOOKUP(A357,COMISIONES!$C$2:$AR$33,42,0)</f>
        <v>15</v>
      </c>
      <c r="O357" s="53">
        <f t="shared" si="5"/>
        <v>15</v>
      </c>
      <c r="P357" s="7">
        <f>+VLOOKUP(A357,COMISIONES!$C$2:$C$33,1,0)</f>
        <v>20007352</v>
      </c>
    </row>
    <row r="358" spans="1:16">
      <c r="A358" s="98">
        <v>20008711</v>
      </c>
      <c r="B358" s="98">
        <v>1</v>
      </c>
      <c r="C358" s="133" t="s">
        <v>55</v>
      </c>
      <c r="D358" s="98">
        <v>343867</v>
      </c>
      <c r="E358" s="137">
        <v>44986</v>
      </c>
      <c r="F358" s="98" t="s">
        <v>621</v>
      </c>
      <c r="G358" s="140" t="s">
        <v>510</v>
      </c>
      <c r="H358" s="98" t="s">
        <v>44</v>
      </c>
      <c r="I358" s="140" t="s">
        <v>732</v>
      </c>
      <c r="J358" s="98">
        <v>98055</v>
      </c>
      <c r="K358" s="98" t="s">
        <v>50</v>
      </c>
      <c r="L358" s="98" t="s">
        <v>80</v>
      </c>
      <c r="M358" s="98" t="s">
        <v>40</v>
      </c>
      <c r="N358" s="237">
        <f>+VLOOKUP(A358,COMISIONES!$C$2:$AR$33,42,0)</f>
        <v>15</v>
      </c>
      <c r="O358" s="53">
        <f t="shared" si="5"/>
        <v>15</v>
      </c>
      <c r="P358" s="7">
        <f>+VLOOKUP(A358,COMISIONES!$C$2:$C$33,1,0)</f>
        <v>20008711</v>
      </c>
    </row>
    <row r="359" spans="1:16">
      <c r="A359" s="98">
        <v>20008711</v>
      </c>
      <c r="B359" s="98">
        <v>1</v>
      </c>
      <c r="C359" s="133" t="s">
        <v>55</v>
      </c>
      <c r="D359" s="98">
        <v>344038</v>
      </c>
      <c r="E359" s="137">
        <v>44986</v>
      </c>
      <c r="F359" s="98" t="s">
        <v>3693</v>
      </c>
      <c r="G359" s="140" t="s">
        <v>3613</v>
      </c>
      <c r="H359" s="98" t="s">
        <v>44</v>
      </c>
      <c r="I359" s="140" t="s">
        <v>3773</v>
      </c>
      <c r="J359" s="98">
        <v>98055</v>
      </c>
      <c r="K359" s="98" t="s">
        <v>50</v>
      </c>
      <c r="L359" s="98" t="s">
        <v>80</v>
      </c>
      <c r="M359" s="98" t="s">
        <v>40</v>
      </c>
      <c r="N359" s="237">
        <f>+VLOOKUP(A359,COMISIONES!$C$2:$AR$33,42,0)</f>
        <v>15</v>
      </c>
      <c r="O359" s="53">
        <f t="shared" si="5"/>
        <v>15</v>
      </c>
      <c r="P359" s="7">
        <f>+VLOOKUP(A359,COMISIONES!$C$2:$C$33,1,0)</f>
        <v>20008711</v>
      </c>
    </row>
    <row r="360" spans="1:16">
      <c r="A360" s="98">
        <v>20004235</v>
      </c>
      <c r="B360" s="98">
        <v>1</v>
      </c>
      <c r="C360" s="133" t="s">
        <v>55</v>
      </c>
      <c r="D360" s="98">
        <v>343998</v>
      </c>
      <c r="E360" s="137">
        <v>44986</v>
      </c>
      <c r="F360" s="98" t="s">
        <v>622</v>
      </c>
      <c r="G360" s="140" t="s">
        <v>511</v>
      </c>
      <c r="H360" s="98" t="s">
        <v>44</v>
      </c>
      <c r="I360" s="140" t="s">
        <v>733</v>
      </c>
      <c r="J360" s="98">
        <v>98002</v>
      </c>
      <c r="K360" s="98" t="s">
        <v>49</v>
      </c>
      <c r="L360" s="98" t="s">
        <v>80</v>
      </c>
      <c r="M360" s="98" t="s">
        <v>40</v>
      </c>
      <c r="N360" s="237">
        <f>+VLOOKUP(A360,COMISIONES!$C$2:$AR$33,42,0)</f>
        <v>15</v>
      </c>
      <c r="O360" s="53">
        <f t="shared" si="5"/>
        <v>15</v>
      </c>
      <c r="P360" s="7">
        <f>+VLOOKUP(A360,COMISIONES!$C$2:$C$33,1,0)</f>
        <v>20004235</v>
      </c>
    </row>
    <row r="361" spans="1:16">
      <c r="A361" s="98">
        <v>20006162</v>
      </c>
      <c r="B361" s="98">
        <v>1</v>
      </c>
      <c r="C361" s="133" t="s">
        <v>55</v>
      </c>
      <c r="D361" s="98">
        <v>344053</v>
      </c>
      <c r="E361" s="137">
        <v>44986</v>
      </c>
      <c r="F361" s="98" t="s">
        <v>623</v>
      </c>
      <c r="G361" s="140" t="s">
        <v>512</v>
      </c>
      <c r="H361" s="98" t="s">
        <v>44</v>
      </c>
      <c r="I361" s="140" t="s">
        <v>734</v>
      </c>
      <c r="J361" s="98">
        <v>98069</v>
      </c>
      <c r="K361" s="98" t="s">
        <v>50</v>
      </c>
      <c r="L361" s="98" t="s">
        <v>80</v>
      </c>
      <c r="M361" s="98" t="s">
        <v>40</v>
      </c>
      <c r="N361" s="237">
        <f>+VLOOKUP(A361,COMISIONES!$C$2:$AR$33,42,0)</f>
        <v>20</v>
      </c>
      <c r="O361" s="53">
        <f t="shared" si="5"/>
        <v>20</v>
      </c>
      <c r="P361" s="7">
        <f>+VLOOKUP(A361,COMISIONES!$C$2:$C$33,1,0)</f>
        <v>20006162</v>
      </c>
    </row>
    <row r="362" spans="1:16">
      <c r="A362" s="98">
        <v>20007726</v>
      </c>
      <c r="B362" s="98">
        <v>1</v>
      </c>
      <c r="C362" s="133" t="s">
        <v>55</v>
      </c>
      <c r="D362" s="98">
        <v>344081</v>
      </c>
      <c r="E362" s="137">
        <v>44986</v>
      </c>
      <c r="F362" s="98" t="s">
        <v>624</v>
      </c>
      <c r="G362" s="140" t="s">
        <v>513</v>
      </c>
      <c r="H362" s="98" t="s">
        <v>44</v>
      </c>
      <c r="I362" s="140" t="s">
        <v>735</v>
      </c>
      <c r="J362" s="98">
        <v>98051</v>
      </c>
      <c r="K362" s="98" t="s">
        <v>49</v>
      </c>
      <c r="L362" s="98" t="s">
        <v>80</v>
      </c>
      <c r="M362" s="98" t="s">
        <v>40</v>
      </c>
      <c r="N362" s="237">
        <f>+VLOOKUP(A362,COMISIONES!$C$2:$AR$33,42,0)</f>
        <v>30</v>
      </c>
      <c r="O362" s="53">
        <f t="shared" si="5"/>
        <v>30</v>
      </c>
      <c r="P362" s="7">
        <f>+VLOOKUP(A362,COMISIONES!$C$2:$C$33,1,0)</f>
        <v>20007726</v>
      </c>
    </row>
    <row r="363" spans="1:16">
      <c r="A363" s="98">
        <v>20005527</v>
      </c>
      <c r="B363" s="98">
        <v>1</v>
      </c>
      <c r="C363" s="133" t="s">
        <v>55</v>
      </c>
      <c r="D363" s="98">
        <v>344640</v>
      </c>
      <c r="E363" s="137">
        <v>44986</v>
      </c>
      <c r="F363" s="98" t="s">
        <v>625</v>
      </c>
      <c r="G363" s="140" t="s">
        <v>514</v>
      </c>
      <c r="H363" s="98" t="s">
        <v>44</v>
      </c>
      <c r="I363" s="140" t="s">
        <v>736</v>
      </c>
      <c r="J363" s="98">
        <v>98041</v>
      </c>
      <c r="K363" s="98" t="s">
        <v>52</v>
      </c>
      <c r="L363" s="98" t="s">
        <v>80</v>
      </c>
      <c r="M363" s="98" t="s">
        <v>40</v>
      </c>
      <c r="N363" s="237">
        <f>+VLOOKUP(A363,COMISIONES!$C$2:$AR$33,42,0)</f>
        <v>10</v>
      </c>
      <c r="O363" s="53">
        <f t="shared" si="5"/>
        <v>10</v>
      </c>
      <c r="P363" s="7">
        <f>+VLOOKUP(A363,COMISIONES!$C$2:$C$33,1,0)</f>
        <v>20005527</v>
      </c>
    </row>
    <row r="364" spans="1:16">
      <c r="A364" s="98">
        <v>20001487</v>
      </c>
      <c r="B364" s="98">
        <v>1</v>
      </c>
      <c r="C364" s="133" t="s">
        <v>55</v>
      </c>
      <c r="D364" s="98">
        <v>344877</v>
      </c>
      <c r="E364" s="137">
        <v>44986</v>
      </c>
      <c r="F364" s="98" t="s">
        <v>626</v>
      </c>
      <c r="G364" s="140" t="s">
        <v>515</v>
      </c>
      <c r="H364" s="98" t="s">
        <v>44</v>
      </c>
      <c r="I364" s="140" t="s">
        <v>737</v>
      </c>
      <c r="J364" s="98">
        <v>98003</v>
      </c>
      <c r="K364" s="98" t="s">
        <v>51</v>
      </c>
      <c r="L364" s="98" t="s">
        <v>80</v>
      </c>
      <c r="M364" s="98" t="s">
        <v>40</v>
      </c>
      <c r="N364" s="237">
        <f>+VLOOKUP(A364,COMISIONES!$C$2:$AR$33,42,0)</f>
        <v>30</v>
      </c>
      <c r="O364" s="53">
        <f t="shared" si="5"/>
        <v>30</v>
      </c>
      <c r="P364" s="7">
        <f>+VLOOKUP(A364,COMISIONES!$C$2:$C$33,1,0)</f>
        <v>20001487</v>
      </c>
    </row>
    <row r="365" spans="1:16">
      <c r="A365" s="98">
        <v>20008700</v>
      </c>
      <c r="B365" s="98">
        <v>1</v>
      </c>
      <c r="C365" s="133" t="s">
        <v>55</v>
      </c>
      <c r="D365" s="98">
        <v>345074</v>
      </c>
      <c r="E365" s="137">
        <v>44986</v>
      </c>
      <c r="F365" s="98" t="s">
        <v>627</v>
      </c>
      <c r="G365" s="140" t="s">
        <v>516</v>
      </c>
      <c r="H365" s="98" t="s">
        <v>44</v>
      </c>
      <c r="I365" s="140" t="s">
        <v>738</v>
      </c>
      <c r="J365" s="98">
        <v>98056</v>
      </c>
      <c r="K365" s="98" t="s">
        <v>50</v>
      </c>
      <c r="L365" s="98" t="s">
        <v>80</v>
      </c>
      <c r="M365" s="98" t="s">
        <v>40</v>
      </c>
      <c r="N365" s="237">
        <f>+VLOOKUP(A365,COMISIONES!$C$2:$AR$33,42,0)</f>
        <v>10</v>
      </c>
      <c r="O365" s="53">
        <f t="shared" si="5"/>
        <v>10</v>
      </c>
      <c r="P365" s="7">
        <f>+VLOOKUP(A365,COMISIONES!$C$2:$C$33,1,0)</f>
        <v>20008700</v>
      </c>
    </row>
    <row r="366" spans="1:16">
      <c r="A366" s="98">
        <v>20004235</v>
      </c>
      <c r="B366" s="98">
        <v>1</v>
      </c>
      <c r="C366" s="133" t="s">
        <v>55</v>
      </c>
      <c r="D366" s="98">
        <v>345079</v>
      </c>
      <c r="E366" s="137">
        <v>44986</v>
      </c>
      <c r="F366" s="98" t="s">
        <v>628</v>
      </c>
      <c r="G366" s="140" t="s">
        <v>517</v>
      </c>
      <c r="H366" s="98" t="s">
        <v>44</v>
      </c>
      <c r="I366" s="140" t="s">
        <v>739</v>
      </c>
      <c r="J366" s="98">
        <v>98002</v>
      </c>
      <c r="K366" s="98" t="s">
        <v>49</v>
      </c>
      <c r="L366" s="98" t="s">
        <v>80</v>
      </c>
      <c r="M366" s="98" t="s">
        <v>40</v>
      </c>
      <c r="N366" s="237">
        <f>+VLOOKUP(A366,COMISIONES!$C$2:$AR$33,42,0)</f>
        <v>15</v>
      </c>
      <c r="O366" s="53">
        <f t="shared" si="5"/>
        <v>15</v>
      </c>
      <c r="P366" s="7">
        <f>+VLOOKUP(A366,COMISIONES!$C$2:$C$33,1,0)</f>
        <v>20004235</v>
      </c>
    </row>
    <row r="367" spans="1:16">
      <c r="A367" s="98">
        <v>20002708</v>
      </c>
      <c r="B367" s="98">
        <v>1</v>
      </c>
      <c r="C367" s="133" t="s">
        <v>55</v>
      </c>
      <c r="D367" s="98">
        <v>345269</v>
      </c>
      <c r="E367" s="137">
        <v>44986</v>
      </c>
      <c r="F367" s="98" t="s">
        <v>3694</v>
      </c>
      <c r="G367" s="140" t="s">
        <v>3614</v>
      </c>
      <c r="H367" s="98" t="s">
        <v>43</v>
      </c>
      <c r="I367" s="140" t="s">
        <v>3774</v>
      </c>
      <c r="J367" s="98">
        <v>98021</v>
      </c>
      <c r="K367" s="98" t="s">
        <v>49</v>
      </c>
      <c r="L367" s="98" t="s">
        <v>80</v>
      </c>
      <c r="M367" s="98" t="s">
        <v>40</v>
      </c>
      <c r="N367" s="237">
        <f>+VLOOKUP(A367,COMISIONES!$C$2:$AR$33,42,0)</f>
        <v>15</v>
      </c>
      <c r="O367" s="53">
        <f t="shared" si="5"/>
        <v>15</v>
      </c>
      <c r="P367" s="7">
        <f>+VLOOKUP(A367,COMISIONES!$C$2:$C$33,1,0)</f>
        <v>20002708</v>
      </c>
    </row>
    <row r="368" spans="1:16">
      <c r="A368" s="98">
        <v>20008625</v>
      </c>
      <c r="B368" s="98">
        <v>1</v>
      </c>
      <c r="C368" s="133" t="s">
        <v>55</v>
      </c>
      <c r="D368" s="98">
        <v>345429</v>
      </c>
      <c r="E368" s="137">
        <v>44986</v>
      </c>
      <c r="F368" s="98" t="s">
        <v>629</v>
      </c>
      <c r="G368" s="140" t="s">
        <v>518</v>
      </c>
      <c r="H368" s="98" t="s">
        <v>44</v>
      </c>
      <c r="I368" s="140" t="s">
        <v>740</v>
      </c>
      <c r="J368" s="98">
        <v>98053</v>
      </c>
      <c r="K368" s="98" t="s">
        <v>49</v>
      </c>
      <c r="L368" s="98" t="s">
        <v>80</v>
      </c>
      <c r="M368" s="98" t="s">
        <v>40</v>
      </c>
      <c r="N368" s="237">
        <f>+VLOOKUP(A368,COMISIONES!$C$2:$AR$33,42,0)</f>
        <v>10</v>
      </c>
      <c r="O368" s="53">
        <f t="shared" si="5"/>
        <v>10</v>
      </c>
      <c r="P368" s="7">
        <f>+VLOOKUP(A368,COMISIONES!$C$2:$C$33,1,0)</f>
        <v>20008625</v>
      </c>
    </row>
    <row r="369" spans="1:16">
      <c r="A369" s="98">
        <v>20000661</v>
      </c>
      <c r="B369" s="98">
        <v>1</v>
      </c>
      <c r="C369" s="133" t="s">
        <v>55</v>
      </c>
      <c r="D369" s="98">
        <v>345532</v>
      </c>
      <c r="E369" s="137">
        <v>44986</v>
      </c>
      <c r="F369" s="98" t="s">
        <v>630</v>
      </c>
      <c r="G369" s="140" t="s">
        <v>519</v>
      </c>
      <c r="H369" s="98" t="s">
        <v>45</v>
      </c>
      <c r="I369" s="140" t="s">
        <v>741</v>
      </c>
      <c r="J369" s="98">
        <v>98013</v>
      </c>
      <c r="K369" s="98" t="s">
        <v>51</v>
      </c>
      <c r="L369" s="98" t="s">
        <v>80</v>
      </c>
      <c r="M369" s="98" t="s">
        <v>40</v>
      </c>
      <c r="N369" s="237">
        <f>+VLOOKUP(A369,COMISIONES!$C$2:$AR$33,42,0)</f>
        <v>15</v>
      </c>
      <c r="O369" s="53">
        <f t="shared" si="5"/>
        <v>15</v>
      </c>
      <c r="P369" s="7">
        <f>+VLOOKUP(A369,COMISIONES!$C$2:$C$33,1,0)</f>
        <v>20000661</v>
      </c>
    </row>
    <row r="370" spans="1:16">
      <c r="A370" s="263">
        <v>20009174</v>
      </c>
      <c r="B370" s="98">
        <v>1</v>
      </c>
      <c r="C370" s="264" t="s">
        <v>55</v>
      </c>
      <c r="D370" s="263">
        <v>345513</v>
      </c>
      <c r="E370" s="137">
        <v>44986</v>
      </c>
      <c r="F370" s="263" t="s">
        <v>631</v>
      </c>
      <c r="G370" s="265" t="s">
        <v>520</v>
      </c>
      <c r="H370" s="263" t="s">
        <v>44</v>
      </c>
      <c r="I370" s="265" t="s">
        <v>742</v>
      </c>
      <c r="J370" s="263">
        <v>98064</v>
      </c>
      <c r="K370" s="263" t="s">
        <v>52</v>
      </c>
      <c r="L370" s="263" t="s">
        <v>80</v>
      </c>
      <c r="M370" s="263" t="s">
        <v>40</v>
      </c>
      <c r="N370" s="237">
        <f>+VLOOKUP(A370,COMISIONES!$C$2:$AR$33,42,0)</f>
        <v>20</v>
      </c>
      <c r="O370" s="53">
        <f t="shared" si="5"/>
        <v>20</v>
      </c>
      <c r="P370" s="7">
        <f>+VLOOKUP(A370,COMISIONES!$C$2:$C$33,1,0)</f>
        <v>20009174</v>
      </c>
    </row>
    <row r="371" spans="1:16">
      <c r="A371" s="263">
        <v>20009690</v>
      </c>
      <c r="B371" s="98">
        <v>1</v>
      </c>
      <c r="C371" s="264" t="s">
        <v>55</v>
      </c>
      <c r="D371" s="263">
        <v>345466</v>
      </c>
      <c r="E371" s="137">
        <v>44986</v>
      </c>
      <c r="F371" s="263" t="s">
        <v>632</v>
      </c>
      <c r="G371" s="265" t="s">
        <v>521</v>
      </c>
      <c r="H371" s="263" t="s">
        <v>44</v>
      </c>
      <c r="I371" s="265" t="s">
        <v>743</v>
      </c>
      <c r="J371" s="263">
        <v>98068</v>
      </c>
      <c r="K371" s="263" t="s">
        <v>49</v>
      </c>
      <c r="L371" s="263" t="s">
        <v>80</v>
      </c>
      <c r="M371" s="263" t="s">
        <v>40</v>
      </c>
      <c r="N371" s="237">
        <f>+VLOOKUP(A371,COMISIONES!$C$2:$AR$33,42,0)</f>
        <v>30</v>
      </c>
      <c r="O371" s="53">
        <f t="shared" si="5"/>
        <v>30</v>
      </c>
      <c r="P371" s="7">
        <f>+VLOOKUP(A371,COMISIONES!$C$2:$C$33,1,0)</f>
        <v>20009690</v>
      </c>
    </row>
    <row r="372" spans="1:16">
      <c r="A372" s="263">
        <v>20000661</v>
      </c>
      <c r="B372" s="98">
        <v>1</v>
      </c>
      <c r="C372" s="264" t="s">
        <v>55</v>
      </c>
      <c r="D372" s="263">
        <v>345541</v>
      </c>
      <c r="E372" s="137">
        <v>44986</v>
      </c>
      <c r="F372" s="263" t="s">
        <v>633</v>
      </c>
      <c r="G372" s="265" t="s">
        <v>522</v>
      </c>
      <c r="H372" s="263" t="s">
        <v>45</v>
      </c>
      <c r="I372" s="265" t="s">
        <v>744</v>
      </c>
      <c r="J372" s="263">
        <v>98013</v>
      </c>
      <c r="K372" s="263" t="s">
        <v>51</v>
      </c>
      <c r="L372" s="263" t="s">
        <v>80</v>
      </c>
      <c r="M372" s="263" t="s">
        <v>40</v>
      </c>
      <c r="N372" s="237">
        <f>+VLOOKUP(A372,COMISIONES!$C$2:$AR$33,42,0)</f>
        <v>15</v>
      </c>
      <c r="O372" s="53">
        <f t="shared" si="5"/>
        <v>15</v>
      </c>
      <c r="P372" s="7">
        <f>+VLOOKUP(A372,COMISIONES!$C$2:$C$33,1,0)</f>
        <v>20000661</v>
      </c>
    </row>
    <row r="373" spans="1:16">
      <c r="A373" s="263">
        <v>20001487</v>
      </c>
      <c r="B373" s="98">
        <v>1</v>
      </c>
      <c r="C373" s="264" t="s">
        <v>55</v>
      </c>
      <c r="D373" s="263">
        <v>345611</v>
      </c>
      <c r="E373" s="137">
        <v>44986</v>
      </c>
      <c r="F373" s="263" t="s">
        <v>634</v>
      </c>
      <c r="G373" s="265" t="s">
        <v>523</v>
      </c>
      <c r="H373" s="263" t="s">
        <v>44</v>
      </c>
      <c r="I373" s="265" t="s">
        <v>745</v>
      </c>
      <c r="J373" s="263">
        <v>98003</v>
      </c>
      <c r="K373" s="263" t="s">
        <v>51</v>
      </c>
      <c r="L373" s="263" t="s">
        <v>80</v>
      </c>
      <c r="M373" s="263" t="s">
        <v>40</v>
      </c>
      <c r="N373" s="237">
        <f>+VLOOKUP(A373,COMISIONES!$C$2:$AR$33,42,0)</f>
        <v>30</v>
      </c>
      <c r="O373" s="53">
        <f t="shared" si="5"/>
        <v>30</v>
      </c>
      <c r="P373" s="7">
        <f>+VLOOKUP(A373,COMISIONES!$C$2:$C$33,1,0)</f>
        <v>20001487</v>
      </c>
    </row>
    <row r="374" spans="1:16">
      <c r="A374" s="263">
        <v>20008711</v>
      </c>
      <c r="B374" s="98">
        <v>1</v>
      </c>
      <c r="C374" s="264" t="s">
        <v>55</v>
      </c>
      <c r="D374" s="263">
        <v>345615</v>
      </c>
      <c r="E374" s="137">
        <v>44986</v>
      </c>
      <c r="F374" s="263" t="s">
        <v>635</v>
      </c>
      <c r="G374" s="265" t="s">
        <v>524</v>
      </c>
      <c r="H374" s="263" t="s">
        <v>44</v>
      </c>
      <c r="I374" s="265" t="s">
        <v>746</v>
      </c>
      <c r="J374" s="263">
        <v>98055</v>
      </c>
      <c r="K374" s="263" t="s">
        <v>50</v>
      </c>
      <c r="L374" s="263" t="s">
        <v>80</v>
      </c>
      <c r="M374" s="263" t="s">
        <v>40</v>
      </c>
      <c r="N374" s="237">
        <f>+VLOOKUP(A374,COMISIONES!$C$2:$AR$33,42,0)</f>
        <v>15</v>
      </c>
      <c r="O374" s="53">
        <f t="shared" si="5"/>
        <v>15</v>
      </c>
      <c r="P374" s="7">
        <f>+VLOOKUP(A374,COMISIONES!$C$2:$C$33,1,0)</f>
        <v>20008711</v>
      </c>
    </row>
    <row r="375" spans="1:16">
      <c r="A375" s="263">
        <v>20001487</v>
      </c>
      <c r="B375" s="98">
        <v>1</v>
      </c>
      <c r="C375" s="264" t="s">
        <v>55</v>
      </c>
      <c r="D375" s="263">
        <v>345610</v>
      </c>
      <c r="E375" s="137">
        <v>44986</v>
      </c>
      <c r="F375" s="263" t="s">
        <v>3695</v>
      </c>
      <c r="G375" s="265" t="s">
        <v>3615</v>
      </c>
      <c r="H375" s="263" t="s">
        <v>44</v>
      </c>
      <c r="I375" s="265" t="s">
        <v>3775</v>
      </c>
      <c r="J375" s="263">
        <v>98003</v>
      </c>
      <c r="K375" s="263" t="s">
        <v>51</v>
      </c>
      <c r="L375" s="263" t="s">
        <v>80</v>
      </c>
      <c r="M375" s="263" t="s">
        <v>40</v>
      </c>
      <c r="N375" s="237">
        <f>+VLOOKUP(A375,COMISIONES!$C$2:$AR$33,42,0)</f>
        <v>30</v>
      </c>
      <c r="O375" s="53">
        <f t="shared" si="5"/>
        <v>30</v>
      </c>
      <c r="P375" s="7">
        <f>+VLOOKUP(A375,COMISIONES!$C$2:$C$33,1,0)</f>
        <v>20001487</v>
      </c>
    </row>
    <row r="376" spans="1:16">
      <c r="A376" s="98">
        <v>20010101</v>
      </c>
      <c r="B376" s="98">
        <v>1</v>
      </c>
      <c r="C376" s="98" t="s">
        <v>55</v>
      </c>
      <c r="D376" s="98">
        <v>345595</v>
      </c>
      <c r="E376" s="137">
        <v>44986</v>
      </c>
      <c r="F376" s="98" t="s">
        <v>636</v>
      </c>
      <c r="G376" s="140" t="s">
        <v>525</v>
      </c>
      <c r="H376" s="98" t="s">
        <v>44</v>
      </c>
      <c r="I376" s="140" t="s">
        <v>747</v>
      </c>
      <c r="J376" s="98">
        <v>98072</v>
      </c>
      <c r="K376" s="98" t="s">
        <v>49</v>
      </c>
      <c r="L376" s="98" t="s">
        <v>80</v>
      </c>
      <c r="M376" s="98" t="s">
        <v>40</v>
      </c>
      <c r="N376" s="237">
        <f>+VLOOKUP(A376,COMISIONES!$C$2:$AR$33,42,0)</f>
        <v>30</v>
      </c>
      <c r="O376" s="53">
        <f t="shared" si="5"/>
        <v>30</v>
      </c>
      <c r="P376" s="7">
        <f>+VLOOKUP(A376,COMISIONES!$C$2:$C$33,1,0)</f>
        <v>20010101</v>
      </c>
    </row>
    <row r="377" spans="1:16">
      <c r="A377" s="98">
        <v>20008439</v>
      </c>
      <c r="B377" s="98">
        <v>1</v>
      </c>
      <c r="C377" s="98" t="s">
        <v>55</v>
      </c>
      <c r="D377" s="98">
        <v>345682</v>
      </c>
      <c r="E377" s="137">
        <v>44986</v>
      </c>
      <c r="F377" s="98" t="s">
        <v>637</v>
      </c>
      <c r="G377" s="140" t="s">
        <v>526</v>
      </c>
      <c r="H377" s="98" t="s">
        <v>45</v>
      </c>
      <c r="I377" s="140" t="s">
        <v>748</v>
      </c>
      <c r="J377" s="98">
        <v>98049</v>
      </c>
      <c r="K377" s="98" t="s">
        <v>50</v>
      </c>
      <c r="L377" s="98" t="s">
        <v>80</v>
      </c>
      <c r="M377" s="98" t="s">
        <v>40</v>
      </c>
      <c r="N377" s="237">
        <f>+VLOOKUP(A377,COMISIONES!$C$2:$AR$33,42,0)</f>
        <v>15</v>
      </c>
      <c r="O377" s="53">
        <f t="shared" si="5"/>
        <v>15</v>
      </c>
      <c r="P377" s="7">
        <f>+VLOOKUP(A377,COMISIONES!$C$2:$C$33,1,0)</f>
        <v>20008439</v>
      </c>
    </row>
    <row r="378" spans="1:16">
      <c r="A378" s="98">
        <v>20006162</v>
      </c>
      <c r="B378" s="98">
        <v>1</v>
      </c>
      <c r="C378" s="98" t="s">
        <v>55</v>
      </c>
      <c r="D378" s="98">
        <v>345660</v>
      </c>
      <c r="E378" s="137">
        <v>44986</v>
      </c>
      <c r="F378" s="98" t="s">
        <v>638</v>
      </c>
      <c r="G378" s="140" t="s">
        <v>527</v>
      </c>
      <c r="H378" s="98" t="s">
        <v>44</v>
      </c>
      <c r="I378" s="140" t="s">
        <v>749</v>
      </c>
      <c r="J378" s="98">
        <v>98069</v>
      </c>
      <c r="K378" s="98" t="s">
        <v>50</v>
      </c>
      <c r="L378" s="98" t="s">
        <v>80</v>
      </c>
      <c r="M378" s="98" t="s">
        <v>40</v>
      </c>
      <c r="N378" s="237">
        <f>+VLOOKUP(A378,COMISIONES!$C$2:$AR$33,42,0)</f>
        <v>20</v>
      </c>
      <c r="O378" s="53">
        <f t="shared" ref="O378:O437" si="6">N378*B378</f>
        <v>20</v>
      </c>
      <c r="P378" s="7">
        <f>+VLOOKUP(A378,COMISIONES!$C$2:$C$33,1,0)</f>
        <v>20006162</v>
      </c>
    </row>
    <row r="379" spans="1:16">
      <c r="A379" s="98">
        <v>20009690</v>
      </c>
      <c r="B379" s="98">
        <v>1</v>
      </c>
      <c r="C379" s="98" t="s">
        <v>55</v>
      </c>
      <c r="D379" s="98">
        <v>345695</v>
      </c>
      <c r="E379" s="137">
        <v>44986</v>
      </c>
      <c r="F379" s="98" t="s">
        <v>639</v>
      </c>
      <c r="G379" s="140" t="s">
        <v>528</v>
      </c>
      <c r="H379" s="98" t="s">
        <v>44</v>
      </c>
      <c r="I379" s="140" t="s">
        <v>750</v>
      </c>
      <c r="J379" s="98">
        <v>98068</v>
      </c>
      <c r="K379" s="98" t="s">
        <v>49</v>
      </c>
      <c r="L379" s="98" t="s">
        <v>80</v>
      </c>
      <c r="M379" s="98" t="s">
        <v>40</v>
      </c>
      <c r="N379" s="237">
        <f>+VLOOKUP(A379,COMISIONES!$C$2:$AR$33,42,0)</f>
        <v>30</v>
      </c>
      <c r="O379" s="53">
        <f t="shared" si="6"/>
        <v>30</v>
      </c>
      <c r="P379" s="7">
        <f>+VLOOKUP(A379,COMISIONES!$C$2:$C$33,1,0)</f>
        <v>20009690</v>
      </c>
    </row>
    <row r="380" spans="1:16">
      <c r="A380" s="98">
        <v>20007726</v>
      </c>
      <c r="B380" s="98">
        <v>1</v>
      </c>
      <c r="C380" s="98" t="s">
        <v>55</v>
      </c>
      <c r="D380" s="98">
        <v>345663</v>
      </c>
      <c r="E380" s="137">
        <v>44986</v>
      </c>
      <c r="F380" s="98" t="s">
        <v>640</v>
      </c>
      <c r="G380" s="140" t="s">
        <v>529</v>
      </c>
      <c r="H380" s="98" t="s">
        <v>44</v>
      </c>
      <c r="I380" s="140" t="s">
        <v>751</v>
      </c>
      <c r="J380" s="98">
        <v>98051</v>
      </c>
      <c r="K380" s="98" t="s">
        <v>49</v>
      </c>
      <c r="L380" s="98" t="s">
        <v>80</v>
      </c>
      <c r="M380" s="98" t="s">
        <v>40</v>
      </c>
      <c r="N380" s="237">
        <f>+VLOOKUP(A380,COMISIONES!$C$2:$AR$33,42,0)</f>
        <v>30</v>
      </c>
      <c r="O380" s="53">
        <f t="shared" si="6"/>
        <v>30</v>
      </c>
      <c r="P380" s="7">
        <f>+VLOOKUP(A380,COMISIONES!$C$2:$C$33,1,0)</f>
        <v>20007726</v>
      </c>
    </row>
    <row r="381" spans="1:16">
      <c r="A381" s="98">
        <v>20006233</v>
      </c>
      <c r="B381" s="98">
        <v>1</v>
      </c>
      <c r="C381" s="98" t="s">
        <v>55</v>
      </c>
      <c r="D381" s="98">
        <v>345685</v>
      </c>
      <c r="E381" s="137">
        <v>44986</v>
      </c>
      <c r="F381" s="98" t="s">
        <v>3696</v>
      </c>
      <c r="G381" s="140" t="s">
        <v>3616</v>
      </c>
      <c r="H381" s="98" t="s">
        <v>44</v>
      </c>
      <c r="I381" s="140" t="s">
        <v>3776</v>
      </c>
      <c r="J381" s="98">
        <v>98008</v>
      </c>
      <c r="K381" s="98" t="s">
        <v>52</v>
      </c>
      <c r="L381" s="98" t="s">
        <v>80</v>
      </c>
      <c r="M381" s="98" t="s">
        <v>40</v>
      </c>
      <c r="N381" s="237">
        <f>+VLOOKUP(A381,COMISIONES!$C$2:$AR$33,42,0)</f>
        <v>15</v>
      </c>
      <c r="O381" s="53">
        <f t="shared" si="6"/>
        <v>15</v>
      </c>
      <c r="P381" s="7">
        <f>+VLOOKUP(A381,COMISIONES!$C$2:$C$33,1,0)</f>
        <v>20006233</v>
      </c>
    </row>
    <row r="382" spans="1:16">
      <c r="A382" s="98">
        <v>20008439</v>
      </c>
      <c r="B382" s="98">
        <v>1</v>
      </c>
      <c r="C382" s="98" t="s">
        <v>55</v>
      </c>
      <c r="D382" s="98">
        <v>345683</v>
      </c>
      <c r="E382" s="137">
        <v>44986</v>
      </c>
      <c r="F382" s="98" t="s">
        <v>641</v>
      </c>
      <c r="G382" s="140" t="s">
        <v>530</v>
      </c>
      <c r="H382" s="98" t="s">
        <v>44</v>
      </c>
      <c r="I382" s="140" t="s">
        <v>752</v>
      </c>
      <c r="J382" s="98">
        <v>98049</v>
      </c>
      <c r="K382" s="98" t="s">
        <v>50</v>
      </c>
      <c r="L382" s="98" t="s">
        <v>80</v>
      </c>
      <c r="M382" s="98" t="s">
        <v>40</v>
      </c>
      <c r="N382" s="237">
        <f>+VLOOKUP(A382,COMISIONES!$C$2:$AR$33,42,0)</f>
        <v>15</v>
      </c>
      <c r="O382" s="53">
        <f t="shared" si="6"/>
        <v>15</v>
      </c>
      <c r="P382" s="7">
        <f>+VLOOKUP(A382,COMISIONES!$C$2:$C$33,1,0)</f>
        <v>20008439</v>
      </c>
    </row>
    <row r="383" spans="1:16">
      <c r="A383" s="98">
        <v>20007020</v>
      </c>
      <c r="B383" s="98">
        <v>1</v>
      </c>
      <c r="C383" s="98" t="s">
        <v>55</v>
      </c>
      <c r="D383" s="98">
        <v>346001</v>
      </c>
      <c r="E383" s="137">
        <v>44986</v>
      </c>
      <c r="F383" s="98" t="s">
        <v>642</v>
      </c>
      <c r="G383" s="140" t="s">
        <v>531</v>
      </c>
      <c r="H383" s="98" t="s">
        <v>44</v>
      </c>
      <c r="I383" s="140" t="s">
        <v>753</v>
      </c>
      <c r="J383" s="98">
        <v>98047</v>
      </c>
      <c r="K383" s="98" t="s">
        <v>50</v>
      </c>
      <c r="L383" s="98" t="s">
        <v>80</v>
      </c>
      <c r="M383" s="98" t="s">
        <v>40</v>
      </c>
      <c r="N383" s="237">
        <f>+VLOOKUP(A383,COMISIONES!$C$2:$AR$33,42,0)</f>
        <v>10</v>
      </c>
      <c r="O383" s="53">
        <f t="shared" si="6"/>
        <v>10</v>
      </c>
      <c r="P383" s="7">
        <f>+VLOOKUP(A383,COMISIONES!$C$2:$C$33,1,0)</f>
        <v>20007020</v>
      </c>
    </row>
    <row r="384" spans="1:16">
      <c r="A384" s="98">
        <v>20009269</v>
      </c>
      <c r="B384" s="98">
        <v>1</v>
      </c>
      <c r="C384" s="98" t="s">
        <v>55</v>
      </c>
      <c r="D384" s="98">
        <v>345730</v>
      </c>
      <c r="E384" s="137">
        <v>44986</v>
      </c>
      <c r="F384" s="98" t="s">
        <v>643</v>
      </c>
      <c r="G384" s="140" t="s">
        <v>532</v>
      </c>
      <c r="H384" s="98" t="s">
        <v>44</v>
      </c>
      <c r="I384" s="140" t="s">
        <v>754</v>
      </c>
      <c r="J384" s="98">
        <v>98065</v>
      </c>
      <c r="K384" s="98" t="s">
        <v>49</v>
      </c>
      <c r="L384" s="98" t="s">
        <v>80</v>
      </c>
      <c r="M384" s="98" t="s">
        <v>40</v>
      </c>
      <c r="N384" s="237">
        <f>+VLOOKUP(A384,COMISIONES!$C$2:$AR$33,42,0)</f>
        <v>30</v>
      </c>
      <c r="O384" s="53">
        <f t="shared" si="6"/>
        <v>30</v>
      </c>
      <c r="P384" s="7">
        <f>+VLOOKUP(A384,COMISIONES!$C$2:$C$33,1,0)</f>
        <v>20009269</v>
      </c>
    </row>
    <row r="385" spans="1:16">
      <c r="A385" s="98">
        <v>20006893</v>
      </c>
      <c r="B385" s="98">
        <v>1</v>
      </c>
      <c r="C385" s="98" t="s">
        <v>55</v>
      </c>
      <c r="D385" s="98"/>
      <c r="E385" s="137">
        <v>44986</v>
      </c>
      <c r="F385" s="98" t="s">
        <v>644</v>
      </c>
      <c r="G385" s="140" t="s">
        <v>533</v>
      </c>
      <c r="H385" s="98"/>
      <c r="I385" s="140" t="s">
        <v>755</v>
      </c>
      <c r="J385" s="98">
        <v>98071</v>
      </c>
      <c r="K385" s="98" t="s">
        <v>51</v>
      </c>
      <c r="L385" s="98" t="s">
        <v>80</v>
      </c>
      <c r="M385" s="98" t="s">
        <v>40</v>
      </c>
      <c r="N385" s="237">
        <f>+VLOOKUP(A385,COMISIONES!$C$2:$AR$33,42,0)</f>
        <v>15</v>
      </c>
      <c r="O385" s="53">
        <f t="shared" si="6"/>
        <v>15</v>
      </c>
      <c r="P385" s="7">
        <f>+VLOOKUP(A385,COMISIONES!$C$2:$C$33,1,0)</f>
        <v>20006893</v>
      </c>
    </row>
    <row r="386" spans="1:16">
      <c r="A386" s="98">
        <v>20005527</v>
      </c>
      <c r="B386" s="98">
        <v>1</v>
      </c>
      <c r="C386" s="98" t="s">
        <v>55</v>
      </c>
      <c r="D386" s="98"/>
      <c r="E386" s="137">
        <v>44986</v>
      </c>
      <c r="F386" s="98" t="s">
        <v>3697</v>
      </c>
      <c r="G386" s="140" t="s">
        <v>3617</v>
      </c>
      <c r="H386" s="98"/>
      <c r="I386" s="140" t="s">
        <v>3777</v>
      </c>
      <c r="J386" s="98">
        <v>98041</v>
      </c>
      <c r="K386" s="98" t="s">
        <v>52</v>
      </c>
      <c r="L386" s="98" t="s">
        <v>80</v>
      </c>
      <c r="M386" s="98" t="s">
        <v>40</v>
      </c>
      <c r="N386" s="237">
        <f>+VLOOKUP(A386,COMISIONES!$C$2:$AR$33,42,0)</f>
        <v>10</v>
      </c>
      <c r="O386" s="53">
        <f t="shared" si="6"/>
        <v>10</v>
      </c>
      <c r="P386" s="7">
        <f>+VLOOKUP(A386,COMISIONES!$C$2:$C$33,1,0)</f>
        <v>20005527</v>
      </c>
    </row>
    <row r="387" spans="1:16">
      <c r="A387" s="98">
        <v>20007352</v>
      </c>
      <c r="B387" s="98">
        <v>1</v>
      </c>
      <c r="C387" s="98" t="s">
        <v>55</v>
      </c>
      <c r="D387" s="98"/>
      <c r="E387" s="137">
        <v>44986</v>
      </c>
      <c r="F387" s="98" t="s">
        <v>3698</v>
      </c>
      <c r="G387" s="140" t="s">
        <v>3618</v>
      </c>
      <c r="H387" s="98"/>
      <c r="I387" s="140" t="s">
        <v>3778</v>
      </c>
      <c r="J387" s="98">
        <v>98034</v>
      </c>
      <c r="K387" s="98" t="s">
        <v>52</v>
      </c>
      <c r="L387" s="98" t="s">
        <v>80</v>
      </c>
      <c r="M387" s="98" t="s">
        <v>40</v>
      </c>
      <c r="N387" s="237">
        <f>+VLOOKUP(A387,COMISIONES!$C$2:$AR$33,42,0)</f>
        <v>15</v>
      </c>
      <c r="O387" s="53">
        <f t="shared" si="6"/>
        <v>15</v>
      </c>
      <c r="P387" s="7">
        <f>+VLOOKUP(A387,COMISIONES!$C$2:$C$33,1,0)</f>
        <v>20007352</v>
      </c>
    </row>
    <row r="388" spans="1:16">
      <c r="A388" s="98">
        <v>20007352</v>
      </c>
      <c r="B388" s="98">
        <v>1</v>
      </c>
      <c r="C388" s="98" t="s">
        <v>55</v>
      </c>
      <c r="D388" s="98"/>
      <c r="E388" s="137">
        <v>44986</v>
      </c>
      <c r="F388" s="98" t="s">
        <v>3699</v>
      </c>
      <c r="G388" s="140" t="s">
        <v>3619</v>
      </c>
      <c r="H388" s="98"/>
      <c r="I388" s="140" t="s">
        <v>3779</v>
      </c>
      <c r="J388" s="98">
        <v>98034</v>
      </c>
      <c r="K388" s="98" t="s">
        <v>52</v>
      </c>
      <c r="L388" s="98" t="s">
        <v>80</v>
      </c>
      <c r="M388" s="98" t="s">
        <v>40</v>
      </c>
      <c r="N388" s="237">
        <f>+VLOOKUP(A388,COMISIONES!$C$2:$AR$33,42,0)</f>
        <v>15</v>
      </c>
      <c r="O388" s="53">
        <f t="shared" si="6"/>
        <v>15</v>
      </c>
      <c r="P388" s="7">
        <f>+VLOOKUP(A388,COMISIONES!$C$2:$C$33,1,0)</f>
        <v>20007352</v>
      </c>
    </row>
    <row r="389" spans="1:16">
      <c r="A389" s="98">
        <v>20000033</v>
      </c>
      <c r="B389" s="98">
        <v>1</v>
      </c>
      <c r="C389" s="98" t="s">
        <v>55</v>
      </c>
      <c r="D389" s="98">
        <v>346793</v>
      </c>
      <c r="E389" s="137">
        <v>45017</v>
      </c>
      <c r="F389" s="98" t="s">
        <v>3700</v>
      </c>
      <c r="G389" s="140" t="s">
        <v>3620</v>
      </c>
      <c r="H389" s="98"/>
      <c r="I389" s="140" t="s">
        <v>3780</v>
      </c>
      <c r="J389" s="98">
        <v>98000</v>
      </c>
      <c r="K389" s="98" t="s">
        <v>51</v>
      </c>
      <c r="L389" s="98" t="s">
        <v>80</v>
      </c>
      <c r="M389" s="98" t="s">
        <v>40</v>
      </c>
      <c r="N389" s="237">
        <f>+VLOOKUP(A389,COMISIONES!$C$2:$AR$33,42,0)</f>
        <v>15</v>
      </c>
      <c r="O389" s="53">
        <f t="shared" si="6"/>
        <v>15</v>
      </c>
      <c r="P389" s="7">
        <f>+VLOOKUP(A389,COMISIONES!$C$2:$C$33,1,0)</f>
        <v>20000033</v>
      </c>
    </row>
    <row r="390" spans="1:16">
      <c r="A390" s="98">
        <v>20009174</v>
      </c>
      <c r="B390" s="98">
        <v>1</v>
      </c>
      <c r="C390" s="98" t="s">
        <v>55</v>
      </c>
      <c r="D390" s="98">
        <v>346841</v>
      </c>
      <c r="E390" s="137">
        <v>45017</v>
      </c>
      <c r="F390" s="98" t="s">
        <v>3701</v>
      </c>
      <c r="G390" s="140" t="s">
        <v>3621</v>
      </c>
      <c r="H390" s="98"/>
      <c r="I390" s="140" t="s">
        <v>3781</v>
      </c>
      <c r="J390" s="98">
        <v>98064</v>
      </c>
      <c r="K390" s="98" t="s">
        <v>52</v>
      </c>
      <c r="L390" s="98" t="s">
        <v>80</v>
      </c>
      <c r="M390" s="98" t="s">
        <v>40</v>
      </c>
      <c r="N390" s="237">
        <f>+VLOOKUP(A390,COMISIONES!$C$2:$AR$33,42,0)</f>
        <v>20</v>
      </c>
      <c r="O390" s="53">
        <f t="shared" si="6"/>
        <v>20</v>
      </c>
      <c r="P390" s="7">
        <f>+VLOOKUP(A390,COMISIONES!$C$2:$C$33,1,0)</f>
        <v>20009174</v>
      </c>
    </row>
    <row r="391" spans="1:16">
      <c r="A391" s="98">
        <v>20009174</v>
      </c>
      <c r="B391" s="98">
        <v>1</v>
      </c>
      <c r="C391" s="98" t="s">
        <v>55</v>
      </c>
      <c r="D391" s="98">
        <v>346922</v>
      </c>
      <c r="E391" s="137">
        <v>45017</v>
      </c>
      <c r="F391" s="98" t="s">
        <v>3702</v>
      </c>
      <c r="G391" s="140" t="s">
        <v>3622</v>
      </c>
      <c r="H391" s="98"/>
      <c r="I391" s="140" t="s">
        <v>3782</v>
      </c>
      <c r="J391" s="98">
        <v>98064</v>
      </c>
      <c r="K391" s="98" t="s">
        <v>52</v>
      </c>
      <c r="L391" s="98" t="s">
        <v>80</v>
      </c>
      <c r="M391" s="98" t="s">
        <v>40</v>
      </c>
      <c r="N391" s="237">
        <f>+VLOOKUP(A391,COMISIONES!$C$2:$AR$33,42,0)</f>
        <v>20</v>
      </c>
      <c r="O391" s="53">
        <f t="shared" si="6"/>
        <v>20</v>
      </c>
      <c r="P391" s="7">
        <f>+VLOOKUP(A391,COMISIONES!$C$2:$C$33,1,0)</f>
        <v>20009174</v>
      </c>
    </row>
    <row r="392" spans="1:16">
      <c r="A392" s="98">
        <v>20008625</v>
      </c>
      <c r="B392" s="98">
        <v>1</v>
      </c>
      <c r="C392" s="98" t="s">
        <v>55</v>
      </c>
      <c r="D392" s="98">
        <v>347522</v>
      </c>
      <c r="E392" s="137">
        <v>45017</v>
      </c>
      <c r="F392" s="98" t="s">
        <v>645</v>
      </c>
      <c r="G392" s="140" t="s">
        <v>534</v>
      </c>
      <c r="H392" s="98"/>
      <c r="I392" s="140" t="s">
        <v>756</v>
      </c>
      <c r="J392" s="98">
        <v>98053</v>
      </c>
      <c r="K392" s="98" t="s">
        <v>49</v>
      </c>
      <c r="L392" s="98" t="s">
        <v>80</v>
      </c>
      <c r="M392" s="98" t="s">
        <v>40</v>
      </c>
      <c r="N392" s="237">
        <f>+VLOOKUP(A392,COMISIONES!$C$2:$AR$33,42,0)</f>
        <v>10</v>
      </c>
      <c r="O392" s="53">
        <f t="shared" si="6"/>
        <v>10</v>
      </c>
      <c r="P392" s="7">
        <f>+VLOOKUP(A392,COMISIONES!$C$2:$C$33,1,0)</f>
        <v>20008625</v>
      </c>
    </row>
    <row r="393" spans="1:16">
      <c r="A393" s="98">
        <v>20008439</v>
      </c>
      <c r="B393" s="98">
        <v>1</v>
      </c>
      <c r="C393" s="98" t="s">
        <v>55</v>
      </c>
      <c r="D393" s="98">
        <v>347870</v>
      </c>
      <c r="E393" s="137">
        <v>45017</v>
      </c>
      <c r="F393" s="98" t="s">
        <v>646</v>
      </c>
      <c r="G393" s="140" t="s">
        <v>535</v>
      </c>
      <c r="H393" s="98"/>
      <c r="I393" s="140" t="s">
        <v>757</v>
      </c>
      <c r="J393" s="98">
        <v>98049</v>
      </c>
      <c r="K393" s="98" t="s">
        <v>50</v>
      </c>
      <c r="L393" s="98" t="s">
        <v>80</v>
      </c>
      <c r="M393" s="98" t="s">
        <v>40</v>
      </c>
      <c r="N393" s="237">
        <f>+VLOOKUP(A393,COMISIONES!$C$2:$AR$33,42,0)</f>
        <v>15</v>
      </c>
      <c r="O393" s="53">
        <f t="shared" si="6"/>
        <v>15</v>
      </c>
      <c r="P393" s="7">
        <f>+VLOOKUP(A393,COMISIONES!$C$2:$C$33,1,0)</f>
        <v>20008439</v>
      </c>
    </row>
    <row r="394" spans="1:16">
      <c r="A394" s="98">
        <v>20004566</v>
      </c>
      <c r="B394" s="98">
        <v>1</v>
      </c>
      <c r="C394" s="98" t="s">
        <v>55</v>
      </c>
      <c r="D394" s="98">
        <v>347903</v>
      </c>
      <c r="E394" s="137">
        <v>45017</v>
      </c>
      <c r="F394" s="98" t="s">
        <v>647</v>
      </c>
      <c r="G394" s="140" t="s">
        <v>536</v>
      </c>
      <c r="H394" s="98"/>
      <c r="I394" s="140" t="s">
        <v>758</v>
      </c>
      <c r="J394" s="98">
        <v>98023</v>
      </c>
      <c r="K394" s="98" t="s">
        <v>50</v>
      </c>
      <c r="L394" s="98" t="s">
        <v>80</v>
      </c>
      <c r="M394" s="98" t="s">
        <v>40</v>
      </c>
      <c r="N394" s="237">
        <f>+VLOOKUP(A394,COMISIONES!$C$2:$AR$33,42,0)</f>
        <v>20</v>
      </c>
      <c r="O394" s="53">
        <f t="shared" si="6"/>
        <v>20</v>
      </c>
      <c r="P394" s="7">
        <f>+VLOOKUP(A394,COMISIONES!$C$2:$C$33,1,0)</f>
        <v>20004566</v>
      </c>
    </row>
    <row r="395" spans="1:16">
      <c r="A395" s="98">
        <v>20009269</v>
      </c>
      <c r="B395" s="98">
        <v>1</v>
      </c>
      <c r="C395" s="98" t="s">
        <v>55</v>
      </c>
      <c r="D395" s="98">
        <v>348191</v>
      </c>
      <c r="E395" s="137">
        <v>45017</v>
      </c>
      <c r="F395" s="98" t="s">
        <v>648</v>
      </c>
      <c r="G395" s="140" t="s">
        <v>537</v>
      </c>
      <c r="H395" s="98"/>
      <c r="I395" s="140" t="s">
        <v>759</v>
      </c>
      <c r="J395" s="98">
        <v>98065</v>
      </c>
      <c r="K395" s="98" t="s">
        <v>49</v>
      </c>
      <c r="L395" s="98" t="s">
        <v>80</v>
      </c>
      <c r="M395" s="98" t="s">
        <v>40</v>
      </c>
      <c r="N395" s="237">
        <f>+VLOOKUP(A395,COMISIONES!$C$2:$AR$33,42,0)</f>
        <v>30</v>
      </c>
      <c r="O395" s="53">
        <f t="shared" si="6"/>
        <v>30</v>
      </c>
      <c r="P395" s="7">
        <f>+VLOOKUP(A395,COMISIONES!$C$2:$C$33,1,0)</f>
        <v>20009269</v>
      </c>
    </row>
    <row r="396" spans="1:16">
      <c r="A396" s="98">
        <v>20008439</v>
      </c>
      <c r="B396" s="98">
        <v>1</v>
      </c>
      <c r="C396" s="98" t="s">
        <v>55</v>
      </c>
      <c r="D396" s="98">
        <v>348396</v>
      </c>
      <c r="E396" s="137">
        <v>45017</v>
      </c>
      <c r="F396" s="98" t="s">
        <v>649</v>
      </c>
      <c r="G396" s="140" t="s">
        <v>538</v>
      </c>
      <c r="H396" s="98"/>
      <c r="I396" s="140" t="s">
        <v>760</v>
      </c>
      <c r="J396" s="98">
        <v>98049</v>
      </c>
      <c r="K396" s="98" t="s">
        <v>50</v>
      </c>
      <c r="L396" s="98" t="s">
        <v>80</v>
      </c>
      <c r="M396" s="98" t="s">
        <v>40</v>
      </c>
      <c r="N396" s="237">
        <f>+VLOOKUP(A396,COMISIONES!$C$2:$AR$33,42,0)</f>
        <v>15</v>
      </c>
      <c r="O396" s="53">
        <f t="shared" si="6"/>
        <v>15</v>
      </c>
      <c r="P396" s="7">
        <f>+VLOOKUP(A396,COMISIONES!$C$2:$C$33,1,0)</f>
        <v>20008439</v>
      </c>
    </row>
    <row r="397" spans="1:16">
      <c r="A397" s="98">
        <v>20007726</v>
      </c>
      <c r="B397" s="98">
        <v>1</v>
      </c>
      <c r="C397" s="98" t="s">
        <v>55</v>
      </c>
      <c r="D397" s="98">
        <v>348792</v>
      </c>
      <c r="E397" s="137">
        <v>45017</v>
      </c>
      <c r="F397" s="98" t="s">
        <v>3703</v>
      </c>
      <c r="G397" s="140" t="s">
        <v>3623</v>
      </c>
      <c r="H397" s="98"/>
      <c r="I397" s="140" t="s">
        <v>3783</v>
      </c>
      <c r="J397" s="98">
        <v>98051</v>
      </c>
      <c r="K397" s="98" t="s">
        <v>49</v>
      </c>
      <c r="L397" s="98" t="s">
        <v>80</v>
      </c>
      <c r="M397" s="98" t="s">
        <v>40</v>
      </c>
      <c r="N397" s="237">
        <f>+VLOOKUP(A397,COMISIONES!$C$2:$AR$33,42,0)</f>
        <v>30</v>
      </c>
      <c r="O397" s="53">
        <f t="shared" si="6"/>
        <v>30</v>
      </c>
      <c r="P397" s="7">
        <f>+VLOOKUP(A397,COMISIONES!$C$2:$C$33,1,0)</f>
        <v>20007726</v>
      </c>
    </row>
    <row r="398" spans="1:16">
      <c r="A398" s="98">
        <v>20004161</v>
      </c>
      <c r="B398" s="98">
        <v>1</v>
      </c>
      <c r="C398" s="98" t="s">
        <v>55</v>
      </c>
      <c r="D398" s="98">
        <v>348784</v>
      </c>
      <c r="E398" s="137">
        <v>45017</v>
      </c>
      <c r="F398" s="98" t="s">
        <v>3704</v>
      </c>
      <c r="G398" s="140" t="s">
        <v>3624</v>
      </c>
      <c r="H398" s="98"/>
      <c r="I398" s="140" t="s">
        <v>3784</v>
      </c>
      <c r="J398" s="98">
        <v>98019</v>
      </c>
      <c r="K398" s="98" t="s">
        <v>49</v>
      </c>
      <c r="L398" s="98" t="s">
        <v>80</v>
      </c>
      <c r="M398" s="98" t="s">
        <v>40</v>
      </c>
      <c r="N398" s="237">
        <f>+VLOOKUP(A398,COMISIONES!$C$2:$AR$33,42,0)</f>
        <v>32.5</v>
      </c>
      <c r="O398" s="53">
        <f t="shared" si="6"/>
        <v>32.5</v>
      </c>
      <c r="P398" s="7">
        <f>+VLOOKUP(A398,COMISIONES!$C$2:$C$33,1,0)</f>
        <v>20004161</v>
      </c>
    </row>
    <row r="399" spans="1:16">
      <c r="A399" s="98">
        <v>20000033</v>
      </c>
      <c r="B399" s="98">
        <v>1</v>
      </c>
      <c r="C399" s="98" t="s">
        <v>55</v>
      </c>
      <c r="D399" s="98">
        <v>348644</v>
      </c>
      <c r="E399" s="137">
        <v>45017</v>
      </c>
      <c r="F399" s="98" t="s">
        <v>650</v>
      </c>
      <c r="G399" s="140" t="s">
        <v>539</v>
      </c>
      <c r="H399" s="98"/>
      <c r="I399" s="140" t="s">
        <v>761</v>
      </c>
      <c r="J399" s="98">
        <v>98000</v>
      </c>
      <c r="K399" s="98" t="s">
        <v>51</v>
      </c>
      <c r="L399" s="98" t="s">
        <v>80</v>
      </c>
      <c r="M399" s="98" t="s">
        <v>40</v>
      </c>
      <c r="N399" s="237">
        <f>+VLOOKUP(A399,COMISIONES!$C$2:$AR$33,42,0)</f>
        <v>15</v>
      </c>
      <c r="O399" s="53">
        <f t="shared" si="6"/>
        <v>15</v>
      </c>
      <c r="P399" s="7">
        <f>+VLOOKUP(A399,COMISIONES!$C$2:$C$33,1,0)</f>
        <v>20000033</v>
      </c>
    </row>
    <row r="400" spans="1:16">
      <c r="A400" s="98">
        <v>20006893</v>
      </c>
      <c r="B400" s="98">
        <v>1</v>
      </c>
      <c r="C400" s="98" t="s">
        <v>55</v>
      </c>
      <c r="D400" s="98">
        <v>348691</v>
      </c>
      <c r="E400" s="137">
        <v>45017</v>
      </c>
      <c r="F400" s="98" t="s">
        <v>651</v>
      </c>
      <c r="G400" s="140" t="s">
        <v>540</v>
      </c>
      <c r="H400" s="98"/>
      <c r="I400" s="140" t="s">
        <v>762</v>
      </c>
      <c r="J400" s="98">
        <v>98071</v>
      </c>
      <c r="K400" s="98" t="s">
        <v>49</v>
      </c>
      <c r="L400" s="98" t="s">
        <v>80</v>
      </c>
      <c r="M400" s="98" t="s">
        <v>40</v>
      </c>
      <c r="N400" s="237">
        <f>+VLOOKUP(A400,COMISIONES!$C$2:$AR$33,42,0)</f>
        <v>15</v>
      </c>
      <c r="O400" s="53">
        <f t="shared" si="6"/>
        <v>15</v>
      </c>
      <c r="P400" s="7">
        <f>+VLOOKUP(A400,COMISIONES!$C$2:$C$33,1,0)</f>
        <v>20006893</v>
      </c>
    </row>
    <row r="401" spans="1:16">
      <c r="A401" s="98">
        <v>20008910</v>
      </c>
      <c r="B401" s="98">
        <v>1</v>
      </c>
      <c r="C401" s="98" t="s">
        <v>55</v>
      </c>
      <c r="D401" s="98">
        <v>348926</v>
      </c>
      <c r="E401" s="137">
        <v>45017</v>
      </c>
      <c r="F401" s="98" t="s">
        <v>3901</v>
      </c>
      <c r="G401" s="140" t="s">
        <v>3902</v>
      </c>
      <c r="H401" s="98"/>
      <c r="I401" s="140" t="s">
        <v>3903</v>
      </c>
      <c r="J401" s="98">
        <v>98061</v>
      </c>
      <c r="K401" s="98" t="s">
        <v>51</v>
      </c>
      <c r="L401" s="98" t="s">
        <v>80</v>
      </c>
      <c r="M401" s="98" t="s">
        <v>40</v>
      </c>
      <c r="N401" s="237">
        <v>0</v>
      </c>
      <c r="O401" s="53">
        <f t="shared" si="6"/>
        <v>0</v>
      </c>
      <c r="P401" s="7" t="s">
        <v>3962</v>
      </c>
    </row>
    <row r="402" spans="1:16">
      <c r="A402" s="98">
        <v>20008910</v>
      </c>
      <c r="B402" s="98">
        <v>1</v>
      </c>
      <c r="C402" s="98" t="s">
        <v>55</v>
      </c>
      <c r="D402" s="98">
        <v>348901</v>
      </c>
      <c r="E402" s="137">
        <v>45017</v>
      </c>
      <c r="F402" s="98" t="s">
        <v>3904</v>
      </c>
      <c r="G402" s="140" t="s">
        <v>3905</v>
      </c>
      <c r="H402" s="98"/>
      <c r="I402" s="140" t="s">
        <v>3906</v>
      </c>
      <c r="J402" s="98">
        <v>98061</v>
      </c>
      <c r="K402" s="98" t="s">
        <v>51</v>
      </c>
      <c r="L402" s="98" t="s">
        <v>80</v>
      </c>
      <c r="M402" s="98" t="s">
        <v>40</v>
      </c>
      <c r="N402" s="237">
        <v>0</v>
      </c>
      <c r="O402" s="53">
        <f t="shared" si="6"/>
        <v>0</v>
      </c>
      <c r="P402" s="7" t="s">
        <v>3962</v>
      </c>
    </row>
    <row r="403" spans="1:16">
      <c r="A403" s="98">
        <v>20004161</v>
      </c>
      <c r="B403" s="98">
        <v>1</v>
      </c>
      <c r="C403" s="98" t="s">
        <v>55</v>
      </c>
      <c r="D403" s="98">
        <v>348895</v>
      </c>
      <c r="E403" s="137">
        <v>45017</v>
      </c>
      <c r="F403" s="98" t="s">
        <v>3705</v>
      </c>
      <c r="G403" s="140" t="s">
        <v>3625</v>
      </c>
      <c r="H403" s="98"/>
      <c r="I403" s="140" t="s">
        <v>3785</v>
      </c>
      <c r="J403" s="98">
        <v>98019</v>
      </c>
      <c r="K403" s="98" t="s">
        <v>49</v>
      </c>
      <c r="L403" s="98" t="s">
        <v>80</v>
      </c>
      <c r="M403" s="98" t="s">
        <v>40</v>
      </c>
      <c r="N403" s="237">
        <f>+VLOOKUP(A403,COMISIONES!$C$2:$AR$33,42,0)</f>
        <v>32.5</v>
      </c>
      <c r="O403" s="53">
        <f t="shared" si="6"/>
        <v>32.5</v>
      </c>
      <c r="P403" s="7">
        <f>+VLOOKUP(A403,COMISIONES!$C$2:$C$33,1,0)</f>
        <v>20004161</v>
      </c>
    </row>
    <row r="404" spans="1:16">
      <c r="A404" s="98">
        <v>20010262</v>
      </c>
      <c r="B404" s="98">
        <v>1</v>
      </c>
      <c r="C404" s="98" t="s">
        <v>55</v>
      </c>
      <c r="D404" s="98">
        <v>348946</v>
      </c>
      <c r="E404" s="137">
        <v>45017</v>
      </c>
      <c r="F404" s="98" t="s">
        <v>652</v>
      </c>
      <c r="G404" s="140" t="s">
        <v>541</v>
      </c>
      <c r="H404" s="98"/>
      <c r="I404" s="140" t="s">
        <v>763</v>
      </c>
      <c r="J404" s="98">
        <v>98073</v>
      </c>
      <c r="K404" s="98" t="s">
        <v>52</v>
      </c>
      <c r="L404" s="98" t="s">
        <v>80</v>
      </c>
      <c r="M404" s="98" t="s">
        <v>40</v>
      </c>
      <c r="N404" s="237">
        <f>+VLOOKUP(A404,COMISIONES!$C$2:$AR$33,42,0)</f>
        <v>15</v>
      </c>
      <c r="O404" s="53">
        <f t="shared" si="6"/>
        <v>15</v>
      </c>
      <c r="P404" s="7">
        <f>+VLOOKUP(A404,COMISIONES!$C$2:$C$33,1,0)</f>
        <v>20010262</v>
      </c>
    </row>
    <row r="405" spans="1:16">
      <c r="A405" s="98">
        <v>20007352</v>
      </c>
      <c r="B405" s="98">
        <v>1</v>
      </c>
      <c r="C405" s="98" t="s">
        <v>55</v>
      </c>
      <c r="D405" s="98">
        <v>348978</v>
      </c>
      <c r="E405" s="137">
        <v>45017</v>
      </c>
      <c r="F405" s="98" t="s">
        <v>653</v>
      </c>
      <c r="G405" s="140" t="s">
        <v>542</v>
      </c>
      <c r="H405" s="98"/>
      <c r="I405" s="140" t="s">
        <v>764</v>
      </c>
      <c r="J405" s="98">
        <v>98034</v>
      </c>
      <c r="K405" s="98" t="s">
        <v>52</v>
      </c>
      <c r="L405" s="98" t="s">
        <v>80</v>
      </c>
      <c r="M405" s="98" t="s">
        <v>40</v>
      </c>
      <c r="N405" s="237">
        <f>+VLOOKUP(A405,COMISIONES!$C$2:$AR$33,42,0)</f>
        <v>15</v>
      </c>
      <c r="O405" s="53">
        <f t="shared" si="6"/>
        <v>15</v>
      </c>
      <c r="P405" s="7">
        <f>+VLOOKUP(A405,COMISIONES!$C$2:$C$33,1,0)</f>
        <v>20007352</v>
      </c>
    </row>
    <row r="406" spans="1:16">
      <c r="A406" s="98">
        <v>20008625</v>
      </c>
      <c r="B406" s="98">
        <v>1</v>
      </c>
      <c r="C406" s="98" t="s">
        <v>55</v>
      </c>
      <c r="D406" s="98">
        <v>349373</v>
      </c>
      <c r="E406" s="137">
        <v>45017</v>
      </c>
      <c r="F406" s="98" t="s">
        <v>654</v>
      </c>
      <c r="G406" s="140" t="s">
        <v>543</v>
      </c>
      <c r="H406" s="98"/>
      <c r="I406" s="140" t="s">
        <v>765</v>
      </c>
      <c r="J406" s="98">
        <v>98053</v>
      </c>
      <c r="K406" s="98" t="s">
        <v>49</v>
      </c>
      <c r="L406" s="98" t="s">
        <v>80</v>
      </c>
      <c r="M406" s="98" t="s">
        <v>40</v>
      </c>
      <c r="N406" s="237">
        <f>+VLOOKUP(A406,COMISIONES!$C$2:$AR$33,42,0)</f>
        <v>10</v>
      </c>
      <c r="O406" s="53">
        <f t="shared" si="6"/>
        <v>10</v>
      </c>
      <c r="P406" s="7">
        <f>+VLOOKUP(A406,COMISIONES!$C$2:$C$33,1,0)</f>
        <v>20008625</v>
      </c>
    </row>
    <row r="407" spans="1:16">
      <c r="A407" s="98">
        <v>20004235</v>
      </c>
      <c r="B407" s="98">
        <v>1</v>
      </c>
      <c r="C407" s="98" t="s">
        <v>55</v>
      </c>
      <c r="D407" s="98">
        <v>349344</v>
      </c>
      <c r="E407" s="137">
        <v>45017</v>
      </c>
      <c r="F407" s="98" t="s">
        <v>655</v>
      </c>
      <c r="G407" s="140" t="s">
        <v>544</v>
      </c>
      <c r="H407" s="98"/>
      <c r="I407" s="140" t="s">
        <v>766</v>
      </c>
      <c r="J407" s="98">
        <v>98002</v>
      </c>
      <c r="K407" s="98" t="s">
        <v>49</v>
      </c>
      <c r="L407" s="98" t="s">
        <v>80</v>
      </c>
      <c r="M407" s="98" t="s">
        <v>40</v>
      </c>
      <c r="N407" s="237">
        <f>+VLOOKUP(A407,COMISIONES!$C$2:$AR$33,42,0)</f>
        <v>15</v>
      </c>
      <c r="O407" s="53">
        <f t="shared" si="6"/>
        <v>15</v>
      </c>
      <c r="P407" s="7">
        <f>+VLOOKUP(A407,COMISIONES!$C$2:$C$33,1,0)</f>
        <v>20004235</v>
      </c>
    </row>
    <row r="408" spans="1:16">
      <c r="A408" s="98">
        <v>20010262</v>
      </c>
      <c r="B408" s="98">
        <v>1</v>
      </c>
      <c r="C408" s="98" t="s">
        <v>55</v>
      </c>
      <c r="D408" s="98">
        <v>349897</v>
      </c>
      <c r="E408" s="137">
        <v>45017</v>
      </c>
      <c r="F408" s="98" t="s">
        <v>656</v>
      </c>
      <c r="G408" s="140" t="s">
        <v>545</v>
      </c>
      <c r="H408" s="98"/>
      <c r="I408" s="140" t="s">
        <v>767</v>
      </c>
      <c r="J408" s="98">
        <v>98073</v>
      </c>
      <c r="K408" s="98" t="s">
        <v>52</v>
      </c>
      <c r="L408" s="98" t="s">
        <v>80</v>
      </c>
      <c r="M408" s="98" t="s">
        <v>40</v>
      </c>
      <c r="N408" s="237">
        <f>+VLOOKUP(A408,COMISIONES!$C$2:$AR$33,42,0)</f>
        <v>15</v>
      </c>
      <c r="O408" s="53">
        <f t="shared" si="6"/>
        <v>15</v>
      </c>
      <c r="P408" s="7">
        <f>+VLOOKUP(A408,COMISIONES!$C$2:$C$33,1,0)</f>
        <v>20010262</v>
      </c>
    </row>
    <row r="409" spans="1:16">
      <c r="A409" s="98">
        <v>20009690</v>
      </c>
      <c r="B409" s="98">
        <v>1</v>
      </c>
      <c r="C409" s="98" t="s">
        <v>55</v>
      </c>
      <c r="D409" s="98">
        <v>350399</v>
      </c>
      <c r="E409" s="137">
        <v>45017</v>
      </c>
      <c r="F409" s="98" t="s">
        <v>657</v>
      </c>
      <c r="G409" s="140" t="s">
        <v>546</v>
      </c>
      <c r="H409" s="98"/>
      <c r="I409" s="140" t="s">
        <v>768</v>
      </c>
      <c r="J409" s="98">
        <v>98068</v>
      </c>
      <c r="K409" s="98" t="s">
        <v>49</v>
      </c>
      <c r="L409" s="98" t="s">
        <v>80</v>
      </c>
      <c r="M409" s="98" t="s">
        <v>40</v>
      </c>
      <c r="N409" s="237">
        <f>+VLOOKUP(A409,COMISIONES!$C$2:$AR$33,42,0)</f>
        <v>30</v>
      </c>
      <c r="O409" s="53">
        <f t="shared" si="6"/>
        <v>30</v>
      </c>
      <c r="P409" s="7">
        <f>+VLOOKUP(A409,COMISIONES!$C$2:$C$33,1,0)</f>
        <v>20009690</v>
      </c>
    </row>
    <row r="410" spans="1:16">
      <c r="A410" s="98">
        <v>20004235</v>
      </c>
      <c r="B410" s="98">
        <v>1</v>
      </c>
      <c r="C410" s="98" t="s">
        <v>55</v>
      </c>
      <c r="D410" s="98">
        <v>350398</v>
      </c>
      <c r="E410" s="137">
        <v>45017</v>
      </c>
      <c r="F410" s="98" t="s">
        <v>658</v>
      </c>
      <c r="G410" s="140" t="s">
        <v>547</v>
      </c>
      <c r="H410" s="98"/>
      <c r="I410" s="140" t="s">
        <v>769</v>
      </c>
      <c r="J410" s="98">
        <v>98002</v>
      </c>
      <c r="K410" s="98" t="s">
        <v>49</v>
      </c>
      <c r="L410" s="98" t="s">
        <v>80</v>
      </c>
      <c r="M410" s="98" t="s">
        <v>40</v>
      </c>
      <c r="N410" s="237">
        <f>+VLOOKUP(A410,COMISIONES!$C$2:$AR$33,42,0)</f>
        <v>15</v>
      </c>
      <c r="O410" s="53">
        <f t="shared" si="6"/>
        <v>15</v>
      </c>
      <c r="P410" s="7">
        <f>+VLOOKUP(A410,COMISIONES!$C$2:$C$33,1,0)</f>
        <v>20004235</v>
      </c>
    </row>
    <row r="411" spans="1:16">
      <c r="A411" s="98">
        <v>20007020</v>
      </c>
      <c r="B411" s="98">
        <v>1</v>
      </c>
      <c r="C411" s="98" t="s">
        <v>55</v>
      </c>
      <c r="D411" s="98">
        <v>350381</v>
      </c>
      <c r="E411" s="137">
        <v>45017</v>
      </c>
      <c r="F411" s="98" t="s">
        <v>659</v>
      </c>
      <c r="G411" s="140" t="s">
        <v>548</v>
      </c>
      <c r="H411" s="98"/>
      <c r="I411" s="140" t="s">
        <v>770</v>
      </c>
      <c r="J411" s="98">
        <v>98047</v>
      </c>
      <c r="K411" s="98" t="s">
        <v>50</v>
      </c>
      <c r="L411" s="98" t="s">
        <v>80</v>
      </c>
      <c r="M411" s="98" t="s">
        <v>40</v>
      </c>
      <c r="N411" s="237">
        <f>+VLOOKUP(A411,COMISIONES!$C$2:$AR$33,42,0)</f>
        <v>10</v>
      </c>
      <c r="O411" s="53">
        <f t="shared" si="6"/>
        <v>10</v>
      </c>
      <c r="P411" s="7">
        <f>+VLOOKUP(A411,COMISIONES!$C$2:$C$33,1,0)</f>
        <v>20007020</v>
      </c>
    </row>
    <row r="412" spans="1:16">
      <c r="A412" s="98">
        <v>20008711</v>
      </c>
      <c r="B412" s="98">
        <v>1</v>
      </c>
      <c r="C412" s="98" t="s">
        <v>55</v>
      </c>
      <c r="D412" s="98">
        <v>350375</v>
      </c>
      <c r="E412" s="137">
        <v>45017</v>
      </c>
      <c r="F412" s="98" t="s">
        <v>3706</v>
      </c>
      <c r="G412" s="140" t="s">
        <v>3626</v>
      </c>
      <c r="H412" s="98"/>
      <c r="I412" s="140" t="s">
        <v>3786</v>
      </c>
      <c r="J412" s="98">
        <v>98055</v>
      </c>
      <c r="K412" s="98" t="s">
        <v>50</v>
      </c>
      <c r="L412" s="98" t="s">
        <v>80</v>
      </c>
      <c r="M412" s="98" t="s">
        <v>40</v>
      </c>
      <c r="N412" s="237">
        <f>+VLOOKUP(A412,COMISIONES!$C$2:$AR$33,42,0)</f>
        <v>15</v>
      </c>
      <c r="O412" s="53">
        <f t="shared" si="6"/>
        <v>15</v>
      </c>
      <c r="P412" s="7">
        <f>+VLOOKUP(A412,COMISIONES!$C$2:$C$33,1,0)</f>
        <v>20008711</v>
      </c>
    </row>
    <row r="413" spans="1:16">
      <c r="A413" s="98">
        <v>20000661</v>
      </c>
      <c r="B413" s="98">
        <v>1</v>
      </c>
      <c r="C413" s="98" t="s">
        <v>55</v>
      </c>
      <c r="D413" s="98">
        <v>350389</v>
      </c>
      <c r="E413" s="137">
        <v>45017</v>
      </c>
      <c r="F413" s="98" t="s">
        <v>660</v>
      </c>
      <c r="G413" s="140" t="s">
        <v>549</v>
      </c>
      <c r="H413" s="98"/>
      <c r="I413" s="140" t="s">
        <v>771</v>
      </c>
      <c r="J413" s="98">
        <v>98013</v>
      </c>
      <c r="K413" s="98" t="s">
        <v>51</v>
      </c>
      <c r="L413" s="98" t="s">
        <v>80</v>
      </c>
      <c r="M413" s="98" t="s">
        <v>40</v>
      </c>
      <c r="N413" s="237">
        <f>+VLOOKUP(A413,COMISIONES!$C$2:$AR$33,42,0)</f>
        <v>15</v>
      </c>
      <c r="O413" s="53">
        <f t="shared" si="6"/>
        <v>15</v>
      </c>
      <c r="P413" s="7">
        <f>+VLOOKUP(A413,COMISIONES!$C$2:$C$33,1,0)</f>
        <v>20000661</v>
      </c>
    </row>
    <row r="414" spans="1:16">
      <c r="A414" s="98">
        <v>20008910</v>
      </c>
      <c r="B414" s="98">
        <v>1</v>
      </c>
      <c r="C414" s="98" t="s">
        <v>55</v>
      </c>
      <c r="D414" s="98">
        <v>350489</v>
      </c>
      <c r="E414" s="137">
        <v>45017</v>
      </c>
      <c r="F414" s="98" t="s">
        <v>3907</v>
      </c>
      <c r="G414" s="140" t="s">
        <v>3908</v>
      </c>
      <c r="H414" s="98"/>
      <c r="I414" s="140" t="s">
        <v>3909</v>
      </c>
      <c r="J414" s="98">
        <v>98061</v>
      </c>
      <c r="K414" s="98" t="s">
        <v>51</v>
      </c>
      <c r="L414" s="98" t="s">
        <v>80</v>
      </c>
      <c r="M414" s="98" t="s">
        <v>40</v>
      </c>
      <c r="N414" s="237">
        <v>0</v>
      </c>
      <c r="O414" s="53">
        <f t="shared" si="6"/>
        <v>0</v>
      </c>
      <c r="P414" s="7" t="s">
        <v>3962</v>
      </c>
    </row>
    <row r="415" spans="1:16">
      <c r="A415" s="98">
        <v>20005527</v>
      </c>
      <c r="B415" s="98">
        <v>1</v>
      </c>
      <c r="C415" s="98" t="s">
        <v>55</v>
      </c>
      <c r="D415" s="98">
        <v>350460</v>
      </c>
      <c r="E415" s="137">
        <v>45017</v>
      </c>
      <c r="F415" s="98" t="s">
        <v>3707</v>
      </c>
      <c r="G415" s="140" t="s">
        <v>3627</v>
      </c>
      <c r="H415" s="98"/>
      <c r="I415" s="140" t="s">
        <v>3787</v>
      </c>
      <c r="J415" s="98">
        <v>98041</v>
      </c>
      <c r="K415" s="98" t="s">
        <v>52</v>
      </c>
      <c r="L415" s="98" t="s">
        <v>80</v>
      </c>
      <c r="M415" s="98" t="s">
        <v>40</v>
      </c>
      <c r="N415" s="237">
        <f>+VLOOKUP(A415,COMISIONES!$C$2:$AR$33,42,0)</f>
        <v>10</v>
      </c>
      <c r="O415" s="53">
        <f t="shared" si="6"/>
        <v>10</v>
      </c>
      <c r="P415" s="7">
        <f>+VLOOKUP(A415,COMISIONES!$C$2:$C$33,1,0)</f>
        <v>20005527</v>
      </c>
    </row>
    <row r="416" spans="1:16">
      <c r="A416" s="98">
        <v>20001487</v>
      </c>
      <c r="B416" s="98">
        <v>1</v>
      </c>
      <c r="C416" s="98" t="s">
        <v>55</v>
      </c>
      <c r="D416" s="98">
        <v>350475</v>
      </c>
      <c r="E416" s="137">
        <v>45017</v>
      </c>
      <c r="F416" s="98" t="s">
        <v>3708</v>
      </c>
      <c r="G416" s="140" t="s">
        <v>3628</v>
      </c>
      <c r="H416" s="98"/>
      <c r="I416" s="140" t="s">
        <v>3788</v>
      </c>
      <c r="J416" s="98">
        <v>98003</v>
      </c>
      <c r="K416" s="98" t="s">
        <v>51</v>
      </c>
      <c r="L416" s="98" t="s">
        <v>80</v>
      </c>
      <c r="M416" s="98" t="s">
        <v>40</v>
      </c>
      <c r="N416" s="237">
        <f>+VLOOKUP(A416,COMISIONES!$C$2:$AR$33,42,0)</f>
        <v>30</v>
      </c>
      <c r="O416" s="53">
        <f t="shared" si="6"/>
        <v>30</v>
      </c>
      <c r="P416" s="7">
        <f>+VLOOKUP(A416,COMISIONES!$C$2:$C$33,1,0)</f>
        <v>20001487</v>
      </c>
    </row>
    <row r="417" spans="1:16">
      <c r="A417" s="98">
        <v>20001487</v>
      </c>
      <c r="B417" s="98">
        <v>1</v>
      </c>
      <c r="C417" s="98" t="s">
        <v>55</v>
      </c>
      <c r="D417" s="98">
        <v>350736</v>
      </c>
      <c r="E417" s="137">
        <v>45017</v>
      </c>
      <c r="F417" s="98" t="s">
        <v>3709</v>
      </c>
      <c r="G417" s="140" t="s">
        <v>3629</v>
      </c>
      <c r="H417" s="98"/>
      <c r="I417" s="140" t="s">
        <v>3789</v>
      </c>
      <c r="J417" s="98">
        <v>98003</v>
      </c>
      <c r="K417" s="98" t="s">
        <v>51</v>
      </c>
      <c r="L417" s="98" t="s">
        <v>80</v>
      </c>
      <c r="M417" s="98" t="s">
        <v>40</v>
      </c>
      <c r="N417" s="237">
        <f>+VLOOKUP(A417,COMISIONES!$C$2:$AR$33,42,0)</f>
        <v>30</v>
      </c>
      <c r="O417" s="53">
        <f t="shared" si="6"/>
        <v>30</v>
      </c>
      <c r="P417" s="7">
        <f>+VLOOKUP(A417,COMISIONES!$C$2:$C$33,1,0)</f>
        <v>20001487</v>
      </c>
    </row>
    <row r="418" spans="1:16">
      <c r="A418" s="98">
        <v>20010086</v>
      </c>
      <c r="B418" s="98">
        <v>1</v>
      </c>
      <c r="C418" s="98" t="s">
        <v>55</v>
      </c>
      <c r="D418" s="98">
        <v>350620</v>
      </c>
      <c r="E418" s="137">
        <v>45017</v>
      </c>
      <c r="F418" s="98" t="s">
        <v>3910</v>
      </c>
      <c r="G418" s="140" t="s">
        <v>3911</v>
      </c>
      <c r="H418" s="98"/>
      <c r="I418" s="140" t="s">
        <v>3912</v>
      </c>
      <c r="J418" s="98">
        <v>98070</v>
      </c>
      <c r="K418" s="98" t="s">
        <v>51</v>
      </c>
      <c r="L418" s="98" t="s">
        <v>80</v>
      </c>
      <c r="M418" s="98" t="s">
        <v>40</v>
      </c>
      <c r="N418" s="237">
        <v>0</v>
      </c>
      <c r="O418" s="53">
        <f t="shared" ref="O418" si="7">N418*B418</f>
        <v>0</v>
      </c>
      <c r="P418" s="7" t="s">
        <v>3962</v>
      </c>
    </row>
    <row r="419" spans="1:16">
      <c r="A419" s="98">
        <v>20007352</v>
      </c>
      <c r="B419" s="98">
        <v>1</v>
      </c>
      <c r="C419" s="98" t="s">
        <v>55</v>
      </c>
      <c r="D419" s="98">
        <v>350549</v>
      </c>
      <c r="E419" s="137">
        <v>45017</v>
      </c>
      <c r="F419" s="98" t="s">
        <v>661</v>
      </c>
      <c r="G419" s="140" t="s">
        <v>550</v>
      </c>
      <c r="H419" s="98"/>
      <c r="I419" s="140" t="s">
        <v>772</v>
      </c>
      <c r="J419" s="98">
        <v>98034</v>
      </c>
      <c r="K419" s="98" t="s">
        <v>52</v>
      </c>
      <c r="L419" s="98" t="s">
        <v>80</v>
      </c>
      <c r="M419" s="98" t="s">
        <v>40</v>
      </c>
      <c r="N419" s="237">
        <f>+VLOOKUP(A419,COMISIONES!$C$2:$AR$33,42,0)</f>
        <v>15</v>
      </c>
      <c r="O419" s="53">
        <f t="shared" si="6"/>
        <v>15</v>
      </c>
      <c r="P419" s="7">
        <f>+VLOOKUP(A419,COMISIONES!$C$2:$C$33,1,0)</f>
        <v>20007352</v>
      </c>
    </row>
    <row r="420" spans="1:16">
      <c r="A420" s="98">
        <v>20004235</v>
      </c>
      <c r="B420" s="98">
        <v>1</v>
      </c>
      <c r="C420" s="98" t="s">
        <v>55</v>
      </c>
      <c r="D420" s="98">
        <v>350926</v>
      </c>
      <c r="E420" s="137">
        <v>45017</v>
      </c>
      <c r="F420" s="98" t="s">
        <v>662</v>
      </c>
      <c r="G420" s="140" t="s">
        <v>551</v>
      </c>
      <c r="H420" s="98"/>
      <c r="I420" s="140" t="s">
        <v>773</v>
      </c>
      <c r="J420" s="98">
        <v>98002</v>
      </c>
      <c r="K420" s="98" t="s">
        <v>49</v>
      </c>
      <c r="L420" s="98" t="s">
        <v>80</v>
      </c>
      <c r="M420" s="98" t="s">
        <v>40</v>
      </c>
      <c r="N420" s="237">
        <f>+VLOOKUP(A420,COMISIONES!$C$2:$AR$33,42,0)</f>
        <v>15</v>
      </c>
      <c r="O420" s="53">
        <f t="shared" si="6"/>
        <v>15</v>
      </c>
      <c r="P420" s="7">
        <f>+VLOOKUP(A420,COMISIONES!$C$2:$C$33,1,0)</f>
        <v>20004235</v>
      </c>
    </row>
    <row r="421" spans="1:16">
      <c r="A421" s="98">
        <v>20000033</v>
      </c>
      <c r="B421" s="98">
        <v>1</v>
      </c>
      <c r="C421" s="98" t="s">
        <v>55</v>
      </c>
      <c r="D421" s="98">
        <v>351001</v>
      </c>
      <c r="E421" s="137">
        <v>45017</v>
      </c>
      <c r="F421" s="98" t="s">
        <v>663</v>
      </c>
      <c r="G421" s="140" t="s">
        <v>552</v>
      </c>
      <c r="H421" s="98"/>
      <c r="I421" s="140" t="s">
        <v>774</v>
      </c>
      <c r="J421" s="98">
        <v>98000</v>
      </c>
      <c r="K421" s="98" t="s">
        <v>51</v>
      </c>
      <c r="L421" s="98" t="s">
        <v>80</v>
      </c>
      <c r="M421" s="98" t="s">
        <v>40</v>
      </c>
      <c r="N421" s="237">
        <f>+VLOOKUP(A421,COMISIONES!$C$2:$AR$33,42,0)</f>
        <v>15</v>
      </c>
      <c r="O421" s="53">
        <f t="shared" si="6"/>
        <v>15</v>
      </c>
      <c r="P421" s="7">
        <f>+VLOOKUP(A421,COMISIONES!$C$2:$C$33,1,0)</f>
        <v>20000033</v>
      </c>
    </row>
    <row r="422" spans="1:16">
      <c r="A422" s="98">
        <v>20006233</v>
      </c>
      <c r="B422" s="98">
        <v>1</v>
      </c>
      <c r="C422" s="98" t="s">
        <v>55</v>
      </c>
      <c r="D422" s="98">
        <v>350842</v>
      </c>
      <c r="E422" s="137">
        <v>45017</v>
      </c>
      <c r="F422" s="98" t="s">
        <v>664</v>
      </c>
      <c r="G422" s="140" t="s">
        <v>553</v>
      </c>
      <c r="H422" s="98"/>
      <c r="I422" s="140" t="s">
        <v>775</v>
      </c>
      <c r="J422" s="98">
        <v>98008</v>
      </c>
      <c r="K422" s="98" t="s">
        <v>52</v>
      </c>
      <c r="L422" s="98" t="s">
        <v>80</v>
      </c>
      <c r="M422" s="98" t="s">
        <v>40</v>
      </c>
      <c r="N422" s="237">
        <f>+VLOOKUP(A422,COMISIONES!$C$2:$AR$33,42,0)</f>
        <v>15</v>
      </c>
      <c r="O422" s="53">
        <f t="shared" si="6"/>
        <v>15</v>
      </c>
      <c r="P422" s="7">
        <f>+VLOOKUP(A422,COMISIONES!$C$2:$C$33,1,0)</f>
        <v>20006233</v>
      </c>
    </row>
    <row r="423" spans="1:16">
      <c r="A423" s="98">
        <v>20001487</v>
      </c>
      <c r="B423" s="98">
        <v>1</v>
      </c>
      <c r="C423" s="98" t="s">
        <v>55</v>
      </c>
      <c r="D423" s="98">
        <v>351006</v>
      </c>
      <c r="E423" s="137">
        <v>45017</v>
      </c>
      <c r="F423" s="98" t="s">
        <v>665</v>
      </c>
      <c r="G423" s="140" t="s">
        <v>554</v>
      </c>
      <c r="H423" s="98"/>
      <c r="I423" s="140" t="s">
        <v>776</v>
      </c>
      <c r="J423" s="98">
        <v>98003</v>
      </c>
      <c r="K423" s="98" t="s">
        <v>51</v>
      </c>
      <c r="L423" s="98" t="s">
        <v>80</v>
      </c>
      <c r="M423" s="98" t="s">
        <v>40</v>
      </c>
      <c r="N423" s="237">
        <f>+VLOOKUP(A423,COMISIONES!$C$2:$AR$33,42,0)</f>
        <v>30</v>
      </c>
      <c r="O423" s="53">
        <f t="shared" si="6"/>
        <v>30</v>
      </c>
      <c r="P423" s="7">
        <f>+VLOOKUP(A423,COMISIONES!$C$2:$C$33,1,0)</f>
        <v>20001487</v>
      </c>
    </row>
    <row r="424" spans="1:16">
      <c r="A424" s="98">
        <v>20008439</v>
      </c>
      <c r="B424" s="98">
        <v>1</v>
      </c>
      <c r="C424" s="98" t="s">
        <v>55</v>
      </c>
      <c r="D424" s="98">
        <v>350901</v>
      </c>
      <c r="E424" s="137">
        <v>45017</v>
      </c>
      <c r="F424" s="98" t="s">
        <v>3710</v>
      </c>
      <c r="G424" s="140" t="s">
        <v>3630</v>
      </c>
      <c r="H424" s="98"/>
      <c r="I424" s="140" t="s">
        <v>3790</v>
      </c>
      <c r="J424" s="98">
        <v>98049</v>
      </c>
      <c r="K424" s="98" t="s">
        <v>50</v>
      </c>
      <c r="L424" s="98" t="s">
        <v>80</v>
      </c>
      <c r="M424" s="98" t="s">
        <v>40</v>
      </c>
      <c r="N424" s="237">
        <f>+VLOOKUP(A424,COMISIONES!$C$2:$AR$33,42,0)</f>
        <v>15</v>
      </c>
      <c r="O424" s="53">
        <f t="shared" si="6"/>
        <v>15</v>
      </c>
      <c r="P424" s="7">
        <f>+VLOOKUP(A424,COMISIONES!$C$2:$C$33,1,0)</f>
        <v>20008439</v>
      </c>
    </row>
    <row r="425" spans="1:16">
      <c r="A425" s="98">
        <v>20006162</v>
      </c>
      <c r="B425" s="98">
        <v>1</v>
      </c>
      <c r="C425" s="98" t="s">
        <v>55</v>
      </c>
      <c r="D425" s="98">
        <v>350897</v>
      </c>
      <c r="E425" s="137">
        <v>45017</v>
      </c>
      <c r="F425" s="98" t="s">
        <v>666</v>
      </c>
      <c r="G425" s="140" t="s">
        <v>555</v>
      </c>
      <c r="H425" s="98"/>
      <c r="I425" s="140" t="s">
        <v>777</v>
      </c>
      <c r="J425" s="98">
        <v>98069</v>
      </c>
      <c r="K425" s="98" t="s">
        <v>50</v>
      </c>
      <c r="L425" s="98" t="s">
        <v>80</v>
      </c>
      <c r="M425" s="98" t="s">
        <v>40</v>
      </c>
      <c r="N425" s="237">
        <f>+VLOOKUP(A425,COMISIONES!$C$2:$AR$33,42,0)</f>
        <v>20</v>
      </c>
      <c r="O425" s="53">
        <f t="shared" si="6"/>
        <v>20</v>
      </c>
      <c r="P425" s="7">
        <f>+VLOOKUP(A425,COMISIONES!$C$2:$C$33,1,0)</f>
        <v>20006162</v>
      </c>
    </row>
    <row r="426" spans="1:16">
      <c r="A426" s="98">
        <v>20006162</v>
      </c>
      <c r="B426" s="98">
        <v>1</v>
      </c>
      <c r="C426" s="98" t="s">
        <v>55</v>
      </c>
      <c r="D426" s="98">
        <v>350850</v>
      </c>
      <c r="E426" s="137">
        <v>45017</v>
      </c>
      <c r="F426" s="98" t="s">
        <v>667</v>
      </c>
      <c r="G426" s="140" t="s">
        <v>556</v>
      </c>
      <c r="H426" s="98"/>
      <c r="I426" s="140" t="s">
        <v>778</v>
      </c>
      <c r="J426" s="98">
        <v>98069</v>
      </c>
      <c r="K426" s="98" t="s">
        <v>50</v>
      </c>
      <c r="L426" s="98" t="s">
        <v>80</v>
      </c>
      <c r="M426" s="98" t="s">
        <v>40</v>
      </c>
      <c r="N426" s="237">
        <f>+VLOOKUP(A426,COMISIONES!$C$2:$AR$33,42,0)</f>
        <v>20</v>
      </c>
      <c r="O426" s="53">
        <f t="shared" si="6"/>
        <v>20</v>
      </c>
      <c r="P426" s="7">
        <f>+VLOOKUP(A426,COMISIONES!$C$2:$C$33,1,0)</f>
        <v>20006162</v>
      </c>
    </row>
    <row r="427" spans="1:16">
      <c r="A427" s="98">
        <v>20000661</v>
      </c>
      <c r="B427" s="98">
        <v>1</v>
      </c>
      <c r="C427" s="98" t="s">
        <v>55</v>
      </c>
      <c r="D427" s="98">
        <v>350938</v>
      </c>
      <c r="E427" s="137">
        <v>45017</v>
      </c>
      <c r="F427" s="98" t="s">
        <v>668</v>
      </c>
      <c r="G427" s="140" t="s">
        <v>557</v>
      </c>
      <c r="H427" s="98"/>
      <c r="I427" s="140" t="s">
        <v>779</v>
      </c>
      <c r="J427" s="98">
        <v>98013</v>
      </c>
      <c r="K427" s="98" t="s">
        <v>51</v>
      </c>
      <c r="L427" s="98" t="s">
        <v>80</v>
      </c>
      <c r="M427" s="98" t="s">
        <v>40</v>
      </c>
      <c r="N427" s="237">
        <f>+VLOOKUP(A427,COMISIONES!$C$2:$AR$33,42,0)</f>
        <v>15</v>
      </c>
      <c r="O427" s="53">
        <f t="shared" si="6"/>
        <v>15</v>
      </c>
      <c r="P427" s="7">
        <f>+VLOOKUP(A427,COMISIONES!$C$2:$C$33,1,0)</f>
        <v>20000661</v>
      </c>
    </row>
    <row r="428" spans="1:16">
      <c r="A428" s="98">
        <v>20000661</v>
      </c>
      <c r="B428" s="98">
        <v>1</v>
      </c>
      <c r="C428" s="98" t="s">
        <v>55</v>
      </c>
      <c r="D428" s="98">
        <v>351269</v>
      </c>
      <c r="E428" s="137">
        <v>45017</v>
      </c>
      <c r="F428" s="98" t="s">
        <v>3711</v>
      </c>
      <c r="G428" s="140" t="s">
        <v>3631</v>
      </c>
      <c r="H428" s="98"/>
      <c r="I428" s="140" t="s">
        <v>3791</v>
      </c>
      <c r="J428" s="98">
        <v>98013</v>
      </c>
      <c r="K428" s="98" t="s">
        <v>51</v>
      </c>
      <c r="L428" s="98" t="s">
        <v>80</v>
      </c>
      <c r="M428" s="98" t="s">
        <v>40</v>
      </c>
      <c r="N428" s="237">
        <f>+VLOOKUP(A428,COMISIONES!$C$2:$AR$33,42,0)</f>
        <v>15</v>
      </c>
      <c r="O428" s="53">
        <f t="shared" si="6"/>
        <v>15</v>
      </c>
      <c r="P428" s="7">
        <f>+VLOOKUP(A428,COMISIONES!$C$2:$C$33,1,0)</f>
        <v>20000661</v>
      </c>
    </row>
    <row r="429" spans="1:16">
      <c r="A429" s="98">
        <v>20004566</v>
      </c>
      <c r="B429" s="98">
        <v>1</v>
      </c>
      <c r="C429" s="98" t="s">
        <v>55</v>
      </c>
      <c r="D429" s="98">
        <v>351234</v>
      </c>
      <c r="E429" s="137">
        <v>45017</v>
      </c>
      <c r="F429" s="98" t="s">
        <v>669</v>
      </c>
      <c r="G429" s="140" t="s">
        <v>558</v>
      </c>
      <c r="H429" s="98"/>
      <c r="I429" s="140" t="s">
        <v>780</v>
      </c>
      <c r="J429" s="98">
        <v>98023</v>
      </c>
      <c r="K429" s="98" t="s">
        <v>50</v>
      </c>
      <c r="L429" s="98" t="s">
        <v>80</v>
      </c>
      <c r="M429" s="98" t="s">
        <v>40</v>
      </c>
      <c r="N429" s="237">
        <f>+VLOOKUP(A429,COMISIONES!$C$2:$AR$33,42,0)</f>
        <v>20</v>
      </c>
      <c r="O429" s="53">
        <f t="shared" si="6"/>
        <v>20</v>
      </c>
      <c r="P429" s="7">
        <f>+VLOOKUP(A429,COMISIONES!$C$2:$C$33,1,0)</f>
        <v>20004566</v>
      </c>
    </row>
    <row r="430" spans="1:16">
      <c r="A430" s="98">
        <v>20002636</v>
      </c>
      <c r="B430" s="98">
        <v>1</v>
      </c>
      <c r="C430" s="98" t="s">
        <v>55</v>
      </c>
      <c r="D430" s="98">
        <v>351276</v>
      </c>
      <c r="E430" s="137">
        <v>45017</v>
      </c>
      <c r="F430" s="98" t="s">
        <v>670</v>
      </c>
      <c r="G430" s="140" t="s">
        <v>559</v>
      </c>
      <c r="H430" s="98"/>
      <c r="I430" s="140" t="s">
        <v>781</v>
      </c>
      <c r="J430" s="98">
        <v>98007</v>
      </c>
      <c r="K430" s="98" t="s">
        <v>51</v>
      </c>
      <c r="L430" s="98" t="s">
        <v>80</v>
      </c>
      <c r="M430" s="98" t="s">
        <v>40</v>
      </c>
      <c r="N430" s="237">
        <f>+VLOOKUP(A430,COMISIONES!$C$2:$AR$33,42,0)</f>
        <v>15</v>
      </c>
      <c r="O430" s="53">
        <f t="shared" si="6"/>
        <v>15</v>
      </c>
      <c r="P430" s="7">
        <f>+VLOOKUP(A430,COMISIONES!$C$2:$C$33,1,0)</f>
        <v>20002636</v>
      </c>
    </row>
    <row r="431" spans="1:16">
      <c r="A431" s="98">
        <v>20010262</v>
      </c>
      <c r="B431" s="98">
        <v>1</v>
      </c>
      <c r="C431" s="98" t="s">
        <v>55</v>
      </c>
      <c r="D431" s="98">
        <v>351168</v>
      </c>
      <c r="E431" s="137">
        <v>45017</v>
      </c>
      <c r="F431" s="98" t="s">
        <v>671</v>
      </c>
      <c r="G431" s="140" t="s">
        <v>560</v>
      </c>
      <c r="H431" s="98"/>
      <c r="I431" s="140" t="s">
        <v>782</v>
      </c>
      <c r="J431" s="98">
        <v>98073</v>
      </c>
      <c r="K431" s="98" t="s">
        <v>52</v>
      </c>
      <c r="L431" s="98" t="s">
        <v>80</v>
      </c>
      <c r="M431" s="98" t="s">
        <v>40</v>
      </c>
      <c r="N431" s="237">
        <f>+VLOOKUP(A431,COMISIONES!$C$2:$AR$33,42,0)</f>
        <v>15</v>
      </c>
      <c r="O431" s="53">
        <f t="shared" si="6"/>
        <v>15</v>
      </c>
      <c r="P431" s="7">
        <f>+VLOOKUP(A431,COMISIONES!$C$2:$C$33,1,0)</f>
        <v>20010262</v>
      </c>
    </row>
    <row r="432" spans="1:16">
      <c r="A432" s="98">
        <v>20008700</v>
      </c>
      <c r="B432" s="98">
        <v>1</v>
      </c>
      <c r="C432" s="98" t="s">
        <v>55</v>
      </c>
      <c r="D432" s="98">
        <v>351367</v>
      </c>
      <c r="E432" s="137">
        <v>45017</v>
      </c>
      <c r="F432" s="98" t="s">
        <v>3712</v>
      </c>
      <c r="G432" s="140" t="s">
        <v>3632</v>
      </c>
      <c r="H432" s="98"/>
      <c r="I432" s="140" t="s">
        <v>3792</v>
      </c>
      <c r="J432" s="98">
        <v>98056</v>
      </c>
      <c r="K432" s="98" t="s">
        <v>50</v>
      </c>
      <c r="L432" s="98" t="s">
        <v>80</v>
      </c>
      <c r="M432" s="98" t="s">
        <v>40</v>
      </c>
      <c r="N432" s="237">
        <f>+VLOOKUP(A432,COMISIONES!$C$2:$AR$33,42,0)</f>
        <v>10</v>
      </c>
      <c r="O432" s="53">
        <f t="shared" si="6"/>
        <v>10</v>
      </c>
      <c r="P432" s="7">
        <f>+VLOOKUP(A432,COMISIONES!$C$2:$C$33,1,0)</f>
        <v>20008700</v>
      </c>
    </row>
    <row r="433" spans="1:16">
      <c r="A433" s="98">
        <v>20006162</v>
      </c>
      <c r="B433" s="98">
        <v>1</v>
      </c>
      <c r="C433" s="98" t="s">
        <v>55</v>
      </c>
      <c r="D433" s="98">
        <v>351359</v>
      </c>
      <c r="E433" s="137">
        <v>45017</v>
      </c>
      <c r="F433" s="98" t="s">
        <v>672</v>
      </c>
      <c r="G433" s="140" t="s">
        <v>561</v>
      </c>
      <c r="H433" s="98"/>
      <c r="I433" s="140" t="s">
        <v>783</v>
      </c>
      <c r="J433" s="98">
        <v>98069</v>
      </c>
      <c r="K433" s="98" t="s">
        <v>50</v>
      </c>
      <c r="L433" s="98" t="s">
        <v>80</v>
      </c>
      <c r="M433" s="98" t="s">
        <v>40</v>
      </c>
      <c r="N433" s="237">
        <f>+VLOOKUP(A433,COMISIONES!$C$2:$AR$33,42,0)</f>
        <v>20</v>
      </c>
      <c r="O433" s="53">
        <f t="shared" si="6"/>
        <v>20</v>
      </c>
      <c r="P433" s="7">
        <f>+VLOOKUP(A433,COMISIONES!$C$2:$C$33,1,0)</f>
        <v>20006162</v>
      </c>
    </row>
    <row r="434" spans="1:16">
      <c r="A434" s="98">
        <v>20004235</v>
      </c>
      <c r="B434" s="98">
        <v>1</v>
      </c>
      <c r="C434" s="98" t="s">
        <v>55</v>
      </c>
      <c r="D434" s="98">
        <v>351404</v>
      </c>
      <c r="E434" s="137">
        <v>45017</v>
      </c>
      <c r="F434" s="98" t="s">
        <v>673</v>
      </c>
      <c r="G434" s="140" t="s">
        <v>562</v>
      </c>
      <c r="H434" s="98"/>
      <c r="I434" s="140" t="s">
        <v>784</v>
      </c>
      <c r="J434" s="98">
        <v>98002</v>
      </c>
      <c r="K434" s="98" t="s">
        <v>49</v>
      </c>
      <c r="L434" s="98" t="s">
        <v>80</v>
      </c>
      <c r="M434" s="98" t="s">
        <v>40</v>
      </c>
      <c r="N434" s="237">
        <f>+VLOOKUP(A434,COMISIONES!$C$2:$AR$33,42,0)</f>
        <v>15</v>
      </c>
      <c r="O434" s="53">
        <f t="shared" si="6"/>
        <v>15</v>
      </c>
      <c r="P434" s="7">
        <f>+VLOOKUP(A434,COMISIONES!$C$2:$C$33,1,0)</f>
        <v>20004235</v>
      </c>
    </row>
    <row r="435" spans="1:16">
      <c r="A435" s="98">
        <v>20009690</v>
      </c>
      <c r="B435" s="98">
        <v>1</v>
      </c>
      <c r="C435" s="98" t="s">
        <v>55</v>
      </c>
      <c r="D435" s="98">
        <v>351357</v>
      </c>
      <c r="E435" s="137">
        <v>45017</v>
      </c>
      <c r="F435" s="98" t="s">
        <v>674</v>
      </c>
      <c r="G435" s="140" t="s">
        <v>563</v>
      </c>
      <c r="H435" s="98"/>
      <c r="I435" s="140" t="s">
        <v>785</v>
      </c>
      <c r="J435" s="98">
        <v>98068</v>
      </c>
      <c r="K435" s="98" t="s">
        <v>49</v>
      </c>
      <c r="L435" s="98" t="s">
        <v>80</v>
      </c>
      <c r="M435" s="98" t="s">
        <v>40</v>
      </c>
      <c r="N435" s="237">
        <f>+VLOOKUP(A435,COMISIONES!$C$2:$AR$33,42,0)</f>
        <v>30</v>
      </c>
      <c r="O435" s="53">
        <f t="shared" si="6"/>
        <v>30</v>
      </c>
      <c r="P435" s="7">
        <f>+VLOOKUP(A435,COMISIONES!$C$2:$C$33,1,0)</f>
        <v>20009690</v>
      </c>
    </row>
    <row r="436" spans="1:16">
      <c r="A436" s="98">
        <v>20000661</v>
      </c>
      <c r="B436" s="98">
        <v>1</v>
      </c>
      <c r="C436" s="98" t="s">
        <v>55</v>
      </c>
      <c r="D436" s="98">
        <v>351340</v>
      </c>
      <c r="E436" s="137">
        <v>45017</v>
      </c>
      <c r="F436" s="98" t="s">
        <v>675</v>
      </c>
      <c r="G436" s="140" t="s">
        <v>564</v>
      </c>
      <c r="H436" s="98"/>
      <c r="I436" s="140" t="s">
        <v>786</v>
      </c>
      <c r="J436" s="98">
        <v>98013</v>
      </c>
      <c r="K436" s="98" t="s">
        <v>51</v>
      </c>
      <c r="L436" s="98" t="s">
        <v>80</v>
      </c>
      <c r="M436" s="98" t="s">
        <v>40</v>
      </c>
      <c r="N436" s="237">
        <f>+VLOOKUP(A436,COMISIONES!$C$2:$AR$33,42,0)</f>
        <v>15</v>
      </c>
      <c r="O436" s="53">
        <f t="shared" si="6"/>
        <v>15</v>
      </c>
      <c r="P436" s="7">
        <f>+VLOOKUP(A436,COMISIONES!$C$2:$C$33,1,0)</f>
        <v>20000661</v>
      </c>
    </row>
    <row r="437" spans="1:16">
      <c r="A437" s="98">
        <v>20001487</v>
      </c>
      <c r="B437" s="98">
        <v>1</v>
      </c>
      <c r="C437" s="98" t="s">
        <v>55</v>
      </c>
      <c r="D437" s="98">
        <v>351479</v>
      </c>
      <c r="E437" s="137">
        <v>45017</v>
      </c>
      <c r="F437" s="98" t="s">
        <v>676</v>
      </c>
      <c r="G437" s="140" t="s">
        <v>565</v>
      </c>
      <c r="H437" s="98"/>
      <c r="I437" s="140" t="s">
        <v>787</v>
      </c>
      <c r="J437" s="98">
        <v>98003</v>
      </c>
      <c r="K437" s="98" t="s">
        <v>51</v>
      </c>
      <c r="L437" s="98" t="s">
        <v>80</v>
      </c>
      <c r="M437" s="98" t="s">
        <v>40</v>
      </c>
      <c r="N437" s="237">
        <f>+VLOOKUP(A437,COMISIONES!$C$2:$AR$33,42,0)</f>
        <v>30</v>
      </c>
      <c r="O437" s="53">
        <f t="shared" si="6"/>
        <v>30</v>
      </c>
      <c r="P437" s="7">
        <f>+VLOOKUP(A437,COMISIONES!$C$2:$C$33,1,0)</f>
        <v>20001487</v>
      </c>
    </row>
    <row r="438" spans="1:16">
      <c r="A438" s="98">
        <v>20008711</v>
      </c>
      <c r="B438" s="98">
        <v>1</v>
      </c>
      <c r="C438" s="98" t="s">
        <v>55</v>
      </c>
      <c r="D438" s="98">
        <v>351715</v>
      </c>
      <c r="E438" s="137">
        <v>45017</v>
      </c>
      <c r="F438" s="98" t="s">
        <v>677</v>
      </c>
      <c r="G438" s="140" t="s">
        <v>566</v>
      </c>
      <c r="H438" s="98"/>
      <c r="I438" s="140" t="s">
        <v>788</v>
      </c>
      <c r="J438" s="98">
        <v>98055</v>
      </c>
      <c r="K438" s="98" t="s">
        <v>50</v>
      </c>
      <c r="L438" s="98" t="s">
        <v>80</v>
      </c>
      <c r="M438" s="98" t="s">
        <v>40</v>
      </c>
      <c r="N438" s="237">
        <f>+VLOOKUP(A438,COMISIONES!$C$2:$AR$33,42,0)</f>
        <v>15</v>
      </c>
      <c r="O438" s="53">
        <f t="shared" ref="O438:O497" si="8">N438*B438</f>
        <v>15</v>
      </c>
      <c r="P438" s="7">
        <f>+VLOOKUP(A438,COMISIONES!$C$2:$C$33,1,0)</f>
        <v>20008711</v>
      </c>
    </row>
    <row r="439" spans="1:16">
      <c r="A439" s="98">
        <v>20004235</v>
      </c>
      <c r="B439" s="98">
        <v>1</v>
      </c>
      <c r="C439" s="98" t="s">
        <v>55</v>
      </c>
      <c r="D439" s="98">
        <v>351677</v>
      </c>
      <c r="E439" s="137">
        <v>45017</v>
      </c>
      <c r="F439" s="98" t="s">
        <v>678</v>
      </c>
      <c r="G439" s="140" t="s">
        <v>567</v>
      </c>
      <c r="H439" s="98"/>
      <c r="I439" s="140" t="s">
        <v>789</v>
      </c>
      <c r="J439" s="98">
        <v>98002</v>
      </c>
      <c r="K439" s="98" t="s">
        <v>49</v>
      </c>
      <c r="L439" s="98" t="s">
        <v>80</v>
      </c>
      <c r="M439" s="98" t="s">
        <v>40</v>
      </c>
      <c r="N439" s="237">
        <f>+VLOOKUP(A439,COMISIONES!$C$2:$AR$33,42,0)</f>
        <v>15</v>
      </c>
      <c r="O439" s="53">
        <f t="shared" si="8"/>
        <v>15</v>
      </c>
      <c r="P439" s="7">
        <f>+VLOOKUP(A439,COMISIONES!$C$2:$C$33,1,0)</f>
        <v>20004235</v>
      </c>
    </row>
    <row r="440" spans="1:16">
      <c r="A440" s="98">
        <v>20004638</v>
      </c>
      <c r="B440" s="98">
        <v>1</v>
      </c>
      <c r="C440" s="98" t="s">
        <v>55</v>
      </c>
      <c r="D440" s="98">
        <v>351854</v>
      </c>
      <c r="E440" s="137">
        <v>45017</v>
      </c>
      <c r="F440" s="98" t="s">
        <v>679</v>
      </c>
      <c r="G440" s="140" t="s">
        <v>568</v>
      </c>
      <c r="H440" s="98"/>
      <c r="I440" s="140" t="s">
        <v>790</v>
      </c>
      <c r="J440" s="98">
        <v>98009</v>
      </c>
      <c r="K440" s="98" t="s">
        <v>51</v>
      </c>
      <c r="L440" s="98" t="s">
        <v>80</v>
      </c>
      <c r="M440" s="98" t="s">
        <v>40</v>
      </c>
      <c r="N440" s="237">
        <f>+VLOOKUP(A440,COMISIONES!$C$2:$AR$33,42,0)</f>
        <v>10</v>
      </c>
      <c r="O440" s="53">
        <f t="shared" si="8"/>
        <v>10</v>
      </c>
      <c r="P440" s="7">
        <f>+VLOOKUP(A440,COMISIONES!$C$2:$C$33,1,0)</f>
        <v>20004638</v>
      </c>
    </row>
    <row r="441" spans="1:16">
      <c r="A441" s="98">
        <v>20007726</v>
      </c>
      <c r="B441" s="98">
        <v>1</v>
      </c>
      <c r="C441" s="98" t="s">
        <v>55</v>
      </c>
      <c r="D441" s="98">
        <v>351846</v>
      </c>
      <c r="E441" s="137">
        <v>45017</v>
      </c>
      <c r="F441" s="98" t="s">
        <v>680</v>
      </c>
      <c r="G441" s="140" t="s">
        <v>569</v>
      </c>
      <c r="H441" s="98"/>
      <c r="I441" s="140" t="s">
        <v>791</v>
      </c>
      <c r="J441" s="98">
        <v>98051</v>
      </c>
      <c r="K441" s="98" t="s">
        <v>49</v>
      </c>
      <c r="L441" s="98" t="s">
        <v>80</v>
      </c>
      <c r="M441" s="98" t="s">
        <v>40</v>
      </c>
      <c r="N441" s="237">
        <f>+VLOOKUP(A441,COMISIONES!$C$2:$AR$33,42,0)</f>
        <v>30</v>
      </c>
      <c r="O441" s="53">
        <f t="shared" si="8"/>
        <v>30</v>
      </c>
      <c r="P441" s="7">
        <f>+VLOOKUP(A441,COMISIONES!$C$2:$C$33,1,0)</f>
        <v>20007726</v>
      </c>
    </row>
    <row r="442" spans="1:16">
      <c r="A442" s="98">
        <v>20000033</v>
      </c>
      <c r="B442" s="98">
        <v>1</v>
      </c>
      <c r="C442" s="98" t="s">
        <v>55</v>
      </c>
      <c r="D442" s="98">
        <v>351797</v>
      </c>
      <c r="E442" s="137">
        <v>45017</v>
      </c>
      <c r="F442" s="98" t="s">
        <v>3713</v>
      </c>
      <c r="G442" s="140" t="s">
        <v>3633</v>
      </c>
      <c r="H442" s="98"/>
      <c r="I442" s="140" t="s">
        <v>3793</v>
      </c>
      <c r="J442" s="98">
        <v>98000</v>
      </c>
      <c r="K442" s="98" t="s">
        <v>51</v>
      </c>
      <c r="L442" s="98" t="s">
        <v>80</v>
      </c>
      <c r="M442" s="98" t="s">
        <v>40</v>
      </c>
      <c r="N442" s="237">
        <f>+VLOOKUP(A442,COMISIONES!$C$2:$AR$33,42,0)</f>
        <v>15</v>
      </c>
      <c r="O442" s="53">
        <f t="shared" si="8"/>
        <v>15</v>
      </c>
      <c r="P442" s="7">
        <f>+VLOOKUP(A442,COMISIONES!$C$2:$C$33,1,0)</f>
        <v>20000033</v>
      </c>
    </row>
    <row r="443" spans="1:16">
      <c r="A443" s="98">
        <v>20004235</v>
      </c>
      <c r="B443" s="98">
        <v>1</v>
      </c>
      <c r="C443" s="98" t="s">
        <v>55</v>
      </c>
      <c r="D443" s="98">
        <v>351843</v>
      </c>
      <c r="E443" s="137">
        <v>45017</v>
      </c>
      <c r="F443" s="98" t="s">
        <v>681</v>
      </c>
      <c r="G443" s="140" t="s">
        <v>570</v>
      </c>
      <c r="H443" s="98"/>
      <c r="I443" s="140" t="s">
        <v>792</v>
      </c>
      <c r="J443" s="98">
        <v>98002</v>
      </c>
      <c r="K443" s="98" t="s">
        <v>49</v>
      </c>
      <c r="L443" s="98" t="s">
        <v>80</v>
      </c>
      <c r="M443" s="98" t="s">
        <v>40</v>
      </c>
      <c r="N443" s="237">
        <f>+VLOOKUP(A443,COMISIONES!$C$2:$AR$33,42,0)</f>
        <v>15</v>
      </c>
      <c r="O443" s="53">
        <f t="shared" si="8"/>
        <v>15</v>
      </c>
      <c r="P443" s="7">
        <f>+VLOOKUP(A443,COMISIONES!$C$2:$C$33,1,0)</f>
        <v>20004235</v>
      </c>
    </row>
    <row r="444" spans="1:16">
      <c r="A444" s="98">
        <v>20006233</v>
      </c>
      <c r="B444" s="98">
        <v>1</v>
      </c>
      <c r="C444" s="98" t="s">
        <v>55</v>
      </c>
      <c r="D444" s="98">
        <v>351836</v>
      </c>
      <c r="E444" s="137">
        <v>45017</v>
      </c>
      <c r="F444" s="98" t="s">
        <v>682</v>
      </c>
      <c r="G444" s="140" t="s">
        <v>571</v>
      </c>
      <c r="H444" s="98"/>
      <c r="I444" s="140" t="s">
        <v>793</v>
      </c>
      <c r="J444" s="98">
        <v>98008</v>
      </c>
      <c r="K444" s="98" t="s">
        <v>52</v>
      </c>
      <c r="L444" s="98" t="s">
        <v>80</v>
      </c>
      <c r="M444" s="98" t="s">
        <v>40</v>
      </c>
      <c r="N444" s="237">
        <f>+VLOOKUP(A444,COMISIONES!$C$2:$AR$33,42,0)</f>
        <v>15</v>
      </c>
      <c r="O444" s="53">
        <f t="shared" si="8"/>
        <v>15</v>
      </c>
      <c r="P444" s="7">
        <f>+VLOOKUP(A444,COMISIONES!$C$2:$C$33,1,0)</f>
        <v>20006233</v>
      </c>
    </row>
    <row r="445" spans="1:16">
      <c r="A445" s="98">
        <v>20001487</v>
      </c>
      <c r="B445" s="98">
        <v>1</v>
      </c>
      <c r="C445" s="98" t="s">
        <v>55</v>
      </c>
      <c r="D445" s="98">
        <v>351779</v>
      </c>
      <c r="E445" s="137">
        <v>45017</v>
      </c>
      <c r="F445" s="98" t="s">
        <v>683</v>
      </c>
      <c r="G445" s="140" t="s">
        <v>572</v>
      </c>
      <c r="H445" s="98"/>
      <c r="I445" s="140" t="s">
        <v>794</v>
      </c>
      <c r="J445" s="98">
        <v>98003</v>
      </c>
      <c r="K445" s="98" t="s">
        <v>51</v>
      </c>
      <c r="L445" s="98" t="s">
        <v>80</v>
      </c>
      <c r="M445" s="98" t="s">
        <v>40</v>
      </c>
      <c r="N445" s="237">
        <f>+VLOOKUP(A445,COMISIONES!$C$2:$AR$33,42,0)</f>
        <v>30</v>
      </c>
      <c r="O445" s="53">
        <f t="shared" si="8"/>
        <v>30</v>
      </c>
      <c r="P445" s="7">
        <f>+VLOOKUP(A445,COMISIONES!$C$2:$C$33,1,0)</f>
        <v>20001487</v>
      </c>
    </row>
    <row r="446" spans="1:16">
      <c r="A446" s="98">
        <v>20010101</v>
      </c>
      <c r="B446" s="98">
        <v>1</v>
      </c>
      <c r="C446" s="98" t="s">
        <v>55</v>
      </c>
      <c r="D446" s="98">
        <v>351809</v>
      </c>
      <c r="E446" s="137">
        <v>45017</v>
      </c>
      <c r="F446" s="98" t="s">
        <v>684</v>
      </c>
      <c r="G446" s="140" t="s">
        <v>573</v>
      </c>
      <c r="H446" s="98"/>
      <c r="I446" s="140" t="s">
        <v>795</v>
      </c>
      <c r="J446" s="98">
        <v>98072</v>
      </c>
      <c r="K446" s="98" t="s">
        <v>49</v>
      </c>
      <c r="L446" s="98" t="s">
        <v>80</v>
      </c>
      <c r="M446" s="98" t="s">
        <v>40</v>
      </c>
      <c r="N446" s="237">
        <f>+VLOOKUP(A446,COMISIONES!$C$2:$AR$33,42,0)</f>
        <v>30</v>
      </c>
      <c r="O446" s="53">
        <f t="shared" si="8"/>
        <v>30</v>
      </c>
      <c r="P446" s="7">
        <f>+VLOOKUP(A446,COMISIONES!$C$2:$C$33,1,0)</f>
        <v>20010101</v>
      </c>
    </row>
    <row r="447" spans="1:16">
      <c r="A447" s="98">
        <v>20000033</v>
      </c>
      <c r="B447" s="98">
        <v>1</v>
      </c>
      <c r="C447" s="98" t="s">
        <v>55</v>
      </c>
      <c r="D447" s="98">
        <v>351783</v>
      </c>
      <c r="E447" s="137">
        <v>45017</v>
      </c>
      <c r="F447" s="98" t="s">
        <v>685</v>
      </c>
      <c r="G447" s="140" t="s">
        <v>574</v>
      </c>
      <c r="H447" s="98"/>
      <c r="I447" s="140" t="s">
        <v>796</v>
      </c>
      <c r="J447" s="98">
        <v>98000</v>
      </c>
      <c r="K447" s="98" t="s">
        <v>51</v>
      </c>
      <c r="L447" s="98" t="s">
        <v>80</v>
      </c>
      <c r="M447" s="98" t="s">
        <v>40</v>
      </c>
      <c r="N447" s="237">
        <f>+VLOOKUP(A447,COMISIONES!$C$2:$AR$33,42,0)</f>
        <v>15</v>
      </c>
      <c r="O447" s="53">
        <f t="shared" si="8"/>
        <v>15</v>
      </c>
      <c r="P447" s="7">
        <f>+VLOOKUP(A447,COMISIONES!$C$2:$C$33,1,0)</f>
        <v>20000033</v>
      </c>
    </row>
    <row r="448" spans="1:16">
      <c r="A448" s="98">
        <v>20010086</v>
      </c>
      <c r="B448" s="98">
        <v>1</v>
      </c>
      <c r="C448" s="98" t="s">
        <v>55</v>
      </c>
      <c r="D448" s="98">
        <v>351936</v>
      </c>
      <c r="E448" s="137">
        <v>45017</v>
      </c>
      <c r="F448" s="98" t="s">
        <v>3913</v>
      </c>
      <c r="G448" s="140" t="s">
        <v>3914</v>
      </c>
      <c r="H448" s="98"/>
      <c r="I448" s="140" t="s">
        <v>3915</v>
      </c>
      <c r="J448" s="98">
        <v>98070</v>
      </c>
      <c r="K448" s="98" t="s">
        <v>51</v>
      </c>
      <c r="L448" s="98" t="s">
        <v>80</v>
      </c>
      <c r="M448" s="98" t="s">
        <v>40</v>
      </c>
      <c r="N448" s="237">
        <v>0</v>
      </c>
      <c r="O448" s="53">
        <f t="shared" si="8"/>
        <v>0</v>
      </c>
      <c r="P448" s="7" t="s">
        <v>3962</v>
      </c>
    </row>
    <row r="449" spans="1:16">
      <c r="A449" s="98">
        <v>20006162</v>
      </c>
      <c r="B449" s="98">
        <v>1</v>
      </c>
      <c r="C449" s="98" t="s">
        <v>55</v>
      </c>
      <c r="D449" s="98">
        <v>351906</v>
      </c>
      <c r="E449" s="137">
        <v>45017</v>
      </c>
      <c r="F449" s="98" t="s">
        <v>686</v>
      </c>
      <c r="G449" s="140" t="s">
        <v>575</v>
      </c>
      <c r="H449" s="98"/>
      <c r="I449" s="140" t="s">
        <v>797</v>
      </c>
      <c r="J449" s="98">
        <v>98069</v>
      </c>
      <c r="K449" s="98" t="s">
        <v>50</v>
      </c>
      <c r="L449" s="98" t="s">
        <v>80</v>
      </c>
      <c r="M449" s="98" t="s">
        <v>40</v>
      </c>
      <c r="N449" s="237">
        <f>+VLOOKUP(A449,COMISIONES!$C$2:$AR$33,42,0)</f>
        <v>20</v>
      </c>
      <c r="O449" s="53">
        <f t="shared" si="8"/>
        <v>20</v>
      </c>
      <c r="P449" s="7">
        <f>+VLOOKUP(A449,COMISIONES!$C$2:$C$33,1,0)</f>
        <v>20006162</v>
      </c>
    </row>
    <row r="450" spans="1:16">
      <c r="A450" s="98">
        <v>20008711</v>
      </c>
      <c r="B450" s="98">
        <v>1</v>
      </c>
      <c r="C450" s="98" t="s">
        <v>55</v>
      </c>
      <c r="D450" s="98">
        <v>351923</v>
      </c>
      <c r="E450" s="137">
        <v>45017</v>
      </c>
      <c r="F450" s="98" t="s">
        <v>687</v>
      </c>
      <c r="G450" s="140" t="s">
        <v>576</v>
      </c>
      <c r="H450" s="98"/>
      <c r="I450" s="140" t="s">
        <v>798</v>
      </c>
      <c r="J450" s="98">
        <v>98055</v>
      </c>
      <c r="K450" s="98" t="s">
        <v>50</v>
      </c>
      <c r="L450" s="98" t="s">
        <v>80</v>
      </c>
      <c r="M450" s="98" t="s">
        <v>40</v>
      </c>
      <c r="N450" s="237">
        <f>+VLOOKUP(A450,COMISIONES!$C$2:$AR$33,42,0)</f>
        <v>15</v>
      </c>
      <c r="O450" s="53">
        <f t="shared" si="8"/>
        <v>15</v>
      </c>
      <c r="P450" s="7">
        <f>+VLOOKUP(A450,COMISIONES!$C$2:$C$33,1,0)</f>
        <v>20008711</v>
      </c>
    </row>
    <row r="451" spans="1:16">
      <c r="A451" s="98">
        <v>20000033</v>
      </c>
      <c r="B451" s="98">
        <v>1</v>
      </c>
      <c r="C451" s="98" t="s">
        <v>55</v>
      </c>
      <c r="D451" s="98">
        <v>351896</v>
      </c>
      <c r="E451" s="137">
        <v>45017</v>
      </c>
      <c r="F451" s="98" t="s">
        <v>688</v>
      </c>
      <c r="G451" s="140" t="s">
        <v>577</v>
      </c>
      <c r="H451" s="98"/>
      <c r="I451" s="140" t="s">
        <v>799</v>
      </c>
      <c r="J451" s="98">
        <v>98000</v>
      </c>
      <c r="K451" s="98" t="s">
        <v>51</v>
      </c>
      <c r="L451" s="98" t="s">
        <v>80</v>
      </c>
      <c r="M451" s="98" t="s">
        <v>40</v>
      </c>
      <c r="N451" s="237">
        <f>+VLOOKUP(A451,COMISIONES!$C$2:$AR$33,42,0)</f>
        <v>15</v>
      </c>
      <c r="O451" s="53">
        <f t="shared" si="8"/>
        <v>15</v>
      </c>
      <c r="P451" s="7">
        <f>+VLOOKUP(A451,COMISIONES!$C$2:$C$33,1,0)</f>
        <v>20000033</v>
      </c>
    </row>
    <row r="452" spans="1:16">
      <c r="A452" s="98">
        <v>20006360</v>
      </c>
      <c r="B452" s="98">
        <v>1</v>
      </c>
      <c r="C452" s="98" t="s">
        <v>55</v>
      </c>
      <c r="D452" s="98">
        <v>351939</v>
      </c>
      <c r="E452" s="137">
        <v>45017</v>
      </c>
      <c r="F452" s="98" t="s">
        <v>689</v>
      </c>
      <c r="G452" s="140" t="s">
        <v>578</v>
      </c>
      <c r="H452" s="98"/>
      <c r="I452" s="140" t="s">
        <v>800</v>
      </c>
      <c r="J452" s="98">
        <v>98012</v>
      </c>
      <c r="K452" s="98" t="s">
        <v>50</v>
      </c>
      <c r="L452" s="98" t="s">
        <v>80</v>
      </c>
      <c r="M452" s="98" t="s">
        <v>40</v>
      </c>
      <c r="N452" s="237">
        <f>+VLOOKUP(A452,COMISIONES!$C$2:$AR$33,42,0)</f>
        <v>10</v>
      </c>
      <c r="O452" s="53">
        <f t="shared" si="8"/>
        <v>10</v>
      </c>
      <c r="P452" s="7">
        <f>+VLOOKUP(A452,COMISIONES!$C$2:$C$33,1,0)</f>
        <v>20006360</v>
      </c>
    </row>
    <row r="453" spans="1:16">
      <c r="A453" s="98">
        <v>20004566</v>
      </c>
      <c r="B453" s="98">
        <v>1</v>
      </c>
      <c r="C453" s="98" t="s">
        <v>55</v>
      </c>
      <c r="D453" s="98">
        <v>351903</v>
      </c>
      <c r="E453" s="137">
        <v>45017</v>
      </c>
      <c r="F453" s="98" t="s">
        <v>690</v>
      </c>
      <c r="G453" s="140" t="s">
        <v>579</v>
      </c>
      <c r="H453" s="98"/>
      <c r="I453" s="140" t="s">
        <v>801</v>
      </c>
      <c r="J453" s="98">
        <v>98023</v>
      </c>
      <c r="K453" s="98" t="s">
        <v>50</v>
      </c>
      <c r="L453" s="98" t="s">
        <v>80</v>
      </c>
      <c r="M453" s="98" t="s">
        <v>40</v>
      </c>
      <c r="N453" s="237">
        <f>+VLOOKUP(A453,COMISIONES!$C$2:$AR$33,42,0)</f>
        <v>20</v>
      </c>
      <c r="O453" s="53">
        <f t="shared" si="8"/>
        <v>20</v>
      </c>
      <c r="P453" s="7">
        <f>+VLOOKUP(A453,COMISIONES!$C$2:$C$33,1,0)</f>
        <v>20004566</v>
      </c>
    </row>
    <row r="454" spans="1:16">
      <c r="A454" s="98">
        <v>20000661</v>
      </c>
      <c r="B454" s="98">
        <v>1</v>
      </c>
      <c r="C454" s="98" t="s">
        <v>55</v>
      </c>
      <c r="D454" s="98">
        <v>351881</v>
      </c>
      <c r="E454" s="137">
        <v>45017</v>
      </c>
      <c r="F454" s="98" t="s">
        <v>691</v>
      </c>
      <c r="G454" s="140" t="s">
        <v>580</v>
      </c>
      <c r="H454" s="98"/>
      <c r="I454" s="140" t="s">
        <v>802</v>
      </c>
      <c r="J454" s="98">
        <v>98013</v>
      </c>
      <c r="K454" s="98" t="s">
        <v>51</v>
      </c>
      <c r="L454" s="98" t="s">
        <v>80</v>
      </c>
      <c r="M454" s="98" t="s">
        <v>40</v>
      </c>
      <c r="N454" s="237">
        <f>+VLOOKUP(A454,COMISIONES!$C$2:$AR$33,42,0)</f>
        <v>15</v>
      </c>
      <c r="O454" s="53">
        <f t="shared" si="8"/>
        <v>15</v>
      </c>
      <c r="P454" s="7">
        <f>+VLOOKUP(A454,COMISIONES!$C$2:$C$33,1,0)</f>
        <v>20000661</v>
      </c>
    </row>
    <row r="455" spans="1:16">
      <c r="A455" s="98">
        <v>20009174</v>
      </c>
      <c r="B455" s="98">
        <v>1</v>
      </c>
      <c r="C455" s="98" t="s">
        <v>55</v>
      </c>
      <c r="D455" s="98">
        <v>356846</v>
      </c>
      <c r="E455" s="137">
        <v>45047</v>
      </c>
      <c r="F455" s="140" t="s">
        <v>3634</v>
      </c>
      <c r="G455" s="98" t="s">
        <v>3714</v>
      </c>
      <c r="I455" s="140" t="s">
        <v>3794</v>
      </c>
      <c r="J455" s="98"/>
      <c r="K455" s="98" t="s">
        <v>52</v>
      </c>
      <c r="L455" s="98" t="s">
        <v>80</v>
      </c>
      <c r="M455" s="98" t="s">
        <v>40</v>
      </c>
      <c r="N455" s="237">
        <f>+VLOOKUP(A455,COMISIONES!$C$2:$AR$33,42,0)</f>
        <v>20</v>
      </c>
      <c r="O455" s="53">
        <f t="shared" si="8"/>
        <v>20</v>
      </c>
      <c r="P455" s="7">
        <f>+VLOOKUP(A455,COMISIONES!$C$2:$C$33,1,0)</f>
        <v>20009174</v>
      </c>
    </row>
    <row r="456" spans="1:16">
      <c r="A456" s="98">
        <v>20002636</v>
      </c>
      <c r="B456" s="98">
        <v>1</v>
      </c>
      <c r="C456" s="98" t="s">
        <v>55</v>
      </c>
      <c r="D456" s="98">
        <v>356087</v>
      </c>
      <c r="E456" s="137">
        <v>45047</v>
      </c>
      <c r="F456" s="140" t="s">
        <v>581</v>
      </c>
      <c r="G456" s="98" t="s">
        <v>692</v>
      </c>
      <c r="I456" s="140" t="s">
        <v>803</v>
      </c>
      <c r="J456" s="98"/>
      <c r="K456" s="98" t="s">
        <v>51</v>
      </c>
      <c r="L456" s="98" t="s">
        <v>80</v>
      </c>
      <c r="M456" s="98" t="s">
        <v>40</v>
      </c>
      <c r="N456" s="237">
        <f>+VLOOKUP(A456,COMISIONES!$C$2:$AR$33,42,0)</f>
        <v>15</v>
      </c>
      <c r="O456" s="53">
        <f t="shared" si="8"/>
        <v>15</v>
      </c>
      <c r="P456" s="7">
        <f>+VLOOKUP(A456,COMISIONES!$C$2:$C$33,1,0)</f>
        <v>20002636</v>
      </c>
    </row>
    <row r="457" spans="1:16">
      <c r="A457" s="98">
        <v>20010101</v>
      </c>
      <c r="B457" s="98">
        <v>1</v>
      </c>
      <c r="C457" s="98" t="s">
        <v>55</v>
      </c>
      <c r="D457" s="98">
        <v>355711</v>
      </c>
      <c r="E457" s="137">
        <v>45047</v>
      </c>
      <c r="F457" s="140" t="s">
        <v>3635</v>
      </c>
      <c r="G457" s="98" t="s">
        <v>3715</v>
      </c>
      <c r="I457" s="140" t="s">
        <v>3795</v>
      </c>
      <c r="J457" s="98"/>
      <c r="K457" s="98" t="s">
        <v>49</v>
      </c>
      <c r="L457" s="98" t="s">
        <v>80</v>
      </c>
      <c r="M457" s="98" t="s">
        <v>40</v>
      </c>
      <c r="N457" s="237">
        <f>+VLOOKUP(A457,COMISIONES!$C$2:$AR$33,42,0)</f>
        <v>30</v>
      </c>
      <c r="O457" s="53">
        <f t="shared" si="8"/>
        <v>30</v>
      </c>
      <c r="P457" s="7">
        <f>+VLOOKUP(A457,COMISIONES!$C$2:$C$33,1,0)</f>
        <v>20010101</v>
      </c>
    </row>
    <row r="458" spans="1:16">
      <c r="A458" s="98">
        <v>20008909</v>
      </c>
      <c r="B458" s="98">
        <v>1</v>
      </c>
      <c r="C458" s="98" t="s">
        <v>55</v>
      </c>
      <c r="D458" s="98">
        <v>354227</v>
      </c>
      <c r="E458" s="137">
        <v>45047</v>
      </c>
      <c r="F458" s="140" t="s">
        <v>3917</v>
      </c>
      <c r="G458" s="98" t="s">
        <v>3916</v>
      </c>
      <c r="I458" s="140" t="s">
        <v>3918</v>
      </c>
      <c r="J458" s="98"/>
      <c r="K458" s="98" t="s">
        <v>50</v>
      </c>
      <c r="L458" s="98" t="s">
        <v>80</v>
      </c>
      <c r="M458" s="98" t="s">
        <v>40</v>
      </c>
      <c r="N458" s="237">
        <v>0</v>
      </c>
      <c r="O458" s="53">
        <f t="shared" si="8"/>
        <v>0</v>
      </c>
      <c r="P458" s="7" t="s">
        <v>3962</v>
      </c>
    </row>
    <row r="459" spans="1:16">
      <c r="A459" s="98">
        <v>20004566</v>
      </c>
      <c r="B459" s="98">
        <v>1</v>
      </c>
      <c r="C459" s="98" t="s">
        <v>55</v>
      </c>
      <c r="D459" s="98">
        <v>353265</v>
      </c>
      <c r="E459" s="137">
        <v>45047</v>
      </c>
      <c r="F459" s="140" t="s">
        <v>3636</v>
      </c>
      <c r="G459" s="98" t="s">
        <v>3716</v>
      </c>
      <c r="I459" s="140" t="s">
        <v>3796</v>
      </c>
      <c r="J459" s="98"/>
      <c r="K459" s="98" t="s">
        <v>50</v>
      </c>
      <c r="L459" s="98" t="s">
        <v>80</v>
      </c>
      <c r="M459" s="98" t="s">
        <v>40</v>
      </c>
      <c r="N459" s="237">
        <f>+VLOOKUP(A459,COMISIONES!$C$2:$AR$33,42,0)</f>
        <v>20</v>
      </c>
      <c r="O459" s="53">
        <f t="shared" si="8"/>
        <v>20</v>
      </c>
      <c r="P459" s="7">
        <f>+VLOOKUP(A459,COMISIONES!$C$2:$C$33,1,0)</f>
        <v>20004566</v>
      </c>
    </row>
    <row r="460" spans="1:16">
      <c r="A460" s="98">
        <v>20007352</v>
      </c>
      <c r="B460" s="98">
        <v>1</v>
      </c>
      <c r="C460" s="98" t="s">
        <v>55</v>
      </c>
      <c r="D460" s="98">
        <v>352935</v>
      </c>
      <c r="E460" s="137">
        <v>45047</v>
      </c>
      <c r="F460" s="140" t="s">
        <v>582</v>
      </c>
      <c r="G460" s="98" t="s">
        <v>693</v>
      </c>
      <c r="I460" s="140" t="s">
        <v>804</v>
      </c>
      <c r="J460" s="98"/>
      <c r="K460" s="98" t="s">
        <v>52</v>
      </c>
      <c r="L460" s="98" t="s">
        <v>80</v>
      </c>
      <c r="M460" s="98" t="s">
        <v>40</v>
      </c>
      <c r="N460" s="237">
        <f>+VLOOKUP(A460,COMISIONES!$C$2:$AR$33,42,0)</f>
        <v>15</v>
      </c>
      <c r="O460" s="53">
        <f t="shared" si="8"/>
        <v>15</v>
      </c>
      <c r="P460" s="7">
        <f>+VLOOKUP(A460,COMISIONES!$C$2:$C$33,1,0)</f>
        <v>20007352</v>
      </c>
    </row>
    <row r="461" spans="1:16">
      <c r="A461" s="98">
        <v>20009174</v>
      </c>
      <c r="B461" s="98">
        <v>1</v>
      </c>
      <c r="C461" s="98" t="s">
        <v>55</v>
      </c>
      <c r="D461" s="98">
        <v>352232</v>
      </c>
      <c r="E461" s="137">
        <v>45047</v>
      </c>
      <c r="F461" s="140" t="s">
        <v>3637</v>
      </c>
      <c r="G461" s="98" t="s">
        <v>3717</v>
      </c>
      <c r="I461" s="140" t="s">
        <v>3797</v>
      </c>
      <c r="J461" s="98"/>
      <c r="K461" s="98" t="s">
        <v>52</v>
      </c>
      <c r="L461" s="98" t="s">
        <v>80</v>
      </c>
      <c r="M461" s="98" t="s">
        <v>40</v>
      </c>
      <c r="N461" s="237">
        <f>+VLOOKUP(A461,COMISIONES!$C$2:$AR$33,42,0)</f>
        <v>20</v>
      </c>
      <c r="O461" s="53">
        <f t="shared" si="8"/>
        <v>20</v>
      </c>
      <c r="P461" s="7">
        <f>+VLOOKUP(A461,COMISIONES!$C$2:$C$33,1,0)</f>
        <v>20009174</v>
      </c>
    </row>
    <row r="462" spans="1:16">
      <c r="A462" s="98">
        <v>20002708</v>
      </c>
      <c r="B462" s="98">
        <v>1</v>
      </c>
      <c r="C462" s="98" t="s">
        <v>55</v>
      </c>
      <c r="D462" s="98">
        <v>357313</v>
      </c>
      <c r="E462" s="137">
        <v>45047</v>
      </c>
      <c r="F462" s="140" t="s">
        <v>3638</v>
      </c>
      <c r="G462" s="98" t="s">
        <v>3718</v>
      </c>
      <c r="I462" s="140" t="s">
        <v>3798</v>
      </c>
      <c r="J462" s="98"/>
      <c r="K462" s="98" t="s">
        <v>49</v>
      </c>
      <c r="L462" s="98" t="s">
        <v>80</v>
      </c>
      <c r="M462" s="98" t="s">
        <v>40</v>
      </c>
      <c r="N462" s="237">
        <f>+VLOOKUP(A462,COMISIONES!$C$2:$AR$33,42,0)</f>
        <v>15</v>
      </c>
      <c r="O462" s="53">
        <f t="shared" si="8"/>
        <v>15</v>
      </c>
      <c r="P462" s="7">
        <f>+VLOOKUP(A462,COMISIONES!$C$2:$C$33,1,0)</f>
        <v>20002708</v>
      </c>
    </row>
    <row r="463" spans="1:16">
      <c r="A463" s="98">
        <v>20001487</v>
      </c>
      <c r="B463" s="98">
        <v>1</v>
      </c>
      <c r="C463" s="98" t="s">
        <v>55</v>
      </c>
      <c r="D463" s="98">
        <v>352984</v>
      </c>
      <c r="E463" s="137">
        <v>45047</v>
      </c>
      <c r="F463" s="140" t="s">
        <v>583</v>
      </c>
      <c r="G463" s="98" t="s">
        <v>694</v>
      </c>
      <c r="I463" s="140" t="s">
        <v>805</v>
      </c>
      <c r="J463" s="98"/>
      <c r="K463" s="98" t="s">
        <v>51</v>
      </c>
      <c r="L463" s="98" t="s">
        <v>80</v>
      </c>
      <c r="M463" s="98" t="s">
        <v>40</v>
      </c>
      <c r="N463" s="237">
        <f>+VLOOKUP(A463,COMISIONES!$C$2:$AR$33,42,0)</f>
        <v>30</v>
      </c>
      <c r="O463" s="53">
        <f t="shared" si="8"/>
        <v>30</v>
      </c>
      <c r="P463" s="7">
        <f>+VLOOKUP(A463,COMISIONES!$C$2:$C$33,1,0)</f>
        <v>20001487</v>
      </c>
    </row>
    <row r="464" spans="1:16">
      <c r="A464" s="98">
        <v>20008700</v>
      </c>
      <c r="B464" s="98">
        <v>1</v>
      </c>
      <c r="C464" s="98" t="s">
        <v>55</v>
      </c>
      <c r="D464" s="98">
        <v>355459</v>
      </c>
      <c r="E464" s="137">
        <v>45047</v>
      </c>
      <c r="F464" s="140" t="s">
        <v>584</v>
      </c>
      <c r="G464" s="98" t="s">
        <v>695</v>
      </c>
      <c r="I464" s="140" t="s">
        <v>806</v>
      </c>
      <c r="J464" s="98"/>
      <c r="K464" s="98" t="s">
        <v>50</v>
      </c>
      <c r="L464" s="98" t="s">
        <v>80</v>
      </c>
      <c r="M464" s="98" t="s">
        <v>40</v>
      </c>
      <c r="N464" s="237">
        <f>+VLOOKUP(A464,COMISIONES!$C$2:$AR$33,42,0)</f>
        <v>10</v>
      </c>
      <c r="O464" s="53">
        <f t="shared" si="8"/>
        <v>10</v>
      </c>
      <c r="P464" s="7">
        <f>+VLOOKUP(A464,COMISIONES!$C$2:$C$33,1,0)</f>
        <v>20008700</v>
      </c>
    </row>
    <row r="465" spans="1:16">
      <c r="A465" s="98">
        <v>20010086</v>
      </c>
      <c r="B465" s="98">
        <v>1</v>
      </c>
      <c r="C465" s="98" t="s">
        <v>55</v>
      </c>
      <c r="D465" s="98">
        <v>356828</v>
      </c>
      <c r="E465" s="137">
        <v>45047</v>
      </c>
      <c r="F465" s="140" t="s">
        <v>3920</v>
      </c>
      <c r="G465" s="98" t="s">
        <v>3919</v>
      </c>
      <c r="I465" s="140" t="s">
        <v>3921</v>
      </c>
      <c r="J465" s="98"/>
      <c r="K465" s="98" t="s">
        <v>51</v>
      </c>
      <c r="L465" s="98" t="s">
        <v>80</v>
      </c>
      <c r="M465" s="98" t="s">
        <v>40</v>
      </c>
      <c r="N465" s="237">
        <v>0</v>
      </c>
      <c r="O465" s="53">
        <f t="shared" si="8"/>
        <v>0</v>
      </c>
      <c r="P465" s="7" t="s">
        <v>3962</v>
      </c>
    </row>
    <row r="466" spans="1:16">
      <c r="A466" s="98">
        <v>20009592</v>
      </c>
      <c r="B466" s="98">
        <v>1</v>
      </c>
      <c r="C466" s="98" t="s">
        <v>55</v>
      </c>
      <c r="D466" s="98">
        <v>356643</v>
      </c>
      <c r="E466" s="137">
        <v>45047</v>
      </c>
      <c r="F466" s="140" t="s">
        <v>585</v>
      </c>
      <c r="G466" s="98" t="s">
        <v>696</v>
      </c>
      <c r="I466" s="140" t="s">
        <v>807</v>
      </c>
      <c r="J466" s="98"/>
      <c r="K466" s="98" t="s">
        <v>52</v>
      </c>
      <c r="L466" s="98" t="s">
        <v>80</v>
      </c>
      <c r="M466" s="98" t="s">
        <v>40</v>
      </c>
      <c r="N466" s="237">
        <f>+VLOOKUP(A466,COMISIONES!$C$2:$AR$33,42,0)</f>
        <v>10</v>
      </c>
      <c r="O466" s="53">
        <f t="shared" si="8"/>
        <v>10</v>
      </c>
      <c r="P466" s="7">
        <f>+VLOOKUP(A466,COMISIONES!$C$2:$C$33,1,0)</f>
        <v>20009592</v>
      </c>
    </row>
    <row r="467" spans="1:16">
      <c r="A467" s="98">
        <v>20004638</v>
      </c>
      <c r="B467" s="98">
        <v>1</v>
      </c>
      <c r="C467" s="98" t="s">
        <v>55</v>
      </c>
      <c r="D467" s="98">
        <v>357354</v>
      </c>
      <c r="E467" s="137">
        <v>45047</v>
      </c>
      <c r="F467" s="140" t="s">
        <v>3639</v>
      </c>
      <c r="G467" s="98" t="s">
        <v>3719</v>
      </c>
      <c r="I467" s="140" t="s">
        <v>3799</v>
      </c>
      <c r="J467" s="98"/>
      <c r="K467" s="98" t="s">
        <v>51</v>
      </c>
      <c r="L467" s="98" t="s">
        <v>80</v>
      </c>
      <c r="M467" s="98" t="s">
        <v>40</v>
      </c>
      <c r="N467" s="237">
        <f>+VLOOKUP(A467,COMISIONES!$C$2:$AR$33,42,0)</f>
        <v>10</v>
      </c>
      <c r="O467" s="53">
        <f t="shared" si="8"/>
        <v>10</v>
      </c>
      <c r="P467" s="7">
        <f>+VLOOKUP(A467,COMISIONES!$C$2:$C$33,1,0)</f>
        <v>20004638</v>
      </c>
    </row>
    <row r="468" spans="1:16">
      <c r="A468" s="98">
        <v>20004235</v>
      </c>
      <c r="B468" s="98">
        <v>1</v>
      </c>
      <c r="C468" s="98" t="s">
        <v>55</v>
      </c>
      <c r="D468" s="98">
        <v>356928</v>
      </c>
      <c r="E468" s="137">
        <v>45047</v>
      </c>
      <c r="F468" s="140" t="s">
        <v>3640</v>
      </c>
      <c r="G468" s="98" t="s">
        <v>3720</v>
      </c>
      <c r="I468" s="140" t="s">
        <v>3800</v>
      </c>
      <c r="J468" s="98"/>
      <c r="K468" s="98" t="s">
        <v>49</v>
      </c>
      <c r="L468" s="98" t="s">
        <v>80</v>
      </c>
      <c r="M468" s="98" t="s">
        <v>40</v>
      </c>
      <c r="N468" s="237">
        <f>+VLOOKUP(A468,COMISIONES!$C$2:$AR$33,42,0)</f>
        <v>15</v>
      </c>
      <c r="O468" s="53">
        <f t="shared" si="8"/>
        <v>15</v>
      </c>
      <c r="P468" s="7">
        <f>+VLOOKUP(A468,COMISIONES!$C$2:$C$33,1,0)</f>
        <v>20004235</v>
      </c>
    </row>
    <row r="469" spans="1:16">
      <c r="A469" s="98">
        <v>20009690</v>
      </c>
      <c r="B469" s="98">
        <v>1</v>
      </c>
      <c r="C469" s="98" t="s">
        <v>55</v>
      </c>
      <c r="D469" s="98">
        <v>356545</v>
      </c>
      <c r="E469" s="137">
        <v>45047</v>
      </c>
      <c r="F469" s="140" t="s">
        <v>3641</v>
      </c>
      <c r="G469" s="98" t="s">
        <v>3721</v>
      </c>
      <c r="I469" s="140" t="s">
        <v>3801</v>
      </c>
      <c r="J469" s="98"/>
      <c r="K469" s="98" t="s">
        <v>49</v>
      </c>
      <c r="L469" s="98" t="s">
        <v>80</v>
      </c>
      <c r="M469" s="98" t="s">
        <v>40</v>
      </c>
      <c r="N469" s="237">
        <f>+VLOOKUP(A469,COMISIONES!$C$2:$AR$33,42,0)</f>
        <v>30</v>
      </c>
      <c r="O469" s="53">
        <f t="shared" si="8"/>
        <v>30</v>
      </c>
      <c r="P469" s="7">
        <f>+VLOOKUP(A469,COMISIONES!$C$2:$C$33,1,0)</f>
        <v>20009690</v>
      </c>
    </row>
    <row r="470" spans="1:16">
      <c r="A470" s="98">
        <v>20004566</v>
      </c>
      <c r="B470" s="98">
        <v>1</v>
      </c>
      <c r="C470" s="98" t="s">
        <v>55</v>
      </c>
      <c r="D470" s="98">
        <v>355588</v>
      </c>
      <c r="E470" s="137">
        <v>45047</v>
      </c>
      <c r="F470" s="140" t="s">
        <v>3642</v>
      </c>
      <c r="G470" s="98" t="s">
        <v>3722</v>
      </c>
      <c r="I470" s="140" t="s">
        <v>3802</v>
      </c>
      <c r="J470" s="98"/>
      <c r="K470" s="98" t="s">
        <v>50</v>
      </c>
      <c r="L470" s="98" t="s">
        <v>80</v>
      </c>
      <c r="M470" s="98" t="s">
        <v>40</v>
      </c>
      <c r="N470" s="237">
        <f>+VLOOKUP(A470,COMISIONES!$C$2:$AR$33,42,0)</f>
        <v>20</v>
      </c>
      <c r="O470" s="53">
        <f t="shared" si="8"/>
        <v>20</v>
      </c>
      <c r="P470" s="7">
        <f>+VLOOKUP(A470,COMISIONES!$C$2:$C$33,1,0)</f>
        <v>20004566</v>
      </c>
    </row>
    <row r="471" spans="1:16">
      <c r="A471" s="98">
        <v>20004638</v>
      </c>
      <c r="B471" s="98">
        <v>1</v>
      </c>
      <c r="C471" s="98" t="s">
        <v>55</v>
      </c>
      <c r="D471" s="98">
        <v>354274</v>
      </c>
      <c r="E471" s="137">
        <v>45047</v>
      </c>
      <c r="F471" s="140" t="s">
        <v>3643</v>
      </c>
      <c r="G471" s="98" t="s">
        <v>3723</v>
      </c>
      <c r="I471" s="140" t="s">
        <v>3803</v>
      </c>
      <c r="J471" s="98"/>
      <c r="K471" s="98" t="s">
        <v>51</v>
      </c>
      <c r="L471" s="98" t="s">
        <v>80</v>
      </c>
      <c r="M471" s="98" t="s">
        <v>40</v>
      </c>
      <c r="N471" s="237">
        <f>+VLOOKUP(A471,COMISIONES!$C$2:$AR$33,42,0)</f>
        <v>10</v>
      </c>
      <c r="O471" s="53">
        <f t="shared" si="8"/>
        <v>10</v>
      </c>
      <c r="P471" s="7">
        <f>+VLOOKUP(A471,COMISIONES!$C$2:$C$33,1,0)</f>
        <v>20004638</v>
      </c>
    </row>
    <row r="472" spans="1:16">
      <c r="A472" s="98">
        <v>20004161</v>
      </c>
      <c r="B472" s="98">
        <v>1</v>
      </c>
      <c r="C472" s="98" t="s">
        <v>55</v>
      </c>
      <c r="D472" s="98">
        <v>354217</v>
      </c>
      <c r="E472" s="137">
        <v>45047</v>
      </c>
      <c r="F472" s="140" t="s">
        <v>3644</v>
      </c>
      <c r="G472" s="98" t="s">
        <v>3724</v>
      </c>
      <c r="I472" s="140" t="s">
        <v>3804</v>
      </c>
      <c r="J472" s="98"/>
      <c r="K472" s="98" t="s">
        <v>49</v>
      </c>
      <c r="L472" s="98" t="s">
        <v>80</v>
      </c>
      <c r="M472" s="98" t="s">
        <v>40</v>
      </c>
      <c r="N472" s="237">
        <f>+VLOOKUP(A472,COMISIONES!$C$2:$AR$33,42,0)</f>
        <v>32.5</v>
      </c>
      <c r="O472" s="53">
        <f t="shared" si="8"/>
        <v>32.5</v>
      </c>
      <c r="P472" s="7">
        <f>+VLOOKUP(A472,COMISIONES!$C$2:$C$33,1,0)</f>
        <v>20004161</v>
      </c>
    </row>
    <row r="473" spans="1:16">
      <c r="A473" s="98">
        <v>20004161</v>
      </c>
      <c r="B473" s="98">
        <v>1</v>
      </c>
      <c r="C473" s="98" t="s">
        <v>55</v>
      </c>
      <c r="D473" s="98">
        <v>353783</v>
      </c>
      <c r="E473" s="137">
        <v>45047</v>
      </c>
      <c r="F473" s="140" t="s">
        <v>3645</v>
      </c>
      <c r="G473" s="98" t="s">
        <v>3725</v>
      </c>
      <c r="I473" s="140" t="s">
        <v>3805</v>
      </c>
      <c r="J473" s="98"/>
      <c r="K473" s="98" t="s">
        <v>49</v>
      </c>
      <c r="L473" s="98" t="s">
        <v>80</v>
      </c>
      <c r="M473" s="98" t="s">
        <v>40</v>
      </c>
      <c r="N473" s="237">
        <f>+VLOOKUP(A473,COMISIONES!$C$2:$AR$33,42,0)</f>
        <v>32.5</v>
      </c>
      <c r="O473" s="53">
        <f t="shared" si="8"/>
        <v>32.5</v>
      </c>
      <c r="P473" s="7">
        <f>+VLOOKUP(A473,COMISIONES!$C$2:$C$33,1,0)</f>
        <v>20004161</v>
      </c>
    </row>
    <row r="474" spans="1:16">
      <c r="A474" s="98">
        <v>20010262</v>
      </c>
      <c r="B474" s="98">
        <v>1</v>
      </c>
      <c r="C474" s="98" t="s">
        <v>55</v>
      </c>
      <c r="D474" s="98">
        <v>353742</v>
      </c>
      <c r="E474" s="137">
        <v>45047</v>
      </c>
      <c r="F474" s="140" t="s">
        <v>3646</v>
      </c>
      <c r="G474" s="98" t="s">
        <v>3726</v>
      </c>
      <c r="I474" s="140" t="s">
        <v>3806</v>
      </c>
      <c r="J474" s="98"/>
      <c r="K474" s="98" t="s">
        <v>52</v>
      </c>
      <c r="L474" s="98" t="s">
        <v>80</v>
      </c>
      <c r="M474" s="98" t="s">
        <v>40</v>
      </c>
      <c r="N474" s="237">
        <f>+VLOOKUP(A474,COMISIONES!$C$2:$AR$33,42,0)</f>
        <v>15</v>
      </c>
      <c r="O474" s="53">
        <f t="shared" si="8"/>
        <v>15</v>
      </c>
      <c r="P474" s="7">
        <f>+VLOOKUP(A474,COMISIONES!$C$2:$C$33,1,0)</f>
        <v>20010262</v>
      </c>
    </row>
    <row r="475" spans="1:16">
      <c r="A475" s="98">
        <v>20008711</v>
      </c>
      <c r="B475" s="98">
        <v>1</v>
      </c>
      <c r="C475" s="98" t="s">
        <v>55</v>
      </c>
      <c r="D475" s="98">
        <v>353005</v>
      </c>
      <c r="E475" s="137">
        <v>45047</v>
      </c>
      <c r="F475" s="140" t="s">
        <v>586</v>
      </c>
      <c r="G475" s="98" t="s">
        <v>697</v>
      </c>
      <c r="I475" s="140" t="s">
        <v>808</v>
      </c>
      <c r="J475" s="98"/>
      <c r="K475" s="98" t="s">
        <v>50</v>
      </c>
      <c r="L475" s="98" t="s">
        <v>80</v>
      </c>
      <c r="M475" s="98" t="s">
        <v>40</v>
      </c>
      <c r="N475" s="237">
        <f>+VLOOKUP(A475,COMISIONES!$C$2:$AR$33,42,0)</f>
        <v>15</v>
      </c>
      <c r="O475" s="53">
        <f t="shared" si="8"/>
        <v>15</v>
      </c>
      <c r="P475" s="7">
        <f>+VLOOKUP(A475,COMISIONES!$C$2:$C$33,1,0)</f>
        <v>20008711</v>
      </c>
    </row>
    <row r="476" spans="1:16">
      <c r="A476" s="98">
        <v>20008439</v>
      </c>
      <c r="B476" s="98">
        <v>1</v>
      </c>
      <c r="C476" s="98" t="s">
        <v>55</v>
      </c>
      <c r="D476" s="98">
        <v>352982</v>
      </c>
      <c r="E476" s="137">
        <v>45047</v>
      </c>
      <c r="F476" s="140" t="s">
        <v>587</v>
      </c>
      <c r="G476" s="98" t="s">
        <v>698</v>
      </c>
      <c r="I476" s="140" t="s">
        <v>809</v>
      </c>
      <c r="J476" s="98"/>
      <c r="K476" s="98" t="s">
        <v>50</v>
      </c>
      <c r="L476" s="98" t="s">
        <v>80</v>
      </c>
      <c r="M476" s="98" t="s">
        <v>40</v>
      </c>
      <c r="N476" s="237">
        <f>+VLOOKUP(A476,COMISIONES!$C$2:$AR$33,42,0)</f>
        <v>15</v>
      </c>
      <c r="O476" s="53">
        <f t="shared" si="8"/>
        <v>15</v>
      </c>
      <c r="P476" s="7">
        <f>+VLOOKUP(A476,COMISIONES!$C$2:$C$33,1,0)</f>
        <v>20008439</v>
      </c>
    </row>
    <row r="477" spans="1:16">
      <c r="A477" s="98">
        <v>20000033</v>
      </c>
      <c r="B477" s="98">
        <v>1</v>
      </c>
      <c r="C477" s="98" t="s">
        <v>55</v>
      </c>
      <c r="D477" s="98">
        <v>352615</v>
      </c>
      <c r="E477" s="137">
        <v>45047</v>
      </c>
      <c r="F477" s="140" t="s">
        <v>3647</v>
      </c>
      <c r="G477" s="98" t="s">
        <v>3727</v>
      </c>
      <c r="I477" s="140" t="s">
        <v>3807</v>
      </c>
      <c r="J477" s="98"/>
      <c r="K477" s="98" t="s">
        <v>51</v>
      </c>
      <c r="L477" s="98" t="s">
        <v>80</v>
      </c>
      <c r="M477" s="98" t="s">
        <v>40</v>
      </c>
      <c r="N477" s="237">
        <f>+VLOOKUP(A477,COMISIONES!$C$2:$AR$33,42,0)</f>
        <v>15</v>
      </c>
      <c r="O477" s="53">
        <f t="shared" si="8"/>
        <v>15</v>
      </c>
      <c r="P477" s="7">
        <f>+VLOOKUP(A477,COMISIONES!$C$2:$C$33,1,0)</f>
        <v>20000033</v>
      </c>
    </row>
    <row r="478" spans="1:16">
      <c r="A478" s="98">
        <v>20007726</v>
      </c>
      <c r="B478" s="98">
        <v>1</v>
      </c>
      <c r="C478" s="98" t="s">
        <v>55</v>
      </c>
      <c r="D478" s="98">
        <v>351971</v>
      </c>
      <c r="E478" s="137">
        <v>45047</v>
      </c>
      <c r="F478" s="140" t="s">
        <v>3648</v>
      </c>
      <c r="G478" s="98" t="s">
        <v>3728</v>
      </c>
      <c r="I478" s="140" t="s">
        <v>3808</v>
      </c>
      <c r="J478" s="98"/>
      <c r="K478" s="98" t="s">
        <v>49</v>
      </c>
      <c r="L478" s="98" t="s">
        <v>80</v>
      </c>
      <c r="M478" s="98" t="s">
        <v>40</v>
      </c>
      <c r="N478" s="237">
        <f>+VLOOKUP(A478,COMISIONES!$C$2:$AR$33,42,0)</f>
        <v>30</v>
      </c>
      <c r="O478" s="53">
        <f t="shared" si="8"/>
        <v>30</v>
      </c>
      <c r="P478" s="7">
        <f>+VLOOKUP(A478,COMISIONES!$C$2:$C$33,1,0)</f>
        <v>20007726</v>
      </c>
    </row>
    <row r="479" spans="1:16">
      <c r="A479" s="98">
        <v>20006360</v>
      </c>
      <c r="B479" s="98">
        <v>1</v>
      </c>
      <c r="C479" s="98" t="s">
        <v>55</v>
      </c>
      <c r="D479" s="98">
        <v>351948</v>
      </c>
      <c r="E479" s="137">
        <v>45047</v>
      </c>
      <c r="F479" s="140" t="s">
        <v>3649</v>
      </c>
      <c r="G479" s="98" t="s">
        <v>3729</v>
      </c>
      <c r="I479" s="140" t="s">
        <v>3809</v>
      </c>
      <c r="J479" s="98"/>
      <c r="K479" s="98" t="s">
        <v>50</v>
      </c>
      <c r="L479" s="98" t="s">
        <v>80</v>
      </c>
      <c r="M479" s="98" t="s">
        <v>40</v>
      </c>
      <c r="N479" s="237">
        <f>+VLOOKUP(A479,COMISIONES!$C$2:$AR$33,42,0)</f>
        <v>10</v>
      </c>
      <c r="O479" s="53">
        <f t="shared" si="8"/>
        <v>10</v>
      </c>
      <c r="P479" s="7">
        <f>+VLOOKUP(A479,COMISIONES!$C$2:$C$33,1,0)</f>
        <v>20006360</v>
      </c>
    </row>
    <row r="480" spans="1:16">
      <c r="A480" s="98">
        <v>20002636</v>
      </c>
      <c r="B480" s="98">
        <v>1</v>
      </c>
      <c r="C480" s="98" t="s">
        <v>55</v>
      </c>
      <c r="D480" s="98">
        <v>356475</v>
      </c>
      <c r="E480" s="137">
        <v>45047</v>
      </c>
      <c r="F480" s="140" t="s">
        <v>588</v>
      </c>
      <c r="G480" s="98" t="s">
        <v>699</v>
      </c>
      <c r="I480" s="140" t="s">
        <v>810</v>
      </c>
      <c r="J480" s="98"/>
      <c r="K480" s="98" t="s">
        <v>51</v>
      </c>
      <c r="L480" s="98" t="s">
        <v>80</v>
      </c>
      <c r="M480" s="98" t="s">
        <v>40</v>
      </c>
      <c r="N480" s="237">
        <f>+VLOOKUP(A480,COMISIONES!$C$2:$AR$33,42,0)</f>
        <v>15</v>
      </c>
      <c r="O480" s="53">
        <f t="shared" si="8"/>
        <v>15</v>
      </c>
      <c r="P480" s="7">
        <f>+VLOOKUP(A480,COMISIONES!$C$2:$C$33,1,0)</f>
        <v>20002636</v>
      </c>
    </row>
    <row r="481" spans="1:16">
      <c r="A481" s="98">
        <v>20000033</v>
      </c>
      <c r="B481" s="98">
        <v>1</v>
      </c>
      <c r="C481" s="98" t="s">
        <v>55</v>
      </c>
      <c r="D481" s="98">
        <v>357128</v>
      </c>
      <c r="E481" s="137">
        <v>45047</v>
      </c>
      <c r="F481" s="140" t="s">
        <v>3650</v>
      </c>
      <c r="G481" s="98" t="s">
        <v>3730</v>
      </c>
      <c r="I481" s="140" t="s">
        <v>3810</v>
      </c>
      <c r="J481" s="98"/>
      <c r="K481" s="98" t="s">
        <v>51</v>
      </c>
      <c r="L481" s="98" t="s">
        <v>80</v>
      </c>
      <c r="M481" s="98" t="s">
        <v>40</v>
      </c>
      <c r="N481" s="237">
        <f>+VLOOKUP(A481,COMISIONES!$C$2:$AR$33,42,0)</f>
        <v>15</v>
      </c>
      <c r="O481" s="53">
        <f t="shared" si="8"/>
        <v>15</v>
      </c>
      <c r="P481" s="7">
        <f>+VLOOKUP(A481,COMISIONES!$C$2:$C$33,1,0)</f>
        <v>20000033</v>
      </c>
    </row>
    <row r="482" spans="1:16">
      <c r="A482" s="98">
        <v>20002636</v>
      </c>
      <c r="B482" s="98">
        <v>1</v>
      </c>
      <c r="C482" s="98" t="s">
        <v>55</v>
      </c>
      <c r="D482" s="98">
        <v>356898</v>
      </c>
      <c r="E482" s="137">
        <v>45047</v>
      </c>
      <c r="F482" s="140" t="s">
        <v>3651</v>
      </c>
      <c r="G482" s="98" t="s">
        <v>3731</v>
      </c>
      <c r="I482" s="140" t="s">
        <v>3811</v>
      </c>
      <c r="J482" s="98"/>
      <c r="K482" s="98" t="s">
        <v>51</v>
      </c>
      <c r="L482" s="98" t="s">
        <v>80</v>
      </c>
      <c r="M482" s="98" t="s">
        <v>40</v>
      </c>
      <c r="N482" s="237">
        <f>+VLOOKUP(A482,COMISIONES!$C$2:$AR$33,42,0)</f>
        <v>15</v>
      </c>
      <c r="O482" s="53">
        <f t="shared" si="8"/>
        <v>15</v>
      </c>
      <c r="P482" s="7">
        <f>+VLOOKUP(A482,COMISIONES!$C$2:$C$33,1,0)</f>
        <v>20002636</v>
      </c>
    </row>
    <row r="483" spans="1:16">
      <c r="A483" s="98">
        <v>20007352</v>
      </c>
      <c r="B483" s="98">
        <v>1</v>
      </c>
      <c r="C483" s="98" t="s">
        <v>55</v>
      </c>
      <c r="D483" s="98">
        <v>356863</v>
      </c>
      <c r="E483" s="137">
        <v>45047</v>
      </c>
      <c r="F483" s="140" t="s">
        <v>3652</v>
      </c>
      <c r="G483" s="98" t="s">
        <v>3732</v>
      </c>
      <c r="I483" s="140" t="s">
        <v>3812</v>
      </c>
      <c r="J483" s="98"/>
      <c r="K483" s="98" t="s">
        <v>52</v>
      </c>
      <c r="L483" s="98" t="s">
        <v>80</v>
      </c>
      <c r="M483" s="98" t="s">
        <v>40</v>
      </c>
      <c r="N483" s="237">
        <f>+VLOOKUP(A483,COMISIONES!$C$2:$AR$33,42,0)</f>
        <v>15</v>
      </c>
      <c r="O483" s="53">
        <f t="shared" si="8"/>
        <v>15</v>
      </c>
      <c r="P483" s="7">
        <f>+VLOOKUP(A483,COMISIONES!$C$2:$C$33,1,0)</f>
        <v>20007352</v>
      </c>
    </row>
    <row r="484" spans="1:16">
      <c r="A484" s="98">
        <v>20010262</v>
      </c>
      <c r="B484" s="98">
        <v>1</v>
      </c>
      <c r="C484" s="98" t="s">
        <v>55</v>
      </c>
      <c r="D484" s="98">
        <v>356833</v>
      </c>
      <c r="E484" s="137">
        <v>45047</v>
      </c>
      <c r="F484" s="140" t="s">
        <v>3653</v>
      </c>
      <c r="G484" s="98" t="s">
        <v>3733</v>
      </c>
      <c r="I484" s="140" t="s">
        <v>3813</v>
      </c>
      <c r="J484" s="98"/>
      <c r="K484" s="98" t="s">
        <v>52</v>
      </c>
      <c r="L484" s="98" t="s">
        <v>80</v>
      </c>
      <c r="M484" s="98" t="s">
        <v>40</v>
      </c>
      <c r="N484" s="237">
        <f>+VLOOKUP(A484,COMISIONES!$C$2:$AR$33,42,0)</f>
        <v>15</v>
      </c>
      <c r="O484" s="53">
        <f t="shared" si="8"/>
        <v>15</v>
      </c>
      <c r="P484" s="7">
        <f>+VLOOKUP(A484,COMISIONES!$C$2:$C$33,1,0)</f>
        <v>20010262</v>
      </c>
    </row>
    <row r="485" spans="1:16">
      <c r="A485" s="98">
        <v>20001487</v>
      </c>
      <c r="B485" s="98">
        <v>1</v>
      </c>
      <c r="C485" s="98" t="s">
        <v>55</v>
      </c>
      <c r="D485" s="98">
        <v>356378</v>
      </c>
      <c r="E485" s="137">
        <v>45047</v>
      </c>
      <c r="F485" s="140" t="s">
        <v>3654</v>
      </c>
      <c r="G485" s="98" t="s">
        <v>3734</v>
      </c>
      <c r="I485" s="140" t="s">
        <v>3814</v>
      </c>
      <c r="J485" s="98"/>
      <c r="K485" s="98" t="s">
        <v>51</v>
      </c>
      <c r="L485" s="98" t="s">
        <v>80</v>
      </c>
      <c r="M485" s="98" t="s">
        <v>40</v>
      </c>
      <c r="N485" s="237">
        <f>+VLOOKUP(A485,COMISIONES!$C$2:$AR$33,42,0)</f>
        <v>30</v>
      </c>
      <c r="O485" s="53">
        <f t="shared" si="8"/>
        <v>30</v>
      </c>
      <c r="P485" s="7">
        <f>+VLOOKUP(A485,COMISIONES!$C$2:$C$33,1,0)</f>
        <v>20001487</v>
      </c>
    </row>
    <row r="486" spans="1:16">
      <c r="A486" s="98">
        <v>20009690</v>
      </c>
      <c r="B486" s="98">
        <v>1</v>
      </c>
      <c r="C486" s="98" t="s">
        <v>55</v>
      </c>
      <c r="D486" s="98">
        <v>356225</v>
      </c>
      <c r="E486" s="137">
        <v>45047</v>
      </c>
      <c r="F486" s="140" t="s">
        <v>589</v>
      </c>
      <c r="G486" s="98" t="s">
        <v>700</v>
      </c>
      <c r="I486" s="140" t="s">
        <v>811</v>
      </c>
      <c r="J486" s="98"/>
      <c r="K486" s="98" t="s">
        <v>49</v>
      </c>
      <c r="L486" s="98" t="s">
        <v>80</v>
      </c>
      <c r="M486" s="98" t="s">
        <v>40</v>
      </c>
      <c r="N486" s="237">
        <f>+VLOOKUP(A486,COMISIONES!$C$2:$AR$33,42,0)</f>
        <v>30</v>
      </c>
      <c r="O486" s="53">
        <f t="shared" si="8"/>
        <v>30</v>
      </c>
      <c r="P486" s="7">
        <f>+VLOOKUP(A486,COMISIONES!$C$2:$C$33,1,0)</f>
        <v>20009690</v>
      </c>
    </row>
    <row r="487" spans="1:16">
      <c r="A487" s="98">
        <v>20010262</v>
      </c>
      <c r="B487" s="98">
        <v>1</v>
      </c>
      <c r="C487" s="98" t="s">
        <v>55</v>
      </c>
      <c r="D487" s="98">
        <v>355638</v>
      </c>
      <c r="E487" s="137">
        <v>45047</v>
      </c>
      <c r="F487" s="140" t="s">
        <v>590</v>
      </c>
      <c r="G487" s="98" t="s">
        <v>701</v>
      </c>
      <c r="I487" s="140" t="s">
        <v>812</v>
      </c>
      <c r="J487" s="98"/>
      <c r="K487" s="98" t="s">
        <v>52</v>
      </c>
      <c r="L487" s="98" t="s">
        <v>80</v>
      </c>
      <c r="M487" s="98" t="s">
        <v>40</v>
      </c>
      <c r="N487" s="237">
        <f>+VLOOKUP(A487,COMISIONES!$C$2:$AR$33,42,0)</f>
        <v>15</v>
      </c>
      <c r="O487" s="53">
        <f t="shared" si="8"/>
        <v>15</v>
      </c>
      <c r="P487" s="7">
        <f>+VLOOKUP(A487,COMISIONES!$C$2:$C$33,1,0)</f>
        <v>20010262</v>
      </c>
    </row>
    <row r="488" spans="1:16">
      <c r="A488" s="98">
        <v>20010262</v>
      </c>
      <c r="B488" s="98">
        <v>1</v>
      </c>
      <c r="C488" s="98" t="s">
        <v>55</v>
      </c>
      <c r="D488" s="98">
        <v>355632</v>
      </c>
      <c r="E488" s="137">
        <v>45047</v>
      </c>
      <c r="F488" s="140" t="s">
        <v>3655</v>
      </c>
      <c r="G488" s="98" t="s">
        <v>3735</v>
      </c>
      <c r="I488" s="140" t="s">
        <v>3815</v>
      </c>
      <c r="J488" s="98"/>
      <c r="K488" s="98" t="s">
        <v>52</v>
      </c>
      <c r="L488" s="98" t="s">
        <v>80</v>
      </c>
      <c r="M488" s="98" t="s">
        <v>40</v>
      </c>
      <c r="N488" s="237">
        <f>+VLOOKUP(A488,COMISIONES!$C$2:$AR$33,42,0)</f>
        <v>15</v>
      </c>
      <c r="O488" s="53">
        <f t="shared" si="8"/>
        <v>15</v>
      </c>
      <c r="P488" s="7">
        <f>+VLOOKUP(A488,COMISIONES!$C$2:$C$33,1,0)</f>
        <v>20010262</v>
      </c>
    </row>
    <row r="489" spans="1:16">
      <c r="A489" s="98">
        <v>20009690</v>
      </c>
      <c r="B489" s="98">
        <v>1</v>
      </c>
      <c r="C489" s="98" t="s">
        <v>55</v>
      </c>
      <c r="D489" s="98">
        <v>355605</v>
      </c>
      <c r="E489" s="137">
        <v>45047</v>
      </c>
      <c r="F489" s="140" t="s">
        <v>3656</v>
      </c>
      <c r="G489" s="98" t="s">
        <v>3736</v>
      </c>
      <c r="I489" s="140" t="s">
        <v>3816</v>
      </c>
      <c r="J489" s="98"/>
      <c r="K489" s="98" t="s">
        <v>49</v>
      </c>
      <c r="L489" s="98" t="s">
        <v>80</v>
      </c>
      <c r="M489" s="98" t="s">
        <v>40</v>
      </c>
      <c r="N489" s="237">
        <f>+VLOOKUP(A489,COMISIONES!$C$2:$AR$33,42,0)</f>
        <v>30</v>
      </c>
      <c r="O489" s="53">
        <f t="shared" si="8"/>
        <v>30</v>
      </c>
      <c r="P489" s="7">
        <f>+VLOOKUP(A489,COMISIONES!$C$2:$C$33,1,0)</f>
        <v>20009690</v>
      </c>
    </row>
    <row r="490" spans="1:16">
      <c r="A490" s="98">
        <v>20010262</v>
      </c>
      <c r="B490" s="98">
        <v>1</v>
      </c>
      <c r="C490" s="98" t="s">
        <v>55</v>
      </c>
      <c r="D490" s="98">
        <v>354883</v>
      </c>
      <c r="E490" s="137">
        <v>45047</v>
      </c>
      <c r="F490" s="140" t="s">
        <v>3657</v>
      </c>
      <c r="G490" s="98" t="s">
        <v>3737</v>
      </c>
      <c r="I490" s="140" t="s">
        <v>3817</v>
      </c>
      <c r="J490" s="98"/>
      <c r="K490" s="98" t="s">
        <v>52</v>
      </c>
      <c r="L490" s="98" t="s">
        <v>80</v>
      </c>
      <c r="M490" s="98" t="s">
        <v>40</v>
      </c>
      <c r="N490" s="237">
        <f>+VLOOKUP(A490,COMISIONES!$C$2:$AR$33,42,0)</f>
        <v>15</v>
      </c>
      <c r="O490" s="53">
        <f t="shared" si="8"/>
        <v>15</v>
      </c>
      <c r="P490" s="7">
        <f>+VLOOKUP(A490,COMISIONES!$C$2:$C$33,1,0)</f>
        <v>20010262</v>
      </c>
    </row>
    <row r="491" spans="1:16">
      <c r="A491" s="98">
        <v>20007352</v>
      </c>
      <c r="B491" s="98">
        <v>1</v>
      </c>
      <c r="C491" s="98" t="s">
        <v>55</v>
      </c>
      <c r="D491" s="98">
        <v>354840</v>
      </c>
      <c r="E491" s="137">
        <v>45047</v>
      </c>
      <c r="F491" s="140" t="s">
        <v>3658</v>
      </c>
      <c r="G491" s="98" t="s">
        <v>3738</v>
      </c>
      <c r="I491" s="140" t="s">
        <v>3818</v>
      </c>
      <c r="J491" s="98"/>
      <c r="K491" s="98" t="s">
        <v>52</v>
      </c>
      <c r="L491" s="98" t="s">
        <v>80</v>
      </c>
      <c r="M491" s="98" t="s">
        <v>40</v>
      </c>
      <c r="N491" s="237">
        <f>+VLOOKUP(A491,COMISIONES!$C$2:$AR$33,42,0)</f>
        <v>15</v>
      </c>
      <c r="O491" s="53">
        <f t="shared" si="8"/>
        <v>15</v>
      </c>
      <c r="P491" s="7">
        <f>+VLOOKUP(A491,COMISIONES!$C$2:$C$33,1,0)</f>
        <v>20007352</v>
      </c>
    </row>
    <row r="492" spans="1:16">
      <c r="A492" s="98">
        <v>20008625</v>
      </c>
      <c r="B492" s="98">
        <v>1</v>
      </c>
      <c r="C492" s="98" t="s">
        <v>55</v>
      </c>
      <c r="D492" s="98">
        <v>354332</v>
      </c>
      <c r="E492" s="137">
        <v>45047</v>
      </c>
      <c r="F492" s="140" t="s">
        <v>3659</v>
      </c>
      <c r="G492" s="98" t="s">
        <v>3739</v>
      </c>
      <c r="I492" s="140" t="s">
        <v>3819</v>
      </c>
      <c r="J492" s="98"/>
      <c r="K492" s="98" t="s">
        <v>49</v>
      </c>
      <c r="L492" s="98" t="s">
        <v>80</v>
      </c>
      <c r="M492" s="98" t="s">
        <v>40</v>
      </c>
      <c r="N492" s="237">
        <f>+VLOOKUP(A492,COMISIONES!$C$2:$AR$33,42,0)</f>
        <v>10</v>
      </c>
      <c r="O492" s="53">
        <f t="shared" si="8"/>
        <v>10</v>
      </c>
      <c r="P492" s="7">
        <f>+VLOOKUP(A492,COMISIONES!$C$2:$C$33,1,0)</f>
        <v>20008625</v>
      </c>
    </row>
    <row r="493" spans="1:16">
      <c r="A493" s="98">
        <v>20000033</v>
      </c>
      <c r="B493" s="98">
        <v>1</v>
      </c>
      <c r="C493" s="98" t="s">
        <v>55</v>
      </c>
      <c r="D493" s="98">
        <v>354331</v>
      </c>
      <c r="E493" s="137">
        <v>45047</v>
      </c>
      <c r="F493" s="140" t="s">
        <v>3660</v>
      </c>
      <c r="G493" s="98" t="s">
        <v>3740</v>
      </c>
      <c r="I493" s="140" t="s">
        <v>3820</v>
      </c>
      <c r="J493" s="98"/>
      <c r="K493" s="98" t="s">
        <v>51</v>
      </c>
      <c r="L493" s="98" t="s">
        <v>80</v>
      </c>
      <c r="M493" s="98" t="s">
        <v>40</v>
      </c>
      <c r="N493" s="237">
        <f>+VLOOKUP(A493,COMISIONES!$C$2:$AR$33,42,0)</f>
        <v>15</v>
      </c>
      <c r="O493" s="53">
        <f t="shared" si="8"/>
        <v>15</v>
      </c>
      <c r="P493" s="7">
        <f>+VLOOKUP(A493,COMISIONES!$C$2:$C$33,1,0)</f>
        <v>20000033</v>
      </c>
    </row>
    <row r="494" spans="1:16">
      <c r="A494" s="98">
        <v>20007726</v>
      </c>
      <c r="B494" s="98">
        <v>1</v>
      </c>
      <c r="C494" s="98" t="s">
        <v>55</v>
      </c>
      <c r="D494" s="98">
        <v>354222</v>
      </c>
      <c r="E494" s="137">
        <v>45047</v>
      </c>
      <c r="F494" s="140" t="s">
        <v>591</v>
      </c>
      <c r="G494" s="98" t="s">
        <v>702</v>
      </c>
      <c r="I494" s="140" t="s">
        <v>813</v>
      </c>
      <c r="J494" s="98"/>
      <c r="K494" s="98" t="s">
        <v>49</v>
      </c>
      <c r="L494" s="98" t="s">
        <v>80</v>
      </c>
      <c r="M494" s="98" t="s">
        <v>40</v>
      </c>
      <c r="N494" s="237">
        <f>+VLOOKUP(A494,COMISIONES!$C$2:$AR$33,42,0)</f>
        <v>30</v>
      </c>
      <c r="O494" s="53">
        <f t="shared" si="8"/>
        <v>30</v>
      </c>
      <c r="P494" s="7">
        <f>+VLOOKUP(A494,COMISIONES!$C$2:$C$33,1,0)</f>
        <v>20007726</v>
      </c>
    </row>
    <row r="495" spans="1:16">
      <c r="A495" s="98">
        <v>20004235</v>
      </c>
      <c r="B495" s="98">
        <v>1</v>
      </c>
      <c r="C495" s="98" t="s">
        <v>55</v>
      </c>
      <c r="D495" s="98">
        <v>353804</v>
      </c>
      <c r="E495" s="137">
        <v>45047</v>
      </c>
      <c r="F495" s="140" t="s">
        <v>592</v>
      </c>
      <c r="G495" s="98" t="s">
        <v>703</v>
      </c>
      <c r="I495" s="140" t="s">
        <v>814</v>
      </c>
      <c r="J495" s="98"/>
      <c r="K495" s="98" t="s">
        <v>49</v>
      </c>
      <c r="L495" s="98" t="s">
        <v>80</v>
      </c>
      <c r="M495" s="98" t="s">
        <v>40</v>
      </c>
      <c r="N495" s="237">
        <f>+VLOOKUP(A495,COMISIONES!$C$2:$AR$33,42,0)</f>
        <v>15</v>
      </c>
      <c r="O495" s="53">
        <f t="shared" si="8"/>
        <v>15</v>
      </c>
      <c r="P495" s="7">
        <f>+VLOOKUP(A495,COMISIONES!$C$2:$C$33,1,0)</f>
        <v>20004235</v>
      </c>
    </row>
    <row r="496" spans="1:16">
      <c r="A496" s="98">
        <v>20008439</v>
      </c>
      <c r="B496" s="98">
        <v>1</v>
      </c>
      <c r="C496" s="98" t="s">
        <v>55</v>
      </c>
      <c r="D496" s="98">
        <v>353726</v>
      </c>
      <c r="E496" s="137">
        <v>45047</v>
      </c>
      <c r="F496" s="140" t="s">
        <v>593</v>
      </c>
      <c r="G496" s="98" t="s">
        <v>704</v>
      </c>
      <c r="I496" s="140" t="s">
        <v>815</v>
      </c>
      <c r="J496" s="98"/>
      <c r="K496" s="98" t="s">
        <v>50</v>
      </c>
      <c r="L496" s="98" t="s">
        <v>80</v>
      </c>
      <c r="M496" s="98" t="s">
        <v>40</v>
      </c>
      <c r="N496" s="237">
        <f>+VLOOKUP(A496,COMISIONES!$C$2:$AR$33,42,0)</f>
        <v>15</v>
      </c>
      <c r="O496" s="53">
        <f t="shared" si="8"/>
        <v>15</v>
      </c>
      <c r="P496" s="7">
        <f>+VLOOKUP(A496,COMISIONES!$C$2:$C$33,1,0)</f>
        <v>20008439</v>
      </c>
    </row>
    <row r="497" spans="1:16">
      <c r="A497" s="98">
        <v>20008711</v>
      </c>
      <c r="B497" s="98">
        <v>1</v>
      </c>
      <c r="C497" s="98" t="s">
        <v>55</v>
      </c>
      <c r="D497" s="98">
        <v>352981</v>
      </c>
      <c r="E497" s="137">
        <v>45047</v>
      </c>
      <c r="F497" s="140" t="s">
        <v>3661</v>
      </c>
      <c r="G497" s="98" t="s">
        <v>3741</v>
      </c>
      <c r="I497" s="140" t="s">
        <v>3821</v>
      </c>
      <c r="J497" s="98"/>
      <c r="K497" s="98" t="s">
        <v>50</v>
      </c>
      <c r="L497" s="98" t="s">
        <v>80</v>
      </c>
      <c r="M497" s="98" t="s">
        <v>40</v>
      </c>
      <c r="N497" s="237">
        <f>+VLOOKUP(A497,COMISIONES!$C$2:$AR$33,42,0)</f>
        <v>15</v>
      </c>
      <c r="O497" s="53">
        <f t="shared" si="8"/>
        <v>15</v>
      </c>
      <c r="P497" s="7">
        <f>+VLOOKUP(A497,COMISIONES!$C$2:$C$33,1,0)</f>
        <v>20008711</v>
      </c>
    </row>
    <row r="498" spans="1:16">
      <c r="A498" s="98">
        <v>20007726</v>
      </c>
      <c r="B498" s="98">
        <v>1</v>
      </c>
      <c r="C498" s="98" t="s">
        <v>55</v>
      </c>
      <c r="D498" s="98">
        <v>352950</v>
      </c>
      <c r="E498" s="137">
        <v>45047</v>
      </c>
      <c r="F498" s="140" t="s">
        <v>3662</v>
      </c>
      <c r="G498" s="98" t="s">
        <v>3742</v>
      </c>
      <c r="I498" s="140" t="s">
        <v>3822</v>
      </c>
      <c r="J498" s="98"/>
      <c r="K498" s="98" t="s">
        <v>49</v>
      </c>
      <c r="L498" s="98" t="s">
        <v>80</v>
      </c>
      <c r="M498" s="98" t="s">
        <v>40</v>
      </c>
      <c r="N498" s="237">
        <f>+VLOOKUP(A498,COMISIONES!$C$2:$AR$33,42,0)</f>
        <v>30</v>
      </c>
      <c r="O498" s="53">
        <f t="shared" ref="O498:O557" si="9">N498*B498</f>
        <v>30</v>
      </c>
      <c r="P498" s="7">
        <f>+VLOOKUP(A498,COMISIONES!$C$2:$C$33,1,0)</f>
        <v>20007726</v>
      </c>
    </row>
    <row r="499" spans="1:16">
      <c r="A499" s="98">
        <v>20004638</v>
      </c>
      <c r="B499" s="98">
        <v>1</v>
      </c>
      <c r="C499" s="98" t="s">
        <v>55</v>
      </c>
      <c r="D499" s="98">
        <v>352425</v>
      </c>
      <c r="E499" s="137">
        <v>45047</v>
      </c>
      <c r="F499" s="140" t="s">
        <v>3663</v>
      </c>
      <c r="G499" s="98" t="s">
        <v>3743</v>
      </c>
      <c r="I499" s="140" t="s">
        <v>3823</v>
      </c>
      <c r="J499" s="98"/>
      <c r="K499" s="98" t="s">
        <v>51</v>
      </c>
      <c r="L499" s="98" t="s">
        <v>80</v>
      </c>
      <c r="M499" s="98" t="s">
        <v>40</v>
      </c>
      <c r="N499" s="237">
        <f>+VLOOKUP(A499,COMISIONES!$C$2:$AR$33,42,0)</f>
        <v>10</v>
      </c>
      <c r="O499" s="53">
        <f t="shared" si="9"/>
        <v>10</v>
      </c>
      <c r="P499" s="7">
        <f>+VLOOKUP(A499,COMISIONES!$C$2:$C$33,1,0)</f>
        <v>20004638</v>
      </c>
    </row>
    <row r="500" spans="1:16">
      <c r="A500" s="98">
        <v>20008439</v>
      </c>
      <c r="B500" s="98">
        <v>1</v>
      </c>
      <c r="C500" s="98" t="s">
        <v>55</v>
      </c>
      <c r="D500" s="98">
        <v>352404</v>
      </c>
      <c r="E500" s="137">
        <v>45047</v>
      </c>
      <c r="F500" s="140" t="s">
        <v>3664</v>
      </c>
      <c r="G500" s="98" t="s">
        <v>3744</v>
      </c>
      <c r="I500" s="140" t="s">
        <v>3824</v>
      </c>
      <c r="J500" s="98"/>
      <c r="K500" s="98" t="s">
        <v>50</v>
      </c>
      <c r="L500" s="98" t="s">
        <v>80</v>
      </c>
      <c r="M500" s="98" t="s">
        <v>40</v>
      </c>
      <c r="N500" s="237">
        <f>+VLOOKUP(A500,COMISIONES!$C$2:$AR$33,42,0)</f>
        <v>15</v>
      </c>
      <c r="O500" s="53">
        <f t="shared" si="9"/>
        <v>15</v>
      </c>
      <c r="P500" s="7">
        <f>+VLOOKUP(A500,COMISIONES!$C$2:$C$33,1,0)</f>
        <v>20008439</v>
      </c>
    </row>
    <row r="501" spans="1:16">
      <c r="A501" s="98">
        <v>20006233</v>
      </c>
      <c r="B501" s="98">
        <v>1</v>
      </c>
      <c r="C501" s="98" t="s">
        <v>55</v>
      </c>
      <c r="D501" s="98">
        <v>356006</v>
      </c>
      <c r="E501" s="137">
        <v>45047</v>
      </c>
      <c r="F501" s="140" t="s">
        <v>3665</v>
      </c>
      <c r="G501" s="98" t="s">
        <v>3745</v>
      </c>
      <c r="I501" s="140" t="s">
        <v>3825</v>
      </c>
      <c r="J501" s="98"/>
      <c r="K501" s="98" t="s">
        <v>52</v>
      </c>
      <c r="L501" s="98" t="s">
        <v>80</v>
      </c>
      <c r="M501" s="98" t="s">
        <v>40</v>
      </c>
      <c r="N501" s="237">
        <f>+VLOOKUP(A501,COMISIONES!$C$2:$AR$33,42,0)</f>
        <v>15</v>
      </c>
      <c r="O501" s="53">
        <f t="shared" si="9"/>
        <v>15</v>
      </c>
      <c r="P501" s="7">
        <f>+VLOOKUP(A501,COMISIONES!$C$2:$C$33,1,0)</f>
        <v>20006233</v>
      </c>
    </row>
    <row r="502" spans="1:16">
      <c r="A502" s="98">
        <v>20006893</v>
      </c>
      <c r="B502" s="98">
        <v>1</v>
      </c>
      <c r="C502" s="98" t="s">
        <v>55</v>
      </c>
      <c r="D502" s="98">
        <v>357194</v>
      </c>
      <c r="E502" s="137">
        <v>45047</v>
      </c>
      <c r="F502" s="140" t="s">
        <v>594</v>
      </c>
      <c r="G502" s="98" t="s">
        <v>705</v>
      </c>
      <c r="I502" s="140" t="s">
        <v>816</v>
      </c>
      <c r="J502" s="98"/>
      <c r="K502" s="98" t="s">
        <v>51</v>
      </c>
      <c r="L502" s="98" t="s">
        <v>80</v>
      </c>
      <c r="M502" s="98" t="s">
        <v>40</v>
      </c>
      <c r="N502" s="237">
        <f>+VLOOKUP(A502,COMISIONES!$C$2:$AR$33,42,0)</f>
        <v>15</v>
      </c>
      <c r="O502" s="53">
        <f t="shared" si="9"/>
        <v>15</v>
      </c>
      <c r="P502" s="7">
        <f>+VLOOKUP(A502,COMISIONES!$C$2:$C$33,1,0)</f>
        <v>20006893</v>
      </c>
    </row>
    <row r="503" spans="1:16">
      <c r="A503" s="98">
        <v>20006162</v>
      </c>
      <c r="B503" s="98">
        <v>1</v>
      </c>
      <c r="C503" s="98" t="s">
        <v>55</v>
      </c>
      <c r="D503" s="98">
        <v>356894</v>
      </c>
      <c r="E503" s="137">
        <v>45047</v>
      </c>
      <c r="F503" s="140" t="s">
        <v>595</v>
      </c>
      <c r="G503" s="98" t="s">
        <v>706</v>
      </c>
      <c r="I503" s="140" t="s">
        <v>817</v>
      </c>
      <c r="J503" s="98"/>
      <c r="K503" s="98" t="s">
        <v>50</v>
      </c>
      <c r="L503" s="98" t="s">
        <v>80</v>
      </c>
      <c r="M503" s="98" t="s">
        <v>40</v>
      </c>
      <c r="N503" s="237">
        <f>+VLOOKUP(A503,COMISIONES!$C$2:$AR$33,42,0)</f>
        <v>20</v>
      </c>
      <c r="O503" s="53">
        <f t="shared" si="9"/>
        <v>20</v>
      </c>
      <c r="P503" s="7">
        <f>+VLOOKUP(A503,COMISIONES!$C$2:$C$33,1,0)</f>
        <v>20006162</v>
      </c>
    </row>
    <row r="504" spans="1:16">
      <c r="A504" s="98">
        <v>20006162</v>
      </c>
      <c r="B504" s="98">
        <v>1</v>
      </c>
      <c r="C504" s="98" t="s">
        <v>55</v>
      </c>
      <c r="D504" s="98">
        <v>356735</v>
      </c>
      <c r="E504" s="137">
        <v>45047</v>
      </c>
      <c r="F504" s="140" t="s">
        <v>3006</v>
      </c>
      <c r="G504" s="98" t="s">
        <v>3007</v>
      </c>
      <c r="I504" s="140" t="s">
        <v>3826</v>
      </c>
      <c r="J504" s="98"/>
      <c r="K504" s="98" t="s">
        <v>50</v>
      </c>
      <c r="L504" s="98" t="s">
        <v>80</v>
      </c>
      <c r="M504" s="98" t="s">
        <v>40</v>
      </c>
      <c r="N504" s="237">
        <f>+VLOOKUP(A504,COMISIONES!$C$2:$AR$33,42,0)</f>
        <v>20</v>
      </c>
      <c r="O504" s="53">
        <f t="shared" si="9"/>
        <v>20</v>
      </c>
      <c r="P504" s="7">
        <f>+VLOOKUP(A504,COMISIONES!$C$2:$C$33,1,0)</f>
        <v>20006162</v>
      </c>
    </row>
    <row r="505" spans="1:16">
      <c r="A505" s="98">
        <v>20006162</v>
      </c>
      <c r="B505" s="98">
        <v>1</v>
      </c>
      <c r="C505" s="98" t="s">
        <v>55</v>
      </c>
      <c r="D505" s="98">
        <v>355565</v>
      </c>
      <c r="E505" s="137">
        <v>45047</v>
      </c>
      <c r="F505" s="140" t="s">
        <v>3666</v>
      </c>
      <c r="G505" s="98" t="s">
        <v>3746</v>
      </c>
      <c r="I505" s="140" t="s">
        <v>3827</v>
      </c>
      <c r="J505" s="98"/>
      <c r="K505" s="98" t="s">
        <v>50</v>
      </c>
      <c r="L505" s="98" t="s">
        <v>80</v>
      </c>
      <c r="M505" s="98" t="s">
        <v>40</v>
      </c>
      <c r="N505" s="237">
        <f>+VLOOKUP(A505,COMISIONES!$C$2:$AR$33,42,0)</f>
        <v>20</v>
      </c>
      <c r="O505" s="53">
        <f t="shared" si="9"/>
        <v>20</v>
      </c>
      <c r="P505" s="7">
        <f>+VLOOKUP(A505,COMISIONES!$C$2:$C$33,1,0)</f>
        <v>20006162</v>
      </c>
    </row>
    <row r="506" spans="1:16">
      <c r="A506" s="98">
        <v>20006162</v>
      </c>
      <c r="B506" s="98">
        <v>1</v>
      </c>
      <c r="C506" s="98" t="s">
        <v>55</v>
      </c>
      <c r="D506" s="98">
        <v>354701</v>
      </c>
      <c r="E506" s="137">
        <v>45047</v>
      </c>
      <c r="F506" s="140" t="s">
        <v>3667</v>
      </c>
      <c r="G506" s="98" t="s">
        <v>3747</v>
      </c>
      <c r="I506" s="140" t="s">
        <v>3828</v>
      </c>
      <c r="J506" s="98"/>
      <c r="K506" s="98" t="s">
        <v>50</v>
      </c>
      <c r="L506" s="98" t="s">
        <v>80</v>
      </c>
      <c r="M506" s="98" t="s">
        <v>40</v>
      </c>
      <c r="N506" s="237">
        <f>+VLOOKUP(A506,COMISIONES!$C$2:$AR$33,42,0)</f>
        <v>20</v>
      </c>
      <c r="O506" s="53">
        <f t="shared" si="9"/>
        <v>20</v>
      </c>
      <c r="P506" s="7">
        <f>+VLOOKUP(A506,COMISIONES!$C$2:$C$33,1,0)</f>
        <v>20006162</v>
      </c>
    </row>
    <row r="507" spans="1:16">
      <c r="A507" s="98">
        <v>20010087</v>
      </c>
      <c r="B507" s="98">
        <v>1</v>
      </c>
      <c r="C507" s="98" t="s">
        <v>55</v>
      </c>
      <c r="D507" s="98">
        <v>354677</v>
      </c>
      <c r="E507" s="137">
        <v>45047</v>
      </c>
      <c r="F507" s="140" t="s">
        <v>3923</v>
      </c>
      <c r="G507" s="98" t="s">
        <v>3922</v>
      </c>
      <c r="I507" s="140" t="s">
        <v>3924</v>
      </c>
      <c r="J507" s="98"/>
      <c r="K507" s="98" t="s">
        <v>50</v>
      </c>
      <c r="L507" s="98" t="s">
        <v>80</v>
      </c>
      <c r="M507" s="98" t="s">
        <v>40</v>
      </c>
      <c r="N507" s="237">
        <v>0</v>
      </c>
      <c r="O507" s="53">
        <f t="shared" si="9"/>
        <v>0</v>
      </c>
      <c r="P507" s="7" t="s">
        <v>3962</v>
      </c>
    </row>
    <row r="508" spans="1:16">
      <c r="A508" s="98">
        <v>20000661</v>
      </c>
      <c r="B508" s="98">
        <v>1</v>
      </c>
      <c r="C508" s="98" t="s">
        <v>55</v>
      </c>
      <c r="D508" s="98">
        <v>354009</v>
      </c>
      <c r="E508" s="137">
        <v>45047</v>
      </c>
      <c r="F508" s="140" t="s">
        <v>3668</v>
      </c>
      <c r="G508" s="98" t="s">
        <v>3748</v>
      </c>
      <c r="I508" s="140" t="s">
        <v>3829</v>
      </c>
      <c r="J508" s="98"/>
      <c r="K508" s="98" t="s">
        <v>51</v>
      </c>
      <c r="L508" s="98" t="s">
        <v>80</v>
      </c>
      <c r="M508" s="98" t="s">
        <v>40</v>
      </c>
      <c r="N508" s="237">
        <f>+VLOOKUP(A508,COMISIONES!$C$2:$AR$33,42,0)</f>
        <v>15</v>
      </c>
      <c r="O508" s="53">
        <f t="shared" si="9"/>
        <v>15</v>
      </c>
      <c r="P508" s="7">
        <f>+VLOOKUP(A508,COMISIONES!$C$2:$C$33,1,0)</f>
        <v>20000661</v>
      </c>
    </row>
    <row r="509" spans="1:16">
      <c r="A509" s="98">
        <v>20006162</v>
      </c>
      <c r="B509" s="98">
        <v>1</v>
      </c>
      <c r="C509" s="98" t="s">
        <v>55</v>
      </c>
      <c r="D509" s="98">
        <v>352399</v>
      </c>
      <c r="E509" s="137">
        <v>45047</v>
      </c>
      <c r="F509" s="140" t="s">
        <v>3669</v>
      </c>
      <c r="G509" s="98" t="s">
        <v>3749</v>
      </c>
      <c r="I509" s="140" t="s">
        <v>3830</v>
      </c>
      <c r="J509" s="98"/>
      <c r="K509" s="98" t="s">
        <v>50</v>
      </c>
      <c r="L509" s="98" t="s">
        <v>80</v>
      </c>
      <c r="M509" s="98" t="s">
        <v>40</v>
      </c>
      <c r="N509" s="237">
        <f>+VLOOKUP(A509,COMISIONES!$C$2:$AR$33,42,0)</f>
        <v>20</v>
      </c>
      <c r="O509" s="53">
        <f t="shared" si="9"/>
        <v>20</v>
      </c>
      <c r="P509" s="7">
        <f>+VLOOKUP(A509,COMISIONES!$C$2:$C$33,1,0)</f>
        <v>20006162</v>
      </c>
    </row>
    <row r="510" spans="1:16">
      <c r="A510" s="98">
        <v>20000661</v>
      </c>
      <c r="B510" s="98">
        <v>1</v>
      </c>
      <c r="C510" s="98" t="s">
        <v>55</v>
      </c>
      <c r="D510" s="98">
        <v>352181</v>
      </c>
      <c r="E510" s="137">
        <v>45047</v>
      </c>
      <c r="F510" s="140" t="s">
        <v>3670</v>
      </c>
      <c r="G510" s="98" t="s">
        <v>3750</v>
      </c>
      <c r="I510" s="140" t="s">
        <v>3831</v>
      </c>
      <c r="J510" s="98"/>
      <c r="K510" s="98" t="s">
        <v>51</v>
      </c>
      <c r="L510" s="98" t="s">
        <v>80</v>
      </c>
      <c r="M510" s="98" t="s">
        <v>40</v>
      </c>
      <c r="N510" s="237">
        <f>+VLOOKUP(A510,COMISIONES!$C$2:$AR$33,42,0)</f>
        <v>15</v>
      </c>
      <c r="O510" s="53">
        <f t="shared" si="9"/>
        <v>15</v>
      </c>
      <c r="P510" s="7">
        <f>+VLOOKUP(A510,COMISIONES!$C$2:$C$33,1,0)</f>
        <v>20000661</v>
      </c>
    </row>
    <row r="511" spans="1:16">
      <c r="A511" s="98">
        <v>20009688</v>
      </c>
      <c r="B511" s="98">
        <v>1</v>
      </c>
      <c r="C511" s="98" t="s">
        <v>55</v>
      </c>
      <c r="D511" s="98"/>
      <c r="E511" s="137">
        <v>45047</v>
      </c>
      <c r="F511" s="140" t="s">
        <v>3671</v>
      </c>
      <c r="G511" s="98" t="s">
        <v>3751</v>
      </c>
      <c r="I511" s="140" t="s">
        <v>3832</v>
      </c>
      <c r="J511" s="98"/>
      <c r="K511" s="98" t="s">
        <v>52</v>
      </c>
      <c r="L511" s="98" t="s">
        <v>80</v>
      </c>
      <c r="M511" s="98" t="s">
        <v>40</v>
      </c>
      <c r="N511" s="237">
        <f>+VLOOKUP(A511,COMISIONES!$C$2:$AR$33,42,0)</f>
        <v>15</v>
      </c>
      <c r="O511" s="53">
        <f t="shared" si="9"/>
        <v>15</v>
      </c>
      <c r="P511" s="7">
        <f>+VLOOKUP(A511,COMISIONES!$C$2:$C$33,1,0)</f>
        <v>20009688</v>
      </c>
    </row>
    <row r="512" spans="1:16">
      <c r="A512" s="98">
        <v>20009688</v>
      </c>
      <c r="B512" s="98">
        <v>1</v>
      </c>
      <c r="C512" s="98" t="s">
        <v>55</v>
      </c>
      <c r="D512" s="98"/>
      <c r="E512" s="137">
        <v>45047</v>
      </c>
      <c r="F512" s="140" t="s">
        <v>3672</v>
      </c>
      <c r="G512" s="98" t="s">
        <v>3752</v>
      </c>
      <c r="I512" s="140" t="s">
        <v>3833</v>
      </c>
      <c r="J512" s="98"/>
      <c r="K512" s="98" t="s">
        <v>52</v>
      </c>
      <c r="L512" s="98" t="s">
        <v>80</v>
      </c>
      <c r="M512" s="98" t="s">
        <v>40</v>
      </c>
      <c r="N512" s="237">
        <f>+VLOOKUP(A512,COMISIONES!$C$2:$AR$33,42,0)</f>
        <v>15</v>
      </c>
      <c r="O512" s="53">
        <f t="shared" si="9"/>
        <v>15</v>
      </c>
      <c r="P512" s="7">
        <f>+VLOOKUP(A512,COMISIONES!$C$2:$C$33,1,0)</f>
        <v>20009688</v>
      </c>
    </row>
    <row r="513" spans="1:16">
      <c r="A513" s="98">
        <v>20009688</v>
      </c>
      <c r="B513" s="98">
        <v>1</v>
      </c>
      <c r="C513" s="98" t="s">
        <v>55</v>
      </c>
      <c r="D513" s="98"/>
      <c r="E513" s="137">
        <v>45047</v>
      </c>
      <c r="F513" s="140" t="s">
        <v>3673</v>
      </c>
      <c r="G513" s="98" t="s">
        <v>3753</v>
      </c>
      <c r="I513" s="140" t="s">
        <v>3834</v>
      </c>
      <c r="J513" s="98"/>
      <c r="K513" s="98" t="s">
        <v>52</v>
      </c>
      <c r="L513" s="98" t="s">
        <v>80</v>
      </c>
      <c r="M513" s="98" t="s">
        <v>40</v>
      </c>
      <c r="N513" s="237">
        <f>+VLOOKUP(A513,COMISIONES!$C$2:$AR$33,42,0)</f>
        <v>15</v>
      </c>
      <c r="O513" s="53">
        <f t="shared" si="9"/>
        <v>15</v>
      </c>
      <c r="P513" s="7">
        <f>+VLOOKUP(A513,COMISIONES!$C$2:$C$33,1,0)</f>
        <v>20009688</v>
      </c>
    </row>
    <row r="514" spans="1:16">
      <c r="A514" s="98">
        <v>20009688</v>
      </c>
      <c r="B514" s="98">
        <v>1</v>
      </c>
      <c r="C514" s="98" t="s">
        <v>55</v>
      </c>
      <c r="D514" s="98"/>
      <c r="E514" s="137">
        <v>45047</v>
      </c>
      <c r="F514" s="140" t="s">
        <v>3674</v>
      </c>
      <c r="G514" s="98" t="s">
        <v>3754</v>
      </c>
      <c r="I514" s="140" t="s">
        <v>3835</v>
      </c>
      <c r="J514" s="98"/>
      <c r="K514" s="98" t="s">
        <v>52</v>
      </c>
      <c r="L514" s="98" t="s">
        <v>80</v>
      </c>
      <c r="M514" s="98" t="s">
        <v>40</v>
      </c>
      <c r="N514" s="237">
        <f>+VLOOKUP(A514,COMISIONES!$C$2:$AR$33,42,0)</f>
        <v>15</v>
      </c>
      <c r="O514" s="53">
        <f t="shared" si="9"/>
        <v>15</v>
      </c>
      <c r="P514" s="7">
        <f>+VLOOKUP(A514,COMISIONES!$C$2:$C$33,1,0)</f>
        <v>20009688</v>
      </c>
    </row>
    <row r="515" spans="1:16">
      <c r="A515" s="98">
        <v>20007943</v>
      </c>
      <c r="B515" s="98">
        <v>1</v>
      </c>
      <c r="C515" s="98" t="s">
        <v>55</v>
      </c>
      <c r="D515" s="98"/>
      <c r="E515" s="137">
        <v>45047</v>
      </c>
      <c r="F515" s="98" t="s">
        <v>3755</v>
      </c>
      <c r="G515" s="140" t="s">
        <v>3675</v>
      </c>
      <c r="H515" s="98"/>
      <c r="I515" s="140" t="s">
        <v>3836</v>
      </c>
      <c r="J515" s="98">
        <v>98077</v>
      </c>
      <c r="K515" s="98" t="s">
        <v>51</v>
      </c>
      <c r="L515" s="98" t="s">
        <v>80</v>
      </c>
      <c r="M515" s="98" t="s">
        <v>40</v>
      </c>
      <c r="N515" s="237">
        <f>+VLOOKUP(A515,COMISIONES!$C$2:$AR$33,42,0)</f>
        <v>10</v>
      </c>
      <c r="O515" s="53">
        <f t="shared" si="9"/>
        <v>10</v>
      </c>
      <c r="P515" s="7">
        <f>+VLOOKUP(A515,COMISIONES!$C$2:$C$33,1,0)</f>
        <v>20007943</v>
      </c>
    </row>
    <row r="516" spans="1:16">
      <c r="A516" s="98">
        <v>20007943</v>
      </c>
      <c r="B516" s="98">
        <v>1</v>
      </c>
      <c r="C516" s="98" t="s">
        <v>55</v>
      </c>
      <c r="D516" s="98"/>
      <c r="E516" s="137">
        <v>45047</v>
      </c>
      <c r="F516" s="98" t="s">
        <v>3756</v>
      </c>
      <c r="G516" s="140" t="s">
        <v>3675</v>
      </c>
      <c r="H516" s="98"/>
      <c r="I516" s="140" t="s">
        <v>3837</v>
      </c>
      <c r="J516" s="98">
        <v>98077</v>
      </c>
      <c r="K516" s="98" t="s">
        <v>51</v>
      </c>
      <c r="L516" s="98" t="s">
        <v>80</v>
      </c>
      <c r="M516" s="98" t="s">
        <v>40</v>
      </c>
      <c r="N516" s="237">
        <f>+VLOOKUP(A516,COMISIONES!$C$2:$AR$33,42,0)</f>
        <v>10</v>
      </c>
      <c r="O516" s="53">
        <f t="shared" si="9"/>
        <v>10</v>
      </c>
      <c r="P516" s="7">
        <f>+VLOOKUP(A516,COMISIONES!$C$2:$C$33,1,0)</f>
        <v>20007943</v>
      </c>
    </row>
    <row r="517" spans="1:16">
      <c r="A517" s="98">
        <v>20007943</v>
      </c>
      <c r="B517" s="98">
        <v>1</v>
      </c>
      <c r="C517" s="98" t="s">
        <v>55</v>
      </c>
      <c r="D517" s="98"/>
      <c r="E517" s="137">
        <v>45047</v>
      </c>
      <c r="F517" s="98" t="s">
        <v>3757</v>
      </c>
      <c r="G517" s="140" t="s">
        <v>3676</v>
      </c>
      <c r="H517" s="98"/>
      <c r="I517" s="140" t="s">
        <v>3838</v>
      </c>
      <c r="J517" s="98">
        <v>98077</v>
      </c>
      <c r="K517" s="98" t="s">
        <v>51</v>
      </c>
      <c r="L517" s="98" t="s">
        <v>80</v>
      </c>
      <c r="M517" s="98" t="s">
        <v>40</v>
      </c>
      <c r="N517" s="237">
        <f>+VLOOKUP(A517,COMISIONES!$C$2:$AR$33,42,0)</f>
        <v>10</v>
      </c>
      <c r="O517" s="53">
        <f t="shared" si="9"/>
        <v>10</v>
      </c>
      <c r="P517" s="7">
        <f>+VLOOKUP(A517,COMISIONES!$C$2:$C$33,1,0)</f>
        <v>20007943</v>
      </c>
    </row>
    <row r="518" spans="1:16">
      <c r="A518" s="98">
        <v>20007943</v>
      </c>
      <c r="B518" s="98">
        <v>1</v>
      </c>
      <c r="C518" s="98" t="s">
        <v>55</v>
      </c>
      <c r="D518" s="98"/>
      <c r="E518" s="137">
        <v>45047</v>
      </c>
      <c r="F518" s="98" t="s">
        <v>3758</v>
      </c>
      <c r="G518" s="140" t="s">
        <v>3677</v>
      </c>
      <c r="H518" s="98"/>
      <c r="I518" s="140" t="s">
        <v>3839</v>
      </c>
      <c r="J518" s="98">
        <v>98077</v>
      </c>
      <c r="K518" s="98" t="s">
        <v>51</v>
      </c>
      <c r="L518" s="98" t="s">
        <v>80</v>
      </c>
      <c r="M518" s="98" t="s">
        <v>40</v>
      </c>
      <c r="N518" s="237">
        <f>+VLOOKUP(A518,COMISIONES!$C$2:$AR$33,42,0)</f>
        <v>10</v>
      </c>
      <c r="O518" s="53">
        <f t="shared" si="9"/>
        <v>10</v>
      </c>
      <c r="P518" s="7">
        <f>+VLOOKUP(A518,COMISIONES!$C$2:$C$33,1,0)</f>
        <v>20007943</v>
      </c>
    </row>
    <row r="519" spans="1:16">
      <c r="A519" s="98">
        <v>20007943</v>
      </c>
      <c r="B519" s="98">
        <v>1</v>
      </c>
      <c r="C519" s="98" t="s">
        <v>55</v>
      </c>
      <c r="D519" s="98"/>
      <c r="E519" s="137">
        <v>45047</v>
      </c>
      <c r="F519" s="98" t="s">
        <v>3759</v>
      </c>
      <c r="G519" s="140" t="s">
        <v>3678</v>
      </c>
      <c r="H519" s="98"/>
      <c r="I519" s="140" t="s">
        <v>3840</v>
      </c>
      <c r="J519" s="98">
        <v>98077</v>
      </c>
      <c r="K519" s="98" t="s">
        <v>51</v>
      </c>
      <c r="L519" s="98" t="s">
        <v>80</v>
      </c>
      <c r="M519" s="98" t="s">
        <v>40</v>
      </c>
      <c r="N519" s="237">
        <f>+VLOOKUP(A519,COMISIONES!$C$2:$AR$33,42,0)</f>
        <v>10</v>
      </c>
      <c r="O519" s="53">
        <f t="shared" si="9"/>
        <v>10</v>
      </c>
      <c r="P519" s="7">
        <f>+VLOOKUP(A519,COMISIONES!$C$2:$C$33,1,0)</f>
        <v>20007943</v>
      </c>
    </row>
    <row r="520" spans="1:16">
      <c r="A520" s="98">
        <v>20007726</v>
      </c>
      <c r="B520" s="98">
        <v>1</v>
      </c>
      <c r="C520" s="98" t="s">
        <v>55</v>
      </c>
      <c r="D520" s="98"/>
      <c r="E520" s="137">
        <v>45078</v>
      </c>
      <c r="F520" s="98" t="s">
        <v>316</v>
      </c>
      <c r="G520" s="140" t="s">
        <v>317</v>
      </c>
      <c r="H520" s="98"/>
      <c r="I520" s="140" t="s">
        <v>356</v>
      </c>
      <c r="J520" s="98">
        <v>98051</v>
      </c>
      <c r="K520" s="98" t="s">
        <v>49</v>
      </c>
      <c r="L520" s="98" t="s">
        <v>80</v>
      </c>
      <c r="M520" s="98" t="s">
        <v>40</v>
      </c>
      <c r="N520" s="237">
        <f>+VLOOKUP(A520,COMISIONES!$C$2:$AR$33,42,0)</f>
        <v>30</v>
      </c>
      <c r="O520" s="53">
        <f t="shared" si="9"/>
        <v>30</v>
      </c>
      <c r="P520" s="7">
        <f>+VLOOKUP(A520,COMISIONES!$C$2:$C$33,1,0)</f>
        <v>20007726</v>
      </c>
    </row>
    <row r="521" spans="1:16">
      <c r="A521" s="98">
        <v>20004161</v>
      </c>
      <c r="B521" s="98">
        <v>1</v>
      </c>
      <c r="C521" s="98" t="s">
        <v>55</v>
      </c>
      <c r="D521" s="98"/>
      <c r="E521" s="137">
        <v>45078</v>
      </c>
      <c r="F521" s="98" t="s">
        <v>307</v>
      </c>
      <c r="G521" s="140" t="s">
        <v>308</v>
      </c>
      <c r="H521" s="98"/>
      <c r="I521" s="140" t="s">
        <v>357</v>
      </c>
      <c r="J521" s="98">
        <v>98019</v>
      </c>
      <c r="K521" s="98" t="s">
        <v>49</v>
      </c>
      <c r="L521" s="98" t="s">
        <v>80</v>
      </c>
      <c r="M521" s="98" t="s">
        <v>40</v>
      </c>
      <c r="N521" s="237">
        <f>+VLOOKUP(A521,COMISIONES!$C$2:$AR$33,42,0)</f>
        <v>32.5</v>
      </c>
      <c r="O521" s="53">
        <f t="shared" si="9"/>
        <v>32.5</v>
      </c>
      <c r="P521" s="7">
        <f>+VLOOKUP(A521,COMISIONES!$C$2:$C$33,1,0)</f>
        <v>20004161</v>
      </c>
    </row>
    <row r="522" spans="1:16">
      <c r="A522" s="98">
        <v>20009690</v>
      </c>
      <c r="B522" s="98">
        <v>1</v>
      </c>
      <c r="C522" s="98" t="s">
        <v>55</v>
      </c>
      <c r="D522" s="98"/>
      <c r="E522" s="137">
        <v>45078</v>
      </c>
      <c r="F522" s="98" t="s">
        <v>305</v>
      </c>
      <c r="G522" s="140" t="s">
        <v>306</v>
      </c>
      <c r="H522" s="98"/>
      <c r="I522" s="140" t="s">
        <v>358</v>
      </c>
      <c r="J522" s="98">
        <v>98068</v>
      </c>
      <c r="K522" s="98" t="s">
        <v>49</v>
      </c>
      <c r="L522" s="98" t="s">
        <v>80</v>
      </c>
      <c r="M522" s="98" t="s">
        <v>40</v>
      </c>
      <c r="N522" s="237">
        <f>+VLOOKUP(A522,COMISIONES!$C$2:$AR$33,42,0)</f>
        <v>30</v>
      </c>
      <c r="O522" s="53">
        <f t="shared" si="9"/>
        <v>30</v>
      </c>
      <c r="P522" s="7">
        <f>+VLOOKUP(A522,COMISIONES!$C$2:$C$33,1,0)</f>
        <v>20009690</v>
      </c>
    </row>
    <row r="523" spans="1:16">
      <c r="A523" s="98">
        <v>20000661</v>
      </c>
      <c r="B523" s="98">
        <v>1</v>
      </c>
      <c r="C523" s="98" t="s">
        <v>55</v>
      </c>
      <c r="D523" s="98"/>
      <c r="E523" s="137">
        <v>45078</v>
      </c>
      <c r="F523" s="98" t="s">
        <v>345</v>
      </c>
      <c r="G523" s="140" t="s">
        <v>334</v>
      </c>
      <c r="H523" s="98"/>
      <c r="I523" s="140" t="s">
        <v>359</v>
      </c>
      <c r="J523" s="98">
        <v>98013</v>
      </c>
      <c r="K523" s="98" t="s">
        <v>51</v>
      </c>
      <c r="L523" s="98" t="s">
        <v>80</v>
      </c>
      <c r="M523" s="98" t="s">
        <v>40</v>
      </c>
      <c r="N523" s="237">
        <f>+VLOOKUP(A523,COMISIONES!$C$2:$AR$33,42,0)</f>
        <v>15</v>
      </c>
      <c r="O523" s="53">
        <f t="shared" si="9"/>
        <v>15</v>
      </c>
      <c r="P523" s="7">
        <f>+VLOOKUP(A523,COMISIONES!$C$2:$C$33,1,0)</f>
        <v>20000661</v>
      </c>
    </row>
    <row r="524" spans="1:16">
      <c r="A524" s="98">
        <v>20010262</v>
      </c>
      <c r="B524" s="98">
        <v>1</v>
      </c>
      <c r="C524" s="98" t="s">
        <v>55</v>
      </c>
      <c r="D524" s="98"/>
      <c r="E524" s="137">
        <v>45078</v>
      </c>
      <c r="F524" s="98" t="s">
        <v>346</v>
      </c>
      <c r="G524" s="140" t="s">
        <v>335</v>
      </c>
      <c r="H524" s="98"/>
      <c r="I524" s="140" t="s">
        <v>360</v>
      </c>
      <c r="J524" s="98">
        <v>98073</v>
      </c>
      <c r="K524" s="98" t="s">
        <v>52</v>
      </c>
      <c r="L524" s="98" t="s">
        <v>80</v>
      </c>
      <c r="M524" s="98" t="s">
        <v>40</v>
      </c>
      <c r="N524" s="237">
        <f>+VLOOKUP(A524,COMISIONES!$C$2:$AR$33,42,0)</f>
        <v>15</v>
      </c>
      <c r="O524" s="53">
        <f t="shared" si="9"/>
        <v>15</v>
      </c>
      <c r="P524" s="7">
        <f>+VLOOKUP(A524,COMISIONES!$C$2:$C$33,1,0)</f>
        <v>20010262</v>
      </c>
    </row>
    <row r="525" spans="1:16">
      <c r="A525" s="98">
        <v>20000661</v>
      </c>
      <c r="B525" s="98">
        <v>1</v>
      </c>
      <c r="C525" s="98" t="s">
        <v>55</v>
      </c>
      <c r="D525" s="98"/>
      <c r="E525" s="137">
        <v>45078</v>
      </c>
      <c r="F525" s="98" t="s">
        <v>347</v>
      </c>
      <c r="G525" s="140" t="s">
        <v>336</v>
      </c>
      <c r="H525" s="98"/>
      <c r="I525" s="140" t="s">
        <v>361</v>
      </c>
      <c r="J525" s="98">
        <v>98013</v>
      </c>
      <c r="K525" s="98" t="s">
        <v>51</v>
      </c>
      <c r="L525" s="98" t="s">
        <v>80</v>
      </c>
      <c r="M525" s="98" t="s">
        <v>40</v>
      </c>
      <c r="N525" s="237">
        <f>+VLOOKUP(A525,COMISIONES!$C$2:$AR$33,42,0)</f>
        <v>15</v>
      </c>
      <c r="O525" s="53">
        <f t="shared" si="9"/>
        <v>15</v>
      </c>
      <c r="P525" s="7">
        <f>+VLOOKUP(A525,COMISIONES!$C$2:$C$33,1,0)</f>
        <v>20000661</v>
      </c>
    </row>
    <row r="526" spans="1:16">
      <c r="A526" s="98">
        <v>20000661</v>
      </c>
      <c r="B526" s="98">
        <v>1</v>
      </c>
      <c r="C526" s="98" t="s">
        <v>55</v>
      </c>
      <c r="D526" s="98"/>
      <c r="E526" s="137">
        <v>45078</v>
      </c>
      <c r="F526" s="98" t="s">
        <v>290</v>
      </c>
      <c r="G526" s="140" t="s">
        <v>291</v>
      </c>
      <c r="H526" s="98"/>
      <c r="I526" s="140" t="s">
        <v>362</v>
      </c>
      <c r="J526" s="98">
        <v>98013</v>
      </c>
      <c r="K526" s="98" t="s">
        <v>51</v>
      </c>
      <c r="L526" s="98" t="s">
        <v>80</v>
      </c>
      <c r="M526" s="98" t="s">
        <v>40</v>
      </c>
      <c r="N526" s="237">
        <f>+VLOOKUP(A526,COMISIONES!$C$2:$AR$33,42,0)</f>
        <v>15</v>
      </c>
      <c r="O526" s="53">
        <f t="shared" si="9"/>
        <v>15</v>
      </c>
      <c r="P526" s="7">
        <f>+VLOOKUP(A526,COMISIONES!$C$2:$C$33,1,0)</f>
        <v>20000661</v>
      </c>
    </row>
    <row r="527" spans="1:16">
      <c r="A527" s="98">
        <v>20007352</v>
      </c>
      <c r="B527" s="98">
        <v>1</v>
      </c>
      <c r="C527" s="98" t="s">
        <v>55</v>
      </c>
      <c r="D527" s="98"/>
      <c r="E527" s="137">
        <v>45078</v>
      </c>
      <c r="F527" s="98" t="s">
        <v>348</v>
      </c>
      <c r="G527" s="140" t="s">
        <v>337</v>
      </c>
      <c r="H527" s="98"/>
      <c r="I527" s="140" t="s">
        <v>363</v>
      </c>
      <c r="J527" s="98">
        <v>98034</v>
      </c>
      <c r="K527" s="98" t="s">
        <v>52</v>
      </c>
      <c r="L527" s="98" t="s">
        <v>80</v>
      </c>
      <c r="M527" s="98" t="s">
        <v>40</v>
      </c>
      <c r="N527" s="237">
        <f>+VLOOKUP(A527,COMISIONES!$C$2:$AR$33,42,0)</f>
        <v>15</v>
      </c>
      <c r="O527" s="53">
        <f t="shared" si="9"/>
        <v>15</v>
      </c>
      <c r="P527" s="7">
        <f>+VLOOKUP(A527,COMISIONES!$C$2:$C$33,1,0)</f>
        <v>20007352</v>
      </c>
    </row>
    <row r="528" spans="1:16">
      <c r="A528" s="98">
        <v>20008700</v>
      </c>
      <c r="B528" s="98">
        <v>1</v>
      </c>
      <c r="C528" s="98" t="s">
        <v>55</v>
      </c>
      <c r="D528" s="98"/>
      <c r="E528" s="137">
        <v>45078</v>
      </c>
      <c r="F528" s="98" t="s">
        <v>349</v>
      </c>
      <c r="G528" s="140" t="s">
        <v>338</v>
      </c>
      <c r="H528" s="98"/>
      <c r="I528" s="140" t="s">
        <v>364</v>
      </c>
      <c r="J528" s="98">
        <v>98056</v>
      </c>
      <c r="K528" s="98" t="s">
        <v>50</v>
      </c>
      <c r="L528" s="98" t="s">
        <v>80</v>
      </c>
      <c r="M528" s="98" t="s">
        <v>40</v>
      </c>
      <c r="N528" s="237">
        <f>+VLOOKUP(A528,COMISIONES!$C$2:$AR$33,42,0)</f>
        <v>10</v>
      </c>
      <c r="O528" s="53">
        <f t="shared" si="9"/>
        <v>10</v>
      </c>
      <c r="P528" s="7">
        <f>+VLOOKUP(A528,COMISIONES!$C$2:$C$33,1,0)</f>
        <v>20008700</v>
      </c>
    </row>
    <row r="529" spans="1:16">
      <c r="A529" s="98">
        <v>20007943</v>
      </c>
      <c r="B529" s="98">
        <v>1</v>
      </c>
      <c r="C529" s="98" t="s">
        <v>55</v>
      </c>
      <c r="D529" s="98"/>
      <c r="E529" s="137">
        <v>45078</v>
      </c>
      <c r="F529" s="98" t="s">
        <v>295</v>
      </c>
      <c r="G529" s="140" t="s">
        <v>296</v>
      </c>
      <c r="H529" s="98"/>
      <c r="I529" s="140" t="s">
        <v>365</v>
      </c>
      <c r="J529" s="98">
        <v>98077</v>
      </c>
      <c r="K529" s="98" t="s">
        <v>51</v>
      </c>
      <c r="L529" s="98" t="s">
        <v>80</v>
      </c>
      <c r="M529" s="98" t="s">
        <v>40</v>
      </c>
      <c r="N529" s="237">
        <f>+VLOOKUP(A529,COMISIONES!$C$2:$AR$33,42,0)</f>
        <v>10</v>
      </c>
      <c r="O529" s="53">
        <f t="shared" si="9"/>
        <v>10</v>
      </c>
      <c r="P529" s="7">
        <f>+VLOOKUP(A529,COMISIONES!$C$2:$C$33,1,0)</f>
        <v>20007943</v>
      </c>
    </row>
    <row r="530" spans="1:16">
      <c r="A530" s="98">
        <v>20001487</v>
      </c>
      <c r="B530" s="98">
        <v>1</v>
      </c>
      <c r="C530" s="98" t="s">
        <v>55</v>
      </c>
      <c r="D530" s="98"/>
      <c r="E530" s="137">
        <v>45078</v>
      </c>
      <c r="F530" s="98" t="s">
        <v>326</v>
      </c>
      <c r="G530" s="140" t="s">
        <v>327</v>
      </c>
      <c r="H530" s="98"/>
      <c r="I530" s="140" t="s">
        <v>366</v>
      </c>
      <c r="J530" s="98">
        <v>98003</v>
      </c>
      <c r="K530" s="98" t="s">
        <v>51</v>
      </c>
      <c r="L530" s="98" t="s">
        <v>80</v>
      </c>
      <c r="M530" s="98" t="s">
        <v>40</v>
      </c>
      <c r="N530" s="237">
        <f>+VLOOKUP(A530,COMISIONES!$C$2:$AR$33,42,0)</f>
        <v>30</v>
      </c>
      <c r="O530" s="53">
        <f t="shared" si="9"/>
        <v>30</v>
      </c>
      <c r="P530" s="7">
        <f>+VLOOKUP(A530,COMISIONES!$C$2:$C$33,1,0)</f>
        <v>20001487</v>
      </c>
    </row>
    <row r="531" spans="1:16">
      <c r="A531" s="98">
        <v>20004566</v>
      </c>
      <c r="B531" s="98">
        <v>1</v>
      </c>
      <c r="C531" s="98" t="s">
        <v>55</v>
      </c>
      <c r="D531" s="98"/>
      <c r="E531" s="137">
        <v>45078</v>
      </c>
      <c r="F531" s="98" t="s">
        <v>328</v>
      </c>
      <c r="G531" s="140" t="s">
        <v>329</v>
      </c>
      <c r="H531" s="98"/>
      <c r="I531" s="140" t="s">
        <v>367</v>
      </c>
      <c r="J531" s="98">
        <v>98023</v>
      </c>
      <c r="K531" s="98" t="s">
        <v>50</v>
      </c>
      <c r="L531" s="98" t="s">
        <v>80</v>
      </c>
      <c r="M531" s="98" t="s">
        <v>40</v>
      </c>
      <c r="N531" s="237">
        <f>+VLOOKUP(A531,COMISIONES!$C$2:$AR$33,42,0)</f>
        <v>20</v>
      </c>
      <c r="O531" s="53">
        <f t="shared" si="9"/>
        <v>20</v>
      </c>
      <c r="P531" s="7">
        <f>+VLOOKUP(A531,COMISIONES!$C$2:$C$33,1,0)</f>
        <v>20004566</v>
      </c>
    </row>
    <row r="532" spans="1:16">
      <c r="A532" s="98">
        <v>20002636</v>
      </c>
      <c r="B532" s="98">
        <v>1</v>
      </c>
      <c r="C532" s="98" t="s">
        <v>55</v>
      </c>
      <c r="D532" s="98"/>
      <c r="E532" s="137">
        <v>45078</v>
      </c>
      <c r="F532" s="98" t="s">
        <v>322</v>
      </c>
      <c r="G532" s="140" t="s">
        <v>323</v>
      </c>
      <c r="H532" s="98"/>
      <c r="I532" s="140" t="s">
        <v>368</v>
      </c>
      <c r="J532" s="98">
        <v>98007</v>
      </c>
      <c r="K532" s="98" t="s">
        <v>51</v>
      </c>
      <c r="L532" s="98" t="s">
        <v>80</v>
      </c>
      <c r="M532" s="98" t="s">
        <v>40</v>
      </c>
      <c r="N532" s="237">
        <f>+VLOOKUP(A532,COMISIONES!$C$2:$AR$33,42,0)</f>
        <v>15</v>
      </c>
      <c r="O532" s="53">
        <f t="shared" si="9"/>
        <v>15</v>
      </c>
      <c r="P532" s="7">
        <f>+VLOOKUP(A532,COMISIONES!$C$2:$C$33,1,0)</f>
        <v>20002636</v>
      </c>
    </row>
    <row r="533" spans="1:16">
      <c r="A533" s="98">
        <v>20000661</v>
      </c>
      <c r="B533" s="98">
        <v>1</v>
      </c>
      <c r="C533" s="98" t="s">
        <v>55</v>
      </c>
      <c r="D533" s="98"/>
      <c r="E533" s="137">
        <v>45078</v>
      </c>
      <c r="F533" s="98" t="s">
        <v>320</v>
      </c>
      <c r="G533" s="140" t="s">
        <v>321</v>
      </c>
      <c r="H533" s="98"/>
      <c r="I533" s="140" t="s">
        <v>369</v>
      </c>
      <c r="J533" s="98">
        <v>98013</v>
      </c>
      <c r="K533" s="98" t="s">
        <v>51</v>
      </c>
      <c r="L533" s="98" t="s">
        <v>80</v>
      </c>
      <c r="M533" s="98" t="s">
        <v>40</v>
      </c>
      <c r="N533" s="237">
        <f>+VLOOKUP(A533,COMISIONES!$C$2:$AR$33,42,0)</f>
        <v>15</v>
      </c>
      <c r="O533" s="53">
        <f t="shared" si="9"/>
        <v>15</v>
      </c>
      <c r="P533" s="7">
        <f>+VLOOKUP(A533,COMISIONES!$C$2:$C$33,1,0)</f>
        <v>20000661</v>
      </c>
    </row>
    <row r="534" spans="1:16">
      <c r="A534" s="98">
        <v>20004638</v>
      </c>
      <c r="B534" s="98">
        <v>1</v>
      </c>
      <c r="C534" s="98" t="s">
        <v>55</v>
      </c>
      <c r="D534" s="98"/>
      <c r="E534" s="137">
        <v>45078</v>
      </c>
      <c r="F534" s="98" t="s">
        <v>311</v>
      </c>
      <c r="G534" s="140" t="s">
        <v>312</v>
      </c>
      <c r="H534" s="98"/>
      <c r="I534" s="140" t="s">
        <v>370</v>
      </c>
      <c r="J534" s="98">
        <v>98009</v>
      </c>
      <c r="K534" s="98" t="s">
        <v>51</v>
      </c>
      <c r="L534" s="98" t="s">
        <v>80</v>
      </c>
      <c r="M534" s="98" t="s">
        <v>40</v>
      </c>
      <c r="N534" s="237">
        <f>+VLOOKUP(A534,COMISIONES!$C$2:$AR$33,42,0)</f>
        <v>10</v>
      </c>
      <c r="O534" s="53">
        <f t="shared" si="9"/>
        <v>10</v>
      </c>
      <c r="P534" s="7">
        <f>+VLOOKUP(A534,COMISIONES!$C$2:$C$33,1,0)</f>
        <v>20004638</v>
      </c>
    </row>
    <row r="535" spans="1:16">
      <c r="A535" s="98">
        <v>20002636</v>
      </c>
      <c r="B535" s="98">
        <v>1</v>
      </c>
      <c r="C535" s="98" t="s">
        <v>55</v>
      </c>
      <c r="D535" s="98"/>
      <c r="E535" s="137">
        <v>45078</v>
      </c>
      <c r="F535" s="98" t="s">
        <v>309</v>
      </c>
      <c r="G535" s="140" t="s">
        <v>310</v>
      </c>
      <c r="H535" s="98"/>
      <c r="I535" s="140" t="s">
        <v>371</v>
      </c>
      <c r="J535" s="98">
        <v>98007</v>
      </c>
      <c r="K535" s="98" t="s">
        <v>51</v>
      </c>
      <c r="L535" s="98" t="s">
        <v>80</v>
      </c>
      <c r="M535" s="98" t="s">
        <v>40</v>
      </c>
      <c r="N535" s="237">
        <f>+VLOOKUP(A535,COMISIONES!$C$2:$AR$33,42,0)</f>
        <v>15</v>
      </c>
      <c r="O535" s="53">
        <f t="shared" si="9"/>
        <v>15</v>
      </c>
      <c r="P535" s="7">
        <f>+VLOOKUP(A535,COMISIONES!$C$2:$C$33,1,0)</f>
        <v>20002636</v>
      </c>
    </row>
    <row r="536" spans="1:16">
      <c r="A536" s="98">
        <v>20004638</v>
      </c>
      <c r="B536" s="98">
        <v>1</v>
      </c>
      <c r="C536" s="98" t="s">
        <v>55</v>
      </c>
      <c r="D536" s="98"/>
      <c r="E536" s="137">
        <v>45078</v>
      </c>
      <c r="F536" s="98" t="s">
        <v>303</v>
      </c>
      <c r="G536" s="140" t="s">
        <v>304</v>
      </c>
      <c r="H536" s="98"/>
      <c r="I536" s="140" t="s">
        <v>372</v>
      </c>
      <c r="J536" s="98">
        <v>98009</v>
      </c>
      <c r="K536" s="98" t="s">
        <v>51</v>
      </c>
      <c r="L536" s="98" t="s">
        <v>80</v>
      </c>
      <c r="M536" s="98" t="s">
        <v>40</v>
      </c>
      <c r="N536" s="237">
        <f>+VLOOKUP(A536,COMISIONES!$C$2:$AR$33,42,0)</f>
        <v>10</v>
      </c>
      <c r="O536" s="53">
        <f t="shared" si="9"/>
        <v>10</v>
      </c>
      <c r="P536" s="7">
        <f>+VLOOKUP(A536,COMISIONES!$C$2:$C$33,1,0)</f>
        <v>20004638</v>
      </c>
    </row>
    <row r="537" spans="1:16">
      <c r="A537" s="98">
        <v>20001487</v>
      </c>
      <c r="B537" s="98">
        <v>1</v>
      </c>
      <c r="C537" s="98" t="s">
        <v>55</v>
      </c>
      <c r="D537" s="98"/>
      <c r="E537" s="137">
        <v>45078</v>
      </c>
      <c r="F537" s="98" t="s">
        <v>350</v>
      </c>
      <c r="G537" s="140" t="s">
        <v>339</v>
      </c>
      <c r="H537" s="98"/>
      <c r="I537" s="140" t="s">
        <v>373</v>
      </c>
      <c r="J537" s="98">
        <v>98003</v>
      </c>
      <c r="K537" s="98" t="s">
        <v>51</v>
      </c>
      <c r="L537" s="98" t="s">
        <v>80</v>
      </c>
      <c r="M537" s="98" t="s">
        <v>40</v>
      </c>
      <c r="N537" s="237">
        <f>+VLOOKUP(A537,COMISIONES!$C$2:$AR$33,42,0)</f>
        <v>30</v>
      </c>
      <c r="O537" s="53">
        <f t="shared" si="9"/>
        <v>30</v>
      </c>
      <c r="P537" s="7">
        <f>+VLOOKUP(A537,COMISIONES!$C$2:$C$33,1,0)</f>
        <v>20001487</v>
      </c>
    </row>
    <row r="538" spans="1:16">
      <c r="A538" s="98">
        <v>20008711</v>
      </c>
      <c r="B538" s="98">
        <v>1</v>
      </c>
      <c r="C538" s="98" t="s">
        <v>55</v>
      </c>
      <c r="D538" s="98"/>
      <c r="E538" s="137">
        <v>45078</v>
      </c>
      <c r="F538" s="98" t="s">
        <v>288</v>
      </c>
      <c r="G538" s="140" t="s">
        <v>289</v>
      </c>
      <c r="H538" s="98"/>
      <c r="I538" s="140" t="s">
        <v>374</v>
      </c>
      <c r="J538" s="98">
        <v>98055</v>
      </c>
      <c r="K538" s="98" t="s">
        <v>50</v>
      </c>
      <c r="L538" s="98" t="s">
        <v>80</v>
      </c>
      <c r="M538" s="98" t="s">
        <v>40</v>
      </c>
      <c r="N538" s="237">
        <f>+VLOOKUP(A538,COMISIONES!$C$2:$AR$33,42,0)</f>
        <v>15</v>
      </c>
      <c r="O538" s="53">
        <f t="shared" si="9"/>
        <v>15</v>
      </c>
      <c r="P538" s="7">
        <f>+VLOOKUP(A538,COMISIONES!$C$2:$C$33,1,0)</f>
        <v>20008711</v>
      </c>
    </row>
    <row r="539" spans="1:16">
      <c r="A539" s="98">
        <v>20010101</v>
      </c>
      <c r="B539" s="98">
        <v>1</v>
      </c>
      <c r="C539" s="98" t="s">
        <v>55</v>
      </c>
      <c r="D539" s="98"/>
      <c r="E539" s="137">
        <v>45078</v>
      </c>
      <c r="F539" s="98" t="s">
        <v>332</v>
      </c>
      <c r="G539" s="140" t="s">
        <v>333</v>
      </c>
      <c r="H539" s="98"/>
      <c r="I539" s="140" t="s">
        <v>375</v>
      </c>
      <c r="J539" s="98">
        <v>98072</v>
      </c>
      <c r="K539" s="98" t="s">
        <v>49</v>
      </c>
      <c r="L539" s="98" t="s">
        <v>80</v>
      </c>
      <c r="M539" s="98" t="s">
        <v>40</v>
      </c>
      <c r="N539" s="237">
        <f>+VLOOKUP(A539,COMISIONES!$C$2:$AR$33,42,0)</f>
        <v>30</v>
      </c>
      <c r="O539" s="53">
        <f t="shared" si="9"/>
        <v>30</v>
      </c>
      <c r="P539" s="7">
        <f>+VLOOKUP(A539,COMISIONES!$C$2:$C$33,1,0)</f>
        <v>20010101</v>
      </c>
    </row>
    <row r="540" spans="1:16">
      <c r="A540" s="98">
        <v>20010262</v>
      </c>
      <c r="B540" s="98">
        <v>1</v>
      </c>
      <c r="C540" s="98" t="s">
        <v>55</v>
      </c>
      <c r="D540" s="98"/>
      <c r="E540" s="137">
        <v>45078</v>
      </c>
      <c r="F540" s="98" t="s">
        <v>351</v>
      </c>
      <c r="G540" s="140" t="s">
        <v>340</v>
      </c>
      <c r="H540" s="98"/>
      <c r="I540" s="140" t="s">
        <v>376</v>
      </c>
      <c r="J540" s="98">
        <v>98073</v>
      </c>
      <c r="K540" s="98" t="s">
        <v>52</v>
      </c>
      <c r="L540" s="98" t="s">
        <v>80</v>
      </c>
      <c r="M540" s="98" t="s">
        <v>40</v>
      </c>
      <c r="N540" s="237">
        <f>+VLOOKUP(A540,COMISIONES!$C$2:$AR$33,42,0)</f>
        <v>15</v>
      </c>
      <c r="O540" s="53">
        <f t="shared" si="9"/>
        <v>15</v>
      </c>
      <c r="P540" s="7">
        <f>+VLOOKUP(A540,COMISIONES!$C$2:$C$33,1,0)</f>
        <v>20010262</v>
      </c>
    </row>
    <row r="541" spans="1:16">
      <c r="A541" s="98">
        <v>20006360</v>
      </c>
      <c r="B541" s="98">
        <v>1</v>
      </c>
      <c r="C541" s="98" t="s">
        <v>55</v>
      </c>
      <c r="D541" s="98"/>
      <c r="E541" s="137">
        <v>45078</v>
      </c>
      <c r="F541" s="98" t="s">
        <v>3760</v>
      </c>
      <c r="G541" s="140" t="s">
        <v>3679</v>
      </c>
      <c r="H541" s="98"/>
      <c r="I541" s="140" t="s">
        <v>3841</v>
      </c>
      <c r="J541" s="98">
        <v>98012</v>
      </c>
      <c r="K541" s="98" t="s">
        <v>50</v>
      </c>
      <c r="L541" s="98" t="s">
        <v>80</v>
      </c>
      <c r="M541" s="98" t="s">
        <v>40</v>
      </c>
      <c r="N541" s="237">
        <f>+VLOOKUP(A541,COMISIONES!$C$2:$AR$33,42,0)</f>
        <v>10</v>
      </c>
      <c r="O541" s="53">
        <f t="shared" si="9"/>
        <v>10</v>
      </c>
      <c r="P541" s="7">
        <f>+VLOOKUP(A541,COMISIONES!$C$2:$C$33,1,0)</f>
        <v>20006360</v>
      </c>
    </row>
    <row r="542" spans="1:16">
      <c r="A542" s="98">
        <v>20004638</v>
      </c>
      <c r="B542" s="98">
        <v>1</v>
      </c>
      <c r="C542" s="98" t="s">
        <v>55</v>
      </c>
      <c r="D542" s="98"/>
      <c r="E542" s="137">
        <v>45078</v>
      </c>
      <c r="F542" s="98" t="s">
        <v>3761</v>
      </c>
      <c r="G542" s="140" t="s">
        <v>3680</v>
      </c>
      <c r="H542" s="98"/>
      <c r="I542" s="140" t="s">
        <v>3842</v>
      </c>
      <c r="J542" s="98">
        <v>98009</v>
      </c>
      <c r="K542" s="98" t="s">
        <v>51</v>
      </c>
      <c r="L542" s="98" t="s">
        <v>80</v>
      </c>
      <c r="M542" s="98" t="s">
        <v>40</v>
      </c>
      <c r="N542" s="237">
        <f>+VLOOKUP(A542,COMISIONES!$C$2:$AR$33,42,0)</f>
        <v>10</v>
      </c>
      <c r="O542" s="53">
        <f t="shared" si="9"/>
        <v>10</v>
      </c>
      <c r="P542" s="7">
        <f>+VLOOKUP(A542,COMISIONES!$C$2:$C$33,1,0)</f>
        <v>20004638</v>
      </c>
    </row>
    <row r="543" spans="1:16">
      <c r="A543" s="98">
        <v>20002636</v>
      </c>
      <c r="B543" s="98">
        <v>1</v>
      </c>
      <c r="C543" s="98" t="s">
        <v>55</v>
      </c>
      <c r="D543" s="98"/>
      <c r="E543" s="137">
        <v>45078</v>
      </c>
      <c r="F543" s="98" t="s">
        <v>352</v>
      </c>
      <c r="G543" s="140" t="s">
        <v>341</v>
      </c>
      <c r="H543" s="98"/>
      <c r="I543" s="140" t="s">
        <v>377</v>
      </c>
      <c r="J543" s="98">
        <v>98007</v>
      </c>
      <c r="K543" s="98" t="s">
        <v>51</v>
      </c>
      <c r="L543" s="98" t="s">
        <v>80</v>
      </c>
      <c r="M543" s="98" t="s">
        <v>40</v>
      </c>
      <c r="N543" s="237">
        <f>+VLOOKUP(A543,COMISIONES!$C$2:$AR$33,42,0)</f>
        <v>15</v>
      </c>
      <c r="O543" s="53">
        <f t="shared" si="9"/>
        <v>15</v>
      </c>
      <c r="P543" s="7">
        <f>+VLOOKUP(A543,COMISIONES!$C$2:$C$33,1,0)</f>
        <v>20002636</v>
      </c>
    </row>
    <row r="544" spans="1:16">
      <c r="A544" s="98">
        <v>20000033</v>
      </c>
      <c r="B544" s="98">
        <v>1</v>
      </c>
      <c r="C544" s="98" t="s">
        <v>55</v>
      </c>
      <c r="D544" s="98"/>
      <c r="E544" s="137">
        <v>45078</v>
      </c>
      <c r="F544" s="98" t="s">
        <v>330</v>
      </c>
      <c r="G544" s="140" t="s">
        <v>331</v>
      </c>
      <c r="H544" s="98"/>
      <c r="I544" s="140" t="s">
        <v>378</v>
      </c>
      <c r="J544" s="98">
        <v>98000</v>
      </c>
      <c r="K544" s="98" t="s">
        <v>51</v>
      </c>
      <c r="L544" s="98" t="s">
        <v>80</v>
      </c>
      <c r="M544" s="98" t="s">
        <v>40</v>
      </c>
      <c r="N544" s="237">
        <f>+VLOOKUP(A544,COMISIONES!$C$2:$AR$33,42,0)</f>
        <v>15</v>
      </c>
      <c r="O544" s="53">
        <f t="shared" si="9"/>
        <v>15</v>
      </c>
      <c r="P544" s="7">
        <f>+VLOOKUP(A544,COMISIONES!$C$2:$C$33,1,0)</f>
        <v>20000033</v>
      </c>
    </row>
    <row r="545" spans="1:16">
      <c r="A545" s="98">
        <v>20000661</v>
      </c>
      <c r="B545" s="98">
        <v>1</v>
      </c>
      <c r="C545" s="98" t="s">
        <v>55</v>
      </c>
      <c r="D545" s="98"/>
      <c r="E545" s="137">
        <v>45078</v>
      </c>
      <c r="F545" s="98" t="s">
        <v>353</v>
      </c>
      <c r="G545" s="140" t="s">
        <v>342</v>
      </c>
      <c r="H545" s="98"/>
      <c r="I545" s="140" t="s">
        <v>379</v>
      </c>
      <c r="J545" s="98">
        <v>98013</v>
      </c>
      <c r="K545" s="98" t="s">
        <v>51</v>
      </c>
      <c r="L545" s="98" t="s">
        <v>80</v>
      </c>
      <c r="M545" s="98" t="s">
        <v>40</v>
      </c>
      <c r="N545" s="237">
        <f>+VLOOKUP(A545,COMISIONES!$C$2:$AR$33,42,0)</f>
        <v>15</v>
      </c>
      <c r="O545" s="53">
        <f t="shared" si="9"/>
        <v>15</v>
      </c>
      <c r="P545" s="7">
        <f>+VLOOKUP(A545,COMISIONES!$C$2:$C$33,1,0)</f>
        <v>20000661</v>
      </c>
    </row>
    <row r="546" spans="1:16">
      <c r="A546" s="98">
        <v>20006893</v>
      </c>
      <c r="B546" s="98">
        <v>1</v>
      </c>
      <c r="C546" s="98" t="s">
        <v>55</v>
      </c>
      <c r="D546" s="98"/>
      <c r="E546" s="137">
        <v>45078</v>
      </c>
      <c r="F546" s="98" t="s">
        <v>324</v>
      </c>
      <c r="G546" s="140" t="s">
        <v>325</v>
      </c>
      <c r="H546" s="98"/>
      <c r="I546" s="140" t="s">
        <v>380</v>
      </c>
      <c r="J546" s="98">
        <v>98071</v>
      </c>
      <c r="K546" s="98" t="s">
        <v>51</v>
      </c>
      <c r="L546" s="98" t="s">
        <v>80</v>
      </c>
      <c r="M546" s="98" t="s">
        <v>40</v>
      </c>
      <c r="N546" s="237">
        <f>+VLOOKUP(A546,COMISIONES!$C$2:$AR$33,42,0)</f>
        <v>15</v>
      </c>
      <c r="O546" s="53">
        <f t="shared" si="9"/>
        <v>15</v>
      </c>
      <c r="P546" s="7">
        <f>+VLOOKUP(A546,COMISIONES!$C$2:$C$33,1,0)</f>
        <v>20006893</v>
      </c>
    </row>
    <row r="547" spans="1:16">
      <c r="A547" s="98">
        <v>20002636</v>
      </c>
      <c r="B547" s="98">
        <v>1</v>
      </c>
      <c r="C547" s="98" t="s">
        <v>55</v>
      </c>
      <c r="D547" s="98"/>
      <c r="E547" s="137">
        <v>45078</v>
      </c>
      <c r="F547" s="98" t="s">
        <v>3762</v>
      </c>
      <c r="G547" s="140" t="s">
        <v>3681</v>
      </c>
      <c r="H547" s="98"/>
      <c r="I547" s="140" t="s">
        <v>3843</v>
      </c>
      <c r="J547" s="98">
        <v>98007</v>
      </c>
      <c r="K547" s="98" t="s">
        <v>51</v>
      </c>
      <c r="L547" s="98" t="s">
        <v>80</v>
      </c>
      <c r="M547" s="98" t="s">
        <v>40</v>
      </c>
      <c r="N547" s="237">
        <f>+VLOOKUP(A547,COMISIONES!$C$2:$AR$33,42,0)</f>
        <v>15</v>
      </c>
      <c r="O547" s="53">
        <f t="shared" si="9"/>
        <v>15</v>
      </c>
      <c r="P547" s="7">
        <f>+VLOOKUP(A547,COMISIONES!$C$2:$C$33,1,0)</f>
        <v>20002636</v>
      </c>
    </row>
    <row r="548" spans="1:16">
      <c r="A548" s="98">
        <v>20000661</v>
      </c>
      <c r="B548" s="98">
        <v>1</v>
      </c>
      <c r="C548" s="98" t="s">
        <v>55</v>
      </c>
      <c r="D548" s="98"/>
      <c r="E548" s="137">
        <v>45078</v>
      </c>
      <c r="F548" s="98" t="s">
        <v>354</v>
      </c>
      <c r="G548" s="140" t="s">
        <v>343</v>
      </c>
      <c r="H548" s="98"/>
      <c r="I548" s="140" t="s">
        <v>381</v>
      </c>
      <c r="J548" s="98">
        <v>98013</v>
      </c>
      <c r="K548" s="98" t="s">
        <v>51</v>
      </c>
      <c r="L548" s="98" t="s">
        <v>80</v>
      </c>
      <c r="M548" s="98" t="s">
        <v>40</v>
      </c>
      <c r="N548" s="237">
        <f>+VLOOKUP(A548,COMISIONES!$C$2:$AR$33,42,0)</f>
        <v>15</v>
      </c>
      <c r="O548" s="53">
        <f t="shared" si="9"/>
        <v>15</v>
      </c>
      <c r="P548" s="7">
        <f>+VLOOKUP(A548,COMISIONES!$C$2:$C$33,1,0)</f>
        <v>20000661</v>
      </c>
    </row>
    <row r="549" spans="1:16">
      <c r="A549" s="98">
        <v>20006360</v>
      </c>
      <c r="B549" s="98">
        <v>1</v>
      </c>
      <c r="C549" s="98" t="s">
        <v>55</v>
      </c>
      <c r="D549" s="98"/>
      <c r="E549" s="137">
        <v>45078</v>
      </c>
      <c r="F549" s="98" t="s">
        <v>318</v>
      </c>
      <c r="G549" s="140" t="s">
        <v>319</v>
      </c>
      <c r="H549" s="98"/>
      <c r="I549" s="140" t="s">
        <v>382</v>
      </c>
      <c r="J549" s="98">
        <v>98012</v>
      </c>
      <c r="K549" s="98" t="s">
        <v>50</v>
      </c>
      <c r="L549" s="98" t="s">
        <v>80</v>
      </c>
      <c r="M549" s="98" t="s">
        <v>40</v>
      </c>
      <c r="N549" s="237">
        <f>+VLOOKUP(A549,COMISIONES!$C$2:$AR$33,42,0)</f>
        <v>10</v>
      </c>
      <c r="O549" s="53">
        <f t="shared" si="9"/>
        <v>10</v>
      </c>
      <c r="P549" s="7">
        <f>+VLOOKUP(A549,COMISIONES!$C$2:$C$33,1,0)</f>
        <v>20006360</v>
      </c>
    </row>
    <row r="550" spans="1:16">
      <c r="A550" s="98">
        <v>20008625</v>
      </c>
      <c r="B550" s="98">
        <v>1</v>
      </c>
      <c r="C550" s="98" t="s">
        <v>55</v>
      </c>
      <c r="D550" s="98"/>
      <c r="E550" s="137">
        <v>45078</v>
      </c>
      <c r="F550" s="98" t="s">
        <v>3763</v>
      </c>
      <c r="G550" s="140" t="s">
        <v>3682</v>
      </c>
      <c r="H550" s="98"/>
      <c r="I550" s="140" t="s">
        <v>3844</v>
      </c>
      <c r="J550" s="98">
        <v>98053</v>
      </c>
      <c r="K550" s="98" t="s">
        <v>49</v>
      </c>
      <c r="L550" s="98" t="s">
        <v>80</v>
      </c>
      <c r="M550" s="98" t="s">
        <v>40</v>
      </c>
      <c r="N550" s="237">
        <f>+VLOOKUP(A550,COMISIONES!$C$2:$AR$33,42,0)</f>
        <v>10</v>
      </c>
      <c r="O550" s="53">
        <f t="shared" si="9"/>
        <v>10</v>
      </c>
      <c r="P550" s="7">
        <f>+VLOOKUP(A550,COMISIONES!$C$2:$C$33,1,0)</f>
        <v>20008625</v>
      </c>
    </row>
    <row r="551" spans="1:16">
      <c r="A551" s="98">
        <v>20004566</v>
      </c>
      <c r="B551" s="98">
        <v>1</v>
      </c>
      <c r="C551" s="98" t="s">
        <v>55</v>
      </c>
      <c r="D551" s="98"/>
      <c r="E551" s="137">
        <v>45078</v>
      </c>
      <c r="F551" s="98" t="s">
        <v>313</v>
      </c>
      <c r="G551" s="140" t="s">
        <v>314</v>
      </c>
      <c r="H551" s="98"/>
      <c r="I551" s="140" t="s">
        <v>383</v>
      </c>
      <c r="J551" s="98">
        <v>98023</v>
      </c>
      <c r="K551" s="98" t="s">
        <v>50</v>
      </c>
      <c r="L551" s="98" t="s">
        <v>80</v>
      </c>
      <c r="M551" s="98" t="s">
        <v>40</v>
      </c>
      <c r="N551" s="237">
        <f>+VLOOKUP(A551,COMISIONES!$C$2:$AR$33,42,0)</f>
        <v>20</v>
      </c>
      <c r="O551" s="53">
        <f t="shared" si="9"/>
        <v>20</v>
      </c>
      <c r="P551" s="7">
        <f>+VLOOKUP(A551,COMISIONES!$C$2:$C$33,1,0)</f>
        <v>20004566</v>
      </c>
    </row>
    <row r="552" spans="1:16">
      <c r="A552" s="98">
        <v>20000033</v>
      </c>
      <c r="B552" s="98">
        <v>1</v>
      </c>
      <c r="C552" s="98" t="s">
        <v>55</v>
      </c>
      <c r="D552" s="98"/>
      <c r="E552" s="137">
        <v>45078</v>
      </c>
      <c r="F552" s="98" t="s">
        <v>3764</v>
      </c>
      <c r="G552" s="140" t="s">
        <v>3683</v>
      </c>
      <c r="H552" s="98"/>
      <c r="I552" s="140" t="s">
        <v>3845</v>
      </c>
      <c r="J552" s="98">
        <v>98000</v>
      </c>
      <c r="K552" s="98" t="s">
        <v>51</v>
      </c>
      <c r="L552" s="98" t="s">
        <v>80</v>
      </c>
      <c r="M552" s="98" t="s">
        <v>40</v>
      </c>
      <c r="N552" s="237">
        <f>+VLOOKUP(A552,COMISIONES!$C$2:$AR$33,42,0)</f>
        <v>15</v>
      </c>
      <c r="O552" s="53">
        <f t="shared" si="9"/>
        <v>15</v>
      </c>
      <c r="P552" s="7">
        <f>+VLOOKUP(A552,COMISIONES!$C$2:$C$33,1,0)</f>
        <v>20000033</v>
      </c>
    </row>
    <row r="553" spans="1:16">
      <c r="A553" s="98">
        <v>20002636</v>
      </c>
      <c r="B553" s="98">
        <v>1</v>
      </c>
      <c r="C553" s="98" t="s">
        <v>55</v>
      </c>
      <c r="D553" s="98"/>
      <c r="E553" s="137">
        <v>45078</v>
      </c>
      <c r="F553" s="98" t="s">
        <v>3765</v>
      </c>
      <c r="G553" s="140" t="s">
        <v>3684</v>
      </c>
      <c r="H553" s="98"/>
      <c r="I553" s="140" t="s">
        <v>3846</v>
      </c>
      <c r="J553" s="98">
        <v>98007</v>
      </c>
      <c r="K553" s="98" t="s">
        <v>51</v>
      </c>
      <c r="L553" s="98" t="s">
        <v>80</v>
      </c>
      <c r="M553" s="98" t="s">
        <v>40</v>
      </c>
      <c r="N553" s="237">
        <f>+VLOOKUP(A553,COMISIONES!$C$2:$AR$33,42,0)</f>
        <v>15</v>
      </c>
      <c r="O553" s="53">
        <f t="shared" si="9"/>
        <v>15</v>
      </c>
      <c r="P553" s="7">
        <f>+VLOOKUP(A553,COMISIONES!$C$2:$C$33,1,0)</f>
        <v>20002636</v>
      </c>
    </row>
    <row r="554" spans="1:16">
      <c r="A554" s="98">
        <v>20004161</v>
      </c>
      <c r="B554" s="98">
        <v>1</v>
      </c>
      <c r="C554" s="98" t="s">
        <v>55</v>
      </c>
      <c r="D554" s="98"/>
      <c r="E554" s="137">
        <v>45078</v>
      </c>
      <c r="F554" s="98" t="s">
        <v>3766</v>
      </c>
      <c r="G554" s="140" t="s">
        <v>3685</v>
      </c>
      <c r="H554" s="98"/>
      <c r="I554" s="140" t="s">
        <v>3847</v>
      </c>
      <c r="J554" s="98">
        <v>98019</v>
      </c>
      <c r="K554" s="98" t="s">
        <v>49</v>
      </c>
      <c r="L554" s="98" t="s">
        <v>80</v>
      </c>
      <c r="M554" s="98" t="s">
        <v>40</v>
      </c>
      <c r="N554" s="237">
        <f>+VLOOKUP(A554,COMISIONES!$C$2:$AR$33,42,0)</f>
        <v>32.5</v>
      </c>
      <c r="O554" s="53">
        <f t="shared" si="9"/>
        <v>32.5</v>
      </c>
      <c r="P554" s="7">
        <f>+VLOOKUP(A554,COMISIONES!$C$2:$C$33,1,0)</f>
        <v>20004161</v>
      </c>
    </row>
    <row r="555" spans="1:16">
      <c r="A555" s="98">
        <v>20009174</v>
      </c>
      <c r="B555" s="98">
        <v>1</v>
      </c>
      <c r="C555" s="98" t="s">
        <v>55</v>
      </c>
      <c r="D555" s="98"/>
      <c r="E555" s="137">
        <v>45078</v>
      </c>
      <c r="F555" s="98" t="s">
        <v>3767</v>
      </c>
      <c r="G555" s="140" t="s">
        <v>3686</v>
      </c>
      <c r="H555" s="98"/>
      <c r="I555" s="140" t="s">
        <v>3848</v>
      </c>
      <c r="J555" s="98">
        <v>98064</v>
      </c>
      <c r="K555" s="98" t="s">
        <v>52</v>
      </c>
      <c r="L555" s="98" t="s">
        <v>80</v>
      </c>
      <c r="M555" s="98" t="s">
        <v>40</v>
      </c>
      <c r="N555" s="237">
        <f>+VLOOKUP(A555,COMISIONES!$C$2:$AR$33,42,0)</f>
        <v>20</v>
      </c>
      <c r="O555" s="53">
        <f t="shared" si="9"/>
        <v>20</v>
      </c>
      <c r="P555" s="7">
        <f>+VLOOKUP(A555,COMISIONES!$C$2:$C$33,1,0)</f>
        <v>20009174</v>
      </c>
    </row>
    <row r="556" spans="1:16">
      <c r="A556" s="98">
        <v>20007726</v>
      </c>
      <c r="B556" s="98">
        <v>1</v>
      </c>
      <c r="C556" s="98" t="s">
        <v>55</v>
      </c>
      <c r="D556" s="98"/>
      <c r="E556" s="137">
        <v>45078</v>
      </c>
      <c r="F556" s="98" t="s">
        <v>301</v>
      </c>
      <c r="G556" s="140" t="s">
        <v>302</v>
      </c>
      <c r="H556" s="98"/>
      <c r="I556" s="140" t="s">
        <v>384</v>
      </c>
      <c r="J556" s="98">
        <v>98051</v>
      </c>
      <c r="K556" s="98" t="s">
        <v>49</v>
      </c>
      <c r="L556" s="98" t="s">
        <v>80</v>
      </c>
      <c r="M556" s="98" t="s">
        <v>40</v>
      </c>
      <c r="N556" s="237">
        <f>+VLOOKUP(A556,COMISIONES!$C$2:$AR$33,42,0)</f>
        <v>30</v>
      </c>
      <c r="O556" s="53">
        <f t="shared" si="9"/>
        <v>30</v>
      </c>
      <c r="P556" s="7">
        <f>+VLOOKUP(A556,COMISIONES!$C$2:$C$33,1,0)</f>
        <v>20007726</v>
      </c>
    </row>
    <row r="557" spans="1:16">
      <c r="A557" s="98">
        <v>20009269</v>
      </c>
      <c r="B557" s="98">
        <v>1</v>
      </c>
      <c r="C557" s="98" t="s">
        <v>55</v>
      </c>
      <c r="D557" s="98"/>
      <c r="E557" s="137">
        <v>45078</v>
      </c>
      <c r="F557" s="98" t="s">
        <v>299</v>
      </c>
      <c r="G557" s="140" t="s">
        <v>300</v>
      </c>
      <c r="H557" s="98"/>
      <c r="I557" s="140" t="s">
        <v>385</v>
      </c>
      <c r="J557" s="98">
        <v>98065</v>
      </c>
      <c r="K557" s="98" t="s">
        <v>49</v>
      </c>
      <c r="L557" s="98" t="s">
        <v>80</v>
      </c>
      <c r="M557" s="98" t="s">
        <v>40</v>
      </c>
      <c r="N557" s="237">
        <f>+VLOOKUP(A557,COMISIONES!$C$2:$AR$33,42,0)</f>
        <v>30</v>
      </c>
      <c r="O557" s="53">
        <f t="shared" si="9"/>
        <v>30</v>
      </c>
      <c r="P557" s="7">
        <f>+VLOOKUP(A557,COMISIONES!$C$2:$C$33,1,0)</f>
        <v>20009269</v>
      </c>
    </row>
    <row r="558" spans="1:16">
      <c r="A558" s="98">
        <v>20007726</v>
      </c>
      <c r="B558" s="98">
        <v>1</v>
      </c>
      <c r="C558" s="98" t="s">
        <v>55</v>
      </c>
      <c r="D558" s="98"/>
      <c r="E558" s="137">
        <v>45078</v>
      </c>
      <c r="F558" s="98" t="s">
        <v>297</v>
      </c>
      <c r="G558" s="140" t="s">
        <v>298</v>
      </c>
      <c r="H558" s="98"/>
      <c r="I558" s="140" t="s">
        <v>386</v>
      </c>
      <c r="J558" s="98">
        <v>98051</v>
      </c>
      <c r="K558" s="98" t="s">
        <v>49</v>
      </c>
      <c r="L558" s="98" t="s">
        <v>80</v>
      </c>
      <c r="M558" s="98" t="s">
        <v>40</v>
      </c>
      <c r="N558" s="237">
        <f>+VLOOKUP(A558,COMISIONES!$C$2:$AR$33,42,0)</f>
        <v>30</v>
      </c>
      <c r="O558" s="53">
        <f t="shared" ref="O558:O575" si="10">N558*B558</f>
        <v>30</v>
      </c>
      <c r="P558" s="7">
        <f>+VLOOKUP(A558,COMISIONES!$C$2:$C$33,1,0)</f>
        <v>20007726</v>
      </c>
    </row>
    <row r="559" spans="1:16">
      <c r="A559" s="98">
        <v>20009690</v>
      </c>
      <c r="B559" s="98">
        <v>1</v>
      </c>
      <c r="C559" s="98" t="s">
        <v>55</v>
      </c>
      <c r="D559" s="98"/>
      <c r="E559" s="137">
        <v>45078</v>
      </c>
      <c r="F559" s="98" t="s">
        <v>3768</v>
      </c>
      <c r="G559" s="140" t="s">
        <v>3687</v>
      </c>
      <c r="H559" s="98"/>
      <c r="I559" s="140" t="s">
        <v>3849</v>
      </c>
      <c r="J559" s="98">
        <v>98068</v>
      </c>
      <c r="K559" s="98" t="s">
        <v>49</v>
      </c>
      <c r="L559" s="98" t="s">
        <v>80</v>
      </c>
      <c r="M559" s="98" t="s">
        <v>40</v>
      </c>
      <c r="N559" s="237">
        <f>+VLOOKUP(A559,COMISIONES!$C$2:$AR$33,42,0)</f>
        <v>30</v>
      </c>
      <c r="O559" s="53">
        <f t="shared" si="10"/>
        <v>30</v>
      </c>
      <c r="P559" s="7">
        <f>+VLOOKUP(A559,COMISIONES!$C$2:$C$33,1,0)</f>
        <v>20009690</v>
      </c>
    </row>
    <row r="560" spans="1:16">
      <c r="A560" s="98">
        <v>20010101</v>
      </c>
      <c r="B560" s="98">
        <v>1</v>
      </c>
      <c r="C560" s="98" t="s">
        <v>55</v>
      </c>
      <c r="D560" s="98"/>
      <c r="E560" s="137">
        <v>45078</v>
      </c>
      <c r="F560" s="98" t="s">
        <v>293</v>
      </c>
      <c r="G560" s="140" t="s">
        <v>294</v>
      </c>
      <c r="H560" s="98"/>
      <c r="I560" s="140" t="s">
        <v>387</v>
      </c>
      <c r="J560" s="98">
        <v>98072</v>
      </c>
      <c r="K560" s="98" t="s">
        <v>49</v>
      </c>
      <c r="L560" s="98" t="s">
        <v>80</v>
      </c>
      <c r="M560" s="98" t="s">
        <v>40</v>
      </c>
      <c r="N560" s="237">
        <f>+VLOOKUP(A560,COMISIONES!$C$2:$AR$33,42,0)</f>
        <v>30</v>
      </c>
      <c r="O560" s="53">
        <f t="shared" si="10"/>
        <v>30</v>
      </c>
      <c r="P560" s="7">
        <f>+VLOOKUP(A560,COMISIONES!$C$2:$C$33,1,0)</f>
        <v>20010101</v>
      </c>
    </row>
    <row r="561" spans="1:16">
      <c r="A561" s="98">
        <v>20010262</v>
      </c>
      <c r="B561" s="98">
        <v>1</v>
      </c>
      <c r="C561" s="98" t="s">
        <v>55</v>
      </c>
      <c r="D561" s="98"/>
      <c r="E561" s="137">
        <v>45078</v>
      </c>
      <c r="F561" s="98" t="s">
        <v>3769</v>
      </c>
      <c r="G561" s="140" t="s">
        <v>3688</v>
      </c>
      <c r="H561" s="98"/>
      <c r="I561" s="140" t="s">
        <v>3850</v>
      </c>
      <c r="J561" s="98">
        <v>98073</v>
      </c>
      <c r="K561" s="98" t="s">
        <v>52</v>
      </c>
      <c r="L561" s="98" t="s">
        <v>80</v>
      </c>
      <c r="M561" s="98" t="s">
        <v>40</v>
      </c>
      <c r="N561" s="237">
        <f>+VLOOKUP(A561,COMISIONES!$C$2:$AR$33,42,0)</f>
        <v>15</v>
      </c>
      <c r="O561" s="53">
        <f t="shared" si="10"/>
        <v>15</v>
      </c>
      <c r="P561" s="7">
        <f>+VLOOKUP(A561,COMISIONES!$C$2:$C$33,1,0)</f>
        <v>20010262</v>
      </c>
    </row>
    <row r="562" spans="1:16">
      <c r="A562" s="98">
        <v>20007943</v>
      </c>
      <c r="B562" s="98">
        <v>1</v>
      </c>
      <c r="C562" s="98" t="s">
        <v>55</v>
      </c>
      <c r="D562" s="98"/>
      <c r="E562" s="137">
        <v>45078</v>
      </c>
      <c r="F562" s="98" t="s">
        <v>3770</v>
      </c>
      <c r="G562" s="140" t="s">
        <v>3689</v>
      </c>
      <c r="H562" s="98"/>
      <c r="I562" s="140" t="s">
        <v>3851</v>
      </c>
      <c r="J562" s="98">
        <v>98077</v>
      </c>
      <c r="K562" s="98" t="s">
        <v>51</v>
      </c>
      <c r="L562" s="98" t="s">
        <v>80</v>
      </c>
      <c r="M562" s="98" t="s">
        <v>40</v>
      </c>
      <c r="N562" s="237">
        <f>+VLOOKUP(A562,COMISIONES!$C$2:$AR$33,42,0)</f>
        <v>10</v>
      </c>
      <c r="O562" s="53">
        <f t="shared" si="10"/>
        <v>10</v>
      </c>
      <c r="P562" s="7">
        <f>+VLOOKUP(A562,COMISIONES!$C$2:$C$33,1,0)</f>
        <v>20007943</v>
      </c>
    </row>
    <row r="563" spans="1:16">
      <c r="A563" s="98">
        <v>20009688</v>
      </c>
      <c r="B563" s="98">
        <v>1</v>
      </c>
      <c r="C563" s="98" t="s">
        <v>55</v>
      </c>
      <c r="D563" s="98"/>
      <c r="E563" s="137">
        <v>45078</v>
      </c>
      <c r="F563" s="98" t="s">
        <v>355</v>
      </c>
      <c r="G563" s="140" t="s">
        <v>344</v>
      </c>
      <c r="H563" s="98"/>
      <c r="I563" s="140" t="s">
        <v>388</v>
      </c>
      <c r="J563" s="98">
        <v>98075</v>
      </c>
      <c r="K563" s="98" t="s">
        <v>52</v>
      </c>
      <c r="L563" s="98" t="s">
        <v>80</v>
      </c>
      <c r="M563" s="98" t="s">
        <v>40</v>
      </c>
      <c r="N563" s="237">
        <f>+VLOOKUP(A563,COMISIONES!$C$2:$AR$33,42,0)</f>
        <v>15</v>
      </c>
      <c r="O563" s="53">
        <f t="shared" si="10"/>
        <v>15</v>
      </c>
      <c r="P563" s="7">
        <f>+VLOOKUP(A563,COMISIONES!$C$2:$C$33,1,0)</f>
        <v>20009688</v>
      </c>
    </row>
    <row r="564" spans="1:16">
      <c r="A564" s="98">
        <v>20010262</v>
      </c>
      <c r="B564" s="98">
        <v>1</v>
      </c>
      <c r="C564" s="98" t="s">
        <v>55</v>
      </c>
      <c r="D564" s="98"/>
      <c r="E564" s="137">
        <v>45078</v>
      </c>
      <c r="F564" s="98" t="s">
        <v>3064</v>
      </c>
      <c r="G564" s="140" t="s">
        <v>3690</v>
      </c>
      <c r="H564" s="98"/>
      <c r="I564" s="140" t="s">
        <v>3852</v>
      </c>
      <c r="J564" s="98">
        <v>98073</v>
      </c>
      <c r="K564" s="98" t="s">
        <v>52</v>
      </c>
      <c r="L564" s="98" t="s">
        <v>80</v>
      </c>
      <c r="M564" s="98" t="s">
        <v>40</v>
      </c>
      <c r="N564" s="237">
        <f>+VLOOKUP(A564,COMISIONES!$C$2:$AR$33,42,0)</f>
        <v>15</v>
      </c>
      <c r="O564" s="53">
        <f t="shared" si="10"/>
        <v>15</v>
      </c>
      <c r="P564" s="7">
        <f>+VLOOKUP(A564,COMISIONES!$C$2:$C$33,1,0)</f>
        <v>20010262</v>
      </c>
    </row>
    <row r="565" spans="1:16">
      <c r="A565" s="98">
        <v>20010101</v>
      </c>
      <c r="B565" s="98">
        <v>1</v>
      </c>
      <c r="C565" s="98" t="s">
        <v>55</v>
      </c>
      <c r="D565" s="98"/>
      <c r="E565" s="137">
        <v>45108</v>
      </c>
      <c r="F565" s="98" t="s">
        <v>400</v>
      </c>
      <c r="G565" s="140" t="s">
        <v>401</v>
      </c>
      <c r="H565" s="98"/>
      <c r="I565" s="140" t="s">
        <v>461</v>
      </c>
      <c r="J565" s="98">
        <v>98072</v>
      </c>
      <c r="K565" s="98" t="s">
        <v>49</v>
      </c>
      <c r="L565" s="98" t="s">
        <v>80</v>
      </c>
      <c r="M565" s="98" t="s">
        <v>40</v>
      </c>
      <c r="N565" s="237">
        <f>+VLOOKUP(A565,COMISIONES!$C$2:$AR$33,42,0)</f>
        <v>30</v>
      </c>
      <c r="O565" s="53">
        <f t="shared" si="10"/>
        <v>30</v>
      </c>
      <c r="P565" s="7">
        <f>+VLOOKUP(A565,COMISIONES!$C$2:$C$33,1,0)</f>
        <v>20010101</v>
      </c>
    </row>
    <row r="566" spans="1:16">
      <c r="A566" s="98">
        <v>20009592</v>
      </c>
      <c r="B566" s="98">
        <v>1</v>
      </c>
      <c r="C566" s="98" t="s">
        <v>55</v>
      </c>
      <c r="D566" s="98"/>
      <c r="E566" s="137">
        <v>45108</v>
      </c>
      <c r="F566" s="98" t="s">
        <v>403</v>
      </c>
      <c r="G566" s="140" t="s">
        <v>404</v>
      </c>
      <c r="H566" s="98"/>
      <c r="I566" s="140" t="s">
        <v>462</v>
      </c>
      <c r="J566" s="98">
        <v>98076</v>
      </c>
      <c r="K566" s="98" t="s">
        <v>52</v>
      </c>
      <c r="L566" s="98" t="s">
        <v>80</v>
      </c>
      <c r="M566" s="98" t="s">
        <v>40</v>
      </c>
      <c r="N566" s="237">
        <f>+VLOOKUP(A566,COMISIONES!$C$2:$AR$33,42,0)</f>
        <v>10</v>
      </c>
      <c r="O566" s="53">
        <f t="shared" si="10"/>
        <v>10</v>
      </c>
      <c r="P566" s="7">
        <f>+VLOOKUP(A566,COMISIONES!$C$2:$C$33,1,0)</f>
        <v>20009592</v>
      </c>
    </row>
    <row r="567" spans="1:16">
      <c r="A567" s="98">
        <v>20009688</v>
      </c>
      <c r="B567" s="98">
        <v>1</v>
      </c>
      <c r="C567" s="98" t="s">
        <v>55</v>
      </c>
      <c r="D567" s="98"/>
      <c r="E567" s="137">
        <v>45108</v>
      </c>
      <c r="F567" s="98" t="s">
        <v>405</v>
      </c>
      <c r="G567" s="140" t="s">
        <v>406</v>
      </c>
      <c r="H567" s="98"/>
      <c r="I567" s="140" t="s">
        <v>463</v>
      </c>
      <c r="J567" s="98">
        <v>98075</v>
      </c>
      <c r="K567" s="98" t="s">
        <v>52</v>
      </c>
      <c r="L567" s="98" t="s">
        <v>80</v>
      </c>
      <c r="M567" s="98" t="s">
        <v>40</v>
      </c>
      <c r="N567" s="237">
        <f>+VLOOKUP(A567,COMISIONES!$C$2:$AR$33,42,0)</f>
        <v>15</v>
      </c>
      <c r="O567" s="53">
        <f t="shared" si="10"/>
        <v>15</v>
      </c>
      <c r="P567" s="7">
        <f>+VLOOKUP(A567,COMISIONES!$C$2:$C$33,1,0)</f>
        <v>20009688</v>
      </c>
    </row>
    <row r="568" spans="1:16">
      <c r="A568" s="98">
        <v>20007726</v>
      </c>
      <c r="B568" s="98">
        <v>1</v>
      </c>
      <c r="C568" s="98" t="s">
        <v>55</v>
      </c>
      <c r="D568" s="98"/>
      <c r="E568" s="137">
        <v>45108</v>
      </c>
      <c r="F568" s="98" t="s">
        <v>407</v>
      </c>
      <c r="G568" s="140" t="s">
        <v>408</v>
      </c>
      <c r="H568" s="98"/>
      <c r="I568" s="140" t="s">
        <v>464</v>
      </c>
      <c r="J568" s="98">
        <v>98051</v>
      </c>
      <c r="K568" s="98" t="s">
        <v>49</v>
      </c>
      <c r="L568" s="98" t="s">
        <v>80</v>
      </c>
      <c r="M568" s="98" t="s">
        <v>40</v>
      </c>
      <c r="N568" s="237">
        <f>+VLOOKUP(A568,COMISIONES!$C$2:$AR$33,42,0)</f>
        <v>30</v>
      </c>
      <c r="O568" s="53">
        <f t="shared" si="10"/>
        <v>30</v>
      </c>
      <c r="P568" s="7">
        <f>+VLOOKUP(A568,COMISIONES!$C$2:$C$33,1,0)</f>
        <v>20007726</v>
      </c>
    </row>
    <row r="569" spans="1:16">
      <c r="A569" s="98">
        <v>20001487</v>
      </c>
      <c r="B569" s="98">
        <v>1</v>
      </c>
      <c r="C569" s="98" t="s">
        <v>55</v>
      </c>
      <c r="D569" s="98"/>
      <c r="E569" s="137">
        <v>45108</v>
      </c>
      <c r="F569" s="98" t="s">
        <v>459</v>
      </c>
      <c r="G569" s="140" t="s">
        <v>456</v>
      </c>
      <c r="H569" s="98"/>
      <c r="I569" s="140" t="s">
        <v>465</v>
      </c>
      <c r="J569" s="98">
        <v>98003</v>
      </c>
      <c r="K569" s="98" t="s">
        <v>51</v>
      </c>
      <c r="L569" s="98" t="s">
        <v>80</v>
      </c>
      <c r="M569" s="98" t="s">
        <v>40</v>
      </c>
      <c r="N569" s="237">
        <f>+VLOOKUP(A569,COMISIONES!$C$2:$AR$33,42,0)</f>
        <v>30</v>
      </c>
      <c r="O569" s="53">
        <f t="shared" si="10"/>
        <v>30</v>
      </c>
      <c r="P569" s="7">
        <f>+VLOOKUP(A569,COMISIONES!$C$2:$C$33,1,0)</f>
        <v>20001487</v>
      </c>
    </row>
    <row r="570" spans="1:16">
      <c r="A570" s="98">
        <v>20000033</v>
      </c>
      <c r="B570" s="98">
        <v>1</v>
      </c>
      <c r="C570" s="98" t="s">
        <v>55</v>
      </c>
      <c r="D570" s="98"/>
      <c r="E570" s="137">
        <v>45108</v>
      </c>
      <c r="F570" s="98" t="s">
        <v>411</v>
      </c>
      <c r="G570" s="140" t="s">
        <v>412</v>
      </c>
      <c r="H570" s="98"/>
      <c r="I570" s="140" t="s">
        <v>466</v>
      </c>
      <c r="J570" s="98">
        <v>98000</v>
      </c>
      <c r="K570" s="98" t="s">
        <v>51</v>
      </c>
      <c r="L570" s="98" t="s">
        <v>80</v>
      </c>
      <c r="M570" s="98" t="s">
        <v>40</v>
      </c>
      <c r="N570" s="237">
        <f>+VLOOKUP(A570,COMISIONES!$C$2:$AR$33,42,0)</f>
        <v>15</v>
      </c>
      <c r="O570" s="53">
        <f t="shared" si="10"/>
        <v>15</v>
      </c>
      <c r="P570" s="7">
        <f>+VLOOKUP(A570,COMISIONES!$C$2:$C$33,1,0)</f>
        <v>20000033</v>
      </c>
    </row>
    <row r="571" spans="1:16">
      <c r="A571" s="98">
        <v>20006162</v>
      </c>
      <c r="B571" s="98">
        <v>1</v>
      </c>
      <c r="C571" s="98" t="s">
        <v>55</v>
      </c>
      <c r="D571" s="98"/>
      <c r="E571" s="137">
        <v>45108</v>
      </c>
      <c r="F571" s="98" t="s">
        <v>414</v>
      </c>
      <c r="G571" s="140" t="s">
        <v>415</v>
      </c>
      <c r="H571" s="98"/>
      <c r="I571" s="140" t="s">
        <v>467</v>
      </c>
      <c r="J571" s="98">
        <v>98069</v>
      </c>
      <c r="K571" s="98" t="s">
        <v>50</v>
      </c>
      <c r="L571" s="98" t="s">
        <v>80</v>
      </c>
      <c r="M571" s="98" t="s">
        <v>40</v>
      </c>
      <c r="N571" s="237">
        <f>+VLOOKUP(A571,COMISIONES!$C$2:$AR$33,42,0)</f>
        <v>20</v>
      </c>
      <c r="O571" s="53">
        <f t="shared" si="10"/>
        <v>20</v>
      </c>
      <c r="P571" s="7">
        <f>+VLOOKUP(A571,COMISIONES!$C$2:$C$33,1,0)</f>
        <v>20006162</v>
      </c>
    </row>
    <row r="572" spans="1:16">
      <c r="A572" s="98">
        <v>20010604</v>
      </c>
      <c r="B572" s="98">
        <v>1</v>
      </c>
      <c r="C572" s="98" t="s">
        <v>55</v>
      </c>
      <c r="D572" s="98"/>
      <c r="E572" s="137">
        <v>45108</v>
      </c>
      <c r="F572" s="98" t="s">
        <v>416</v>
      </c>
      <c r="G572" s="140" t="s">
        <v>417</v>
      </c>
      <c r="H572" s="98"/>
      <c r="I572" s="140" t="s">
        <v>468</v>
      </c>
      <c r="J572" s="98">
        <v>98078</v>
      </c>
      <c r="K572" s="98" t="s">
        <v>50</v>
      </c>
      <c r="L572" s="98" t="s">
        <v>80</v>
      </c>
      <c r="M572" s="98" t="s">
        <v>40</v>
      </c>
      <c r="N572" s="237">
        <f>+VLOOKUP(A572,COMISIONES!$C$2:$AR$33,42,0)</f>
        <v>10</v>
      </c>
      <c r="O572" s="53">
        <f t="shared" si="10"/>
        <v>10</v>
      </c>
      <c r="P572" s="7">
        <f>+VLOOKUP(A572,COMISIONES!$C$2:$C$33,1,0)</f>
        <v>20010604</v>
      </c>
    </row>
    <row r="573" spans="1:16">
      <c r="A573" s="98">
        <v>20009174</v>
      </c>
      <c r="B573" s="98">
        <v>1</v>
      </c>
      <c r="C573" s="98" t="s">
        <v>55</v>
      </c>
      <c r="D573" s="98"/>
      <c r="E573" s="137">
        <v>45108</v>
      </c>
      <c r="F573" s="98" t="s">
        <v>418</v>
      </c>
      <c r="G573" s="140" t="s">
        <v>419</v>
      </c>
      <c r="H573" s="98"/>
      <c r="I573" s="140" t="s">
        <v>469</v>
      </c>
      <c r="J573" s="98">
        <v>98064</v>
      </c>
      <c r="K573" s="98" t="s">
        <v>52</v>
      </c>
      <c r="L573" s="98" t="s">
        <v>80</v>
      </c>
      <c r="M573" s="98" t="s">
        <v>40</v>
      </c>
      <c r="N573" s="237">
        <f>+VLOOKUP(A573,COMISIONES!$C$2:$AR$33,42,0)</f>
        <v>20</v>
      </c>
      <c r="O573" s="53">
        <f t="shared" si="10"/>
        <v>20</v>
      </c>
      <c r="P573" s="7">
        <f>+VLOOKUP(A573,COMISIONES!$C$2:$C$33,1,0)</f>
        <v>20009174</v>
      </c>
    </row>
    <row r="574" spans="1:16">
      <c r="A574" s="98">
        <v>20010604</v>
      </c>
      <c r="B574" s="98">
        <v>1</v>
      </c>
      <c r="C574" s="98" t="s">
        <v>55</v>
      </c>
      <c r="D574" s="98"/>
      <c r="E574" s="137">
        <v>45108</v>
      </c>
      <c r="F574" s="98" t="s">
        <v>422</v>
      </c>
      <c r="G574" s="140" t="s">
        <v>423</v>
      </c>
      <c r="H574" s="98"/>
      <c r="I574" s="140" t="s">
        <v>470</v>
      </c>
      <c r="J574" s="98">
        <v>98078</v>
      </c>
      <c r="K574" s="98" t="s">
        <v>50</v>
      </c>
      <c r="L574" s="98" t="s">
        <v>80</v>
      </c>
      <c r="M574" s="98" t="s">
        <v>40</v>
      </c>
      <c r="N574" s="237">
        <f>+VLOOKUP(A574,COMISIONES!$C$2:$AR$33,42,0)</f>
        <v>10</v>
      </c>
      <c r="O574" s="53">
        <f t="shared" si="10"/>
        <v>10</v>
      </c>
      <c r="P574" s="7">
        <f>+VLOOKUP(A574,COMISIONES!$C$2:$C$33,1,0)</f>
        <v>20010604</v>
      </c>
    </row>
    <row r="575" spans="1:16">
      <c r="A575" s="98">
        <v>20009592</v>
      </c>
      <c r="B575" s="98">
        <v>1</v>
      </c>
      <c r="C575" s="98" t="s">
        <v>55</v>
      </c>
      <c r="D575" s="98"/>
      <c r="E575" s="137">
        <v>45108</v>
      </c>
      <c r="F575" s="98" t="s">
        <v>420</v>
      </c>
      <c r="G575" s="140" t="s">
        <v>421</v>
      </c>
      <c r="H575" s="98"/>
      <c r="I575" s="140" t="s">
        <v>471</v>
      </c>
      <c r="J575" s="98">
        <v>98076</v>
      </c>
      <c r="K575" s="98" t="s">
        <v>52</v>
      </c>
      <c r="L575" s="98" t="s">
        <v>80</v>
      </c>
      <c r="M575" s="98" t="s">
        <v>40</v>
      </c>
      <c r="N575" s="237">
        <f>+VLOOKUP(A575,COMISIONES!$C$2:$AR$33,42,0)</f>
        <v>10</v>
      </c>
      <c r="O575" s="53">
        <f t="shared" si="10"/>
        <v>10</v>
      </c>
      <c r="P575" s="7">
        <f>+VLOOKUP(A575,COMISIONES!$C$2:$C$33,1,0)</f>
        <v>20009592</v>
      </c>
    </row>
    <row r="576" spans="1:16">
      <c r="A576" s="98">
        <v>20001487</v>
      </c>
      <c r="B576" s="98">
        <v>1</v>
      </c>
      <c r="C576" s="98" t="s">
        <v>55</v>
      </c>
      <c r="D576" s="98"/>
      <c r="E576" s="137">
        <v>45108</v>
      </c>
      <c r="F576" s="98" t="s">
        <v>424</v>
      </c>
      <c r="G576" s="140" t="s">
        <v>425</v>
      </c>
      <c r="H576" s="98"/>
      <c r="I576" s="140" t="s">
        <v>472</v>
      </c>
      <c r="J576" s="98">
        <v>98003</v>
      </c>
      <c r="K576" s="98" t="s">
        <v>51</v>
      </c>
      <c r="L576" s="98" t="s">
        <v>80</v>
      </c>
      <c r="M576" s="98" t="s">
        <v>40</v>
      </c>
      <c r="N576" s="237">
        <f>+VLOOKUP(A576,COMISIONES!$C$2:$AR$33,42,0)</f>
        <v>30</v>
      </c>
      <c r="O576" s="53">
        <f t="shared" ref="O576:O588" si="11">N576*B576</f>
        <v>30</v>
      </c>
      <c r="P576" s="7">
        <f>+VLOOKUP(A576,COMISIONES!$C$2:$C$33,1,0)</f>
        <v>20001487</v>
      </c>
    </row>
    <row r="577" spans="1:16">
      <c r="A577" s="98">
        <v>20009690</v>
      </c>
      <c r="B577" s="98">
        <v>1</v>
      </c>
      <c r="C577" s="98" t="s">
        <v>55</v>
      </c>
      <c r="D577" s="98"/>
      <c r="E577" s="137">
        <v>45108</v>
      </c>
      <c r="F577" s="98" t="s">
        <v>430</v>
      </c>
      <c r="G577" s="140" t="s">
        <v>431</v>
      </c>
      <c r="H577" s="98"/>
      <c r="I577" s="140" t="s">
        <v>473</v>
      </c>
      <c r="J577" s="98">
        <v>98068</v>
      </c>
      <c r="K577" s="98" t="s">
        <v>49</v>
      </c>
      <c r="L577" s="98" t="s">
        <v>80</v>
      </c>
      <c r="M577" s="98" t="s">
        <v>40</v>
      </c>
      <c r="N577" s="237">
        <f>+VLOOKUP(A577,COMISIONES!$C$2:$AR$33,42,0)</f>
        <v>30</v>
      </c>
      <c r="O577" s="53">
        <f t="shared" si="11"/>
        <v>30</v>
      </c>
      <c r="P577" s="7">
        <f>+VLOOKUP(A577,COMISIONES!$C$2:$C$33,1,0)</f>
        <v>20009690</v>
      </c>
    </row>
    <row r="578" spans="1:16">
      <c r="A578" s="98">
        <v>20010101</v>
      </c>
      <c r="B578" s="98">
        <v>1</v>
      </c>
      <c r="C578" s="98" t="s">
        <v>55</v>
      </c>
      <c r="D578" s="98"/>
      <c r="E578" s="137">
        <v>45108</v>
      </c>
      <c r="F578" s="98" t="s">
        <v>428</v>
      </c>
      <c r="G578" s="140" t="s">
        <v>429</v>
      </c>
      <c r="H578" s="98"/>
      <c r="I578" s="140" t="s">
        <v>474</v>
      </c>
      <c r="J578" s="98">
        <v>98072</v>
      </c>
      <c r="K578" s="98" t="s">
        <v>49</v>
      </c>
      <c r="L578" s="98" t="s">
        <v>80</v>
      </c>
      <c r="M578" s="98" t="s">
        <v>40</v>
      </c>
      <c r="N578" s="237">
        <f>+VLOOKUP(A578,COMISIONES!$C$2:$AR$33,42,0)</f>
        <v>30</v>
      </c>
      <c r="O578" s="53">
        <f t="shared" si="11"/>
        <v>30</v>
      </c>
      <c r="P578" s="7">
        <f>+VLOOKUP(A578,COMISIONES!$C$2:$C$33,1,0)</f>
        <v>20010101</v>
      </c>
    </row>
    <row r="579" spans="1:16">
      <c r="A579" s="98">
        <v>20000033</v>
      </c>
      <c r="B579" s="98">
        <v>1</v>
      </c>
      <c r="C579" s="98" t="s">
        <v>55</v>
      </c>
      <c r="D579" s="98"/>
      <c r="E579" s="137">
        <v>45108</v>
      </c>
      <c r="F579" s="98" t="s">
        <v>432</v>
      </c>
      <c r="G579" s="140" t="s">
        <v>433</v>
      </c>
      <c r="H579" s="98"/>
      <c r="I579" s="140" t="s">
        <v>475</v>
      </c>
      <c r="J579" s="98">
        <v>98000</v>
      </c>
      <c r="K579" s="98" t="s">
        <v>51</v>
      </c>
      <c r="L579" s="98" t="s">
        <v>80</v>
      </c>
      <c r="M579" s="98" t="s">
        <v>40</v>
      </c>
      <c r="N579" s="237">
        <f>+VLOOKUP(A579,COMISIONES!$C$2:$AR$33,42,0)</f>
        <v>15</v>
      </c>
      <c r="O579" s="53">
        <f t="shared" si="11"/>
        <v>15</v>
      </c>
      <c r="P579" s="7">
        <f>+VLOOKUP(A579,COMISIONES!$C$2:$C$33,1,0)</f>
        <v>20000033</v>
      </c>
    </row>
    <row r="580" spans="1:16">
      <c r="A580" s="98">
        <v>20002636</v>
      </c>
      <c r="B580" s="98">
        <v>1</v>
      </c>
      <c r="C580" s="98" t="s">
        <v>55</v>
      </c>
      <c r="D580" s="98"/>
      <c r="E580" s="137">
        <v>45108</v>
      </c>
      <c r="F580" s="98" t="s">
        <v>434</v>
      </c>
      <c r="G580" s="140" t="s">
        <v>435</v>
      </c>
      <c r="H580" s="98"/>
      <c r="I580" s="140" t="s">
        <v>476</v>
      </c>
      <c r="J580" s="98">
        <v>98007</v>
      </c>
      <c r="K580" s="98" t="s">
        <v>51</v>
      </c>
      <c r="L580" s="98" t="s">
        <v>80</v>
      </c>
      <c r="M580" s="98" t="s">
        <v>40</v>
      </c>
      <c r="N580" s="237">
        <f>+VLOOKUP(A580,COMISIONES!$C$2:$AR$33,42,0)</f>
        <v>15</v>
      </c>
      <c r="O580" s="53">
        <f t="shared" si="11"/>
        <v>15</v>
      </c>
      <c r="P580" s="7">
        <f>+VLOOKUP(A580,COMISIONES!$C$2:$C$33,1,0)</f>
        <v>20002636</v>
      </c>
    </row>
    <row r="581" spans="1:16">
      <c r="A581" s="98">
        <v>20010604</v>
      </c>
      <c r="B581" s="98">
        <v>1</v>
      </c>
      <c r="C581" s="98" t="s">
        <v>55</v>
      </c>
      <c r="D581" s="98"/>
      <c r="E581" s="137">
        <v>45108</v>
      </c>
      <c r="F581" s="98" t="s">
        <v>438</v>
      </c>
      <c r="G581" s="140" t="s">
        <v>458</v>
      </c>
      <c r="H581" s="98"/>
      <c r="I581" s="140" t="s">
        <v>477</v>
      </c>
      <c r="J581" s="98">
        <v>98078</v>
      </c>
      <c r="K581" s="98" t="s">
        <v>50</v>
      </c>
      <c r="L581" s="98" t="s">
        <v>80</v>
      </c>
      <c r="M581" s="98" t="s">
        <v>40</v>
      </c>
      <c r="N581" s="237">
        <f>+VLOOKUP(A581,COMISIONES!$C$2:$AR$33,42,0)</f>
        <v>10</v>
      </c>
      <c r="O581" s="53">
        <f t="shared" si="11"/>
        <v>10</v>
      </c>
      <c r="P581" s="7">
        <f>+VLOOKUP(A581,COMISIONES!$C$2:$C$33,1,0)</f>
        <v>20010604</v>
      </c>
    </row>
    <row r="582" spans="1:16">
      <c r="A582" s="98">
        <v>20008625</v>
      </c>
      <c r="B582" s="98">
        <v>1</v>
      </c>
      <c r="C582" s="98" t="s">
        <v>55</v>
      </c>
      <c r="D582" s="98"/>
      <c r="E582" s="137">
        <v>45108</v>
      </c>
      <c r="F582" s="98" t="s">
        <v>436</v>
      </c>
      <c r="G582" s="140" t="s">
        <v>437</v>
      </c>
      <c r="H582" s="98"/>
      <c r="I582" s="140" t="s">
        <v>478</v>
      </c>
      <c r="J582" s="98">
        <v>98053</v>
      </c>
      <c r="K582" s="98" t="s">
        <v>49</v>
      </c>
      <c r="L582" s="98" t="s">
        <v>80</v>
      </c>
      <c r="M582" s="98" t="s">
        <v>40</v>
      </c>
      <c r="N582" s="237">
        <f>+VLOOKUP(A582,COMISIONES!$C$2:$AR$33,42,0)</f>
        <v>10</v>
      </c>
      <c r="O582" s="53">
        <f t="shared" si="11"/>
        <v>10</v>
      </c>
      <c r="P582" s="7">
        <f>+VLOOKUP(A582,COMISIONES!$C$2:$C$33,1,0)</f>
        <v>20008625</v>
      </c>
    </row>
    <row r="583" spans="1:16">
      <c r="A583" s="98">
        <v>20000033</v>
      </c>
      <c r="B583" s="98">
        <v>1</v>
      </c>
      <c r="C583" s="98" t="s">
        <v>55</v>
      </c>
      <c r="D583" s="98"/>
      <c r="E583" s="137">
        <v>45108</v>
      </c>
      <c r="F583" s="98" t="s">
        <v>441</v>
      </c>
      <c r="G583" s="140" t="s">
        <v>442</v>
      </c>
      <c r="H583" s="98"/>
      <c r="I583" s="140" t="s">
        <v>479</v>
      </c>
      <c r="J583" s="98">
        <v>98000</v>
      </c>
      <c r="K583" s="98" t="s">
        <v>51</v>
      </c>
      <c r="L583" s="98" t="s">
        <v>80</v>
      </c>
      <c r="M583" s="98" t="s">
        <v>40</v>
      </c>
      <c r="N583" s="237">
        <f>+VLOOKUP(A583,COMISIONES!$C$2:$AR$33,42,0)</f>
        <v>15</v>
      </c>
      <c r="O583" s="53">
        <f t="shared" si="11"/>
        <v>15</v>
      </c>
      <c r="P583" s="7">
        <f>+VLOOKUP(A583,COMISIONES!$C$2:$C$33,1,0)</f>
        <v>20000033</v>
      </c>
    </row>
    <row r="584" spans="1:16">
      <c r="A584" s="98">
        <v>20004161</v>
      </c>
      <c r="B584" s="98">
        <v>1</v>
      </c>
      <c r="C584" s="98" t="s">
        <v>55</v>
      </c>
      <c r="D584" s="98"/>
      <c r="E584" s="137">
        <v>45108</v>
      </c>
      <c r="F584" s="98" t="s">
        <v>439</v>
      </c>
      <c r="G584" s="140" t="s">
        <v>440</v>
      </c>
      <c r="H584" s="98"/>
      <c r="I584" s="140" t="s">
        <v>480</v>
      </c>
      <c r="J584" s="98">
        <v>98019</v>
      </c>
      <c r="K584" s="98" t="s">
        <v>49</v>
      </c>
      <c r="L584" s="98" t="s">
        <v>80</v>
      </c>
      <c r="M584" s="98" t="s">
        <v>40</v>
      </c>
      <c r="N584" s="237">
        <f>+VLOOKUP(A584,COMISIONES!$C$2:$AR$33,42,0)</f>
        <v>32.5</v>
      </c>
      <c r="O584" s="53">
        <f t="shared" si="11"/>
        <v>32.5</v>
      </c>
      <c r="P584" s="7">
        <f>+VLOOKUP(A584,COMISIONES!$C$2:$C$33,1,0)</f>
        <v>20004161</v>
      </c>
    </row>
    <row r="585" spans="1:16">
      <c r="A585" s="98">
        <v>20001487</v>
      </c>
      <c r="B585" s="98">
        <v>1</v>
      </c>
      <c r="C585" s="98" t="s">
        <v>55</v>
      </c>
      <c r="D585" s="98"/>
      <c r="E585" s="137">
        <v>45108</v>
      </c>
      <c r="F585" s="98" t="s">
        <v>443</v>
      </c>
      <c r="G585" s="140" t="s">
        <v>444</v>
      </c>
      <c r="H585" s="98"/>
      <c r="I585" s="140" t="s">
        <v>481</v>
      </c>
      <c r="J585" s="98">
        <v>98003</v>
      </c>
      <c r="K585" s="98" t="s">
        <v>51</v>
      </c>
      <c r="L585" s="98" t="s">
        <v>80</v>
      </c>
      <c r="M585" s="98" t="s">
        <v>40</v>
      </c>
      <c r="N585" s="237">
        <f>+VLOOKUP(A585,COMISIONES!$C$2:$AR$33,42,0)</f>
        <v>30</v>
      </c>
      <c r="O585" s="53">
        <f t="shared" si="11"/>
        <v>30</v>
      </c>
      <c r="P585" s="7">
        <f>+VLOOKUP(A585,COMISIONES!$C$2:$C$33,1,0)</f>
        <v>20001487</v>
      </c>
    </row>
    <row r="586" spans="1:16">
      <c r="A586" s="98">
        <v>20000033</v>
      </c>
      <c r="B586" s="98">
        <v>1</v>
      </c>
      <c r="C586" s="98" t="s">
        <v>55</v>
      </c>
      <c r="D586" s="98"/>
      <c r="E586" s="137">
        <v>45108</v>
      </c>
      <c r="F586" s="98" t="s">
        <v>445</v>
      </c>
      <c r="G586" s="140" t="s">
        <v>446</v>
      </c>
      <c r="H586" s="98"/>
      <c r="I586" s="140" t="s">
        <v>482</v>
      </c>
      <c r="J586" s="98">
        <v>98000</v>
      </c>
      <c r="K586" s="98" t="s">
        <v>51</v>
      </c>
      <c r="L586" s="98" t="s">
        <v>80</v>
      </c>
      <c r="M586" s="98" t="s">
        <v>40</v>
      </c>
      <c r="N586" s="237">
        <f>+VLOOKUP(A586,COMISIONES!$C$2:$AR$33,42,0)</f>
        <v>15</v>
      </c>
      <c r="O586" s="53">
        <f t="shared" si="11"/>
        <v>15</v>
      </c>
      <c r="P586" s="7">
        <f>+VLOOKUP(A586,COMISIONES!$C$2:$C$33,1,0)</f>
        <v>20000033</v>
      </c>
    </row>
    <row r="587" spans="1:16">
      <c r="A587" s="98">
        <v>20009690</v>
      </c>
      <c r="B587" s="98">
        <v>1</v>
      </c>
      <c r="C587" s="98" t="s">
        <v>55</v>
      </c>
      <c r="D587" s="98"/>
      <c r="E587" s="137">
        <v>45108</v>
      </c>
      <c r="F587" s="98" t="s">
        <v>447</v>
      </c>
      <c r="G587" s="140" t="s">
        <v>448</v>
      </c>
      <c r="H587" s="98"/>
      <c r="I587" s="140" t="s">
        <v>483</v>
      </c>
      <c r="J587" s="98">
        <v>98068</v>
      </c>
      <c r="K587" s="98" t="s">
        <v>49</v>
      </c>
      <c r="L587" s="98" t="s">
        <v>80</v>
      </c>
      <c r="M587" s="98" t="s">
        <v>40</v>
      </c>
      <c r="N587" s="237">
        <f>+VLOOKUP(A587,COMISIONES!$C$2:$AR$33,42,0)</f>
        <v>30</v>
      </c>
      <c r="O587" s="53">
        <f t="shared" si="11"/>
        <v>30</v>
      </c>
      <c r="P587" s="7">
        <f>+VLOOKUP(A587,COMISIONES!$C$2:$C$33,1,0)</f>
        <v>20009690</v>
      </c>
    </row>
    <row r="588" spans="1:16">
      <c r="A588" s="98">
        <v>20009592</v>
      </c>
      <c r="B588" s="98">
        <v>1</v>
      </c>
      <c r="C588" s="98" t="s">
        <v>55</v>
      </c>
      <c r="D588" s="98"/>
      <c r="E588" s="137">
        <v>45108</v>
      </c>
      <c r="F588" s="98" t="s">
        <v>451</v>
      </c>
      <c r="G588" s="140" t="s">
        <v>452</v>
      </c>
      <c r="H588" s="98"/>
      <c r="I588" s="140" t="s">
        <v>484</v>
      </c>
      <c r="J588" s="98">
        <v>98076</v>
      </c>
      <c r="K588" s="98" t="s">
        <v>52</v>
      </c>
      <c r="L588" s="98" t="s">
        <v>80</v>
      </c>
      <c r="M588" s="98" t="s">
        <v>40</v>
      </c>
      <c r="N588" s="237">
        <f>+VLOOKUP(A588,COMISIONES!$C$2:$AR$33,42,0)</f>
        <v>10</v>
      </c>
      <c r="O588" s="53">
        <f t="shared" si="11"/>
        <v>10</v>
      </c>
      <c r="P588" s="7">
        <f>+VLOOKUP(A588,COMISIONES!$C$2:$C$33,1,0)</f>
        <v>20009592</v>
      </c>
    </row>
    <row r="589" spans="1:1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1:1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1:1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1:1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1: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1: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1: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1: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1: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1: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1: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1: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1: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1: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1: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1: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1: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1: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1: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1: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1: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1: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1:1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1:1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1:1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1:1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1: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1:1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1:1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1:1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1:1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1:1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1:1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1:1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1:1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1:1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1:1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1:1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1:1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1:1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1:1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1:1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1:1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1:1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1:1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</sheetData>
  <autoFilter ref="A1:P588" xr:uid="{00000000-0001-0000-1200-000000000000}">
    <filterColumn colId="4">
      <filters>
        <dateGroupItem year="2023" month="3" dateTimeGrouping="month"/>
        <dateGroupItem year="2023" month="4" dateTimeGrouping="month"/>
        <dateGroupItem year="2023" month="5" dateTimeGrouping="month"/>
        <dateGroupItem year="2023" month="6" dateTimeGrouping="month"/>
        <dateGroupItem year="2023" month="7" dateTimeGrouping="month"/>
      </filters>
    </filterColumn>
  </autoFilter>
  <sortState xmlns:xlrd2="http://schemas.microsoft.com/office/spreadsheetml/2017/richdata2" ref="A2:P575">
    <sortCondition descending="1" ref="G2:G575"/>
  </sortState>
  <conditionalFormatting sqref="D634:D1048576 D1">
    <cfRule type="duplicateValues" dxfId="38" priority="82"/>
  </conditionalFormatting>
  <conditionalFormatting sqref="F1">
    <cfRule type="duplicateValues" dxfId="37" priority="41"/>
  </conditionalFormatting>
  <conditionalFormatting sqref="F2:F588">
    <cfRule type="duplicateValues" dxfId="36" priority="8446"/>
    <cfRule type="duplicateValues" dxfId="35" priority="8447"/>
  </conditionalFormatting>
  <conditionalFormatting sqref="F589:F1048576 F1">
    <cfRule type="duplicateValues" dxfId="34" priority="42"/>
  </conditionalFormatting>
  <conditionalFormatting sqref="I2:I328">
    <cfRule type="duplicateValues" dxfId="33" priority="8442"/>
    <cfRule type="duplicateValues" dxfId="32" priority="8443"/>
  </conditionalFormatting>
  <conditionalFormatting sqref="I329:I375">
    <cfRule type="duplicateValues" dxfId="31" priority="8422"/>
    <cfRule type="duplicateValues" dxfId="30" priority="8423"/>
  </conditionalFormatting>
  <conditionalFormatting sqref="I634:I1048576 I1">
    <cfRule type="duplicateValues" dxfId="29" priority="80"/>
    <cfRule type="duplicateValues" dxfId="28" priority="8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M286"/>
  <sheetViews>
    <sheetView showGridLines="0" zoomScale="60" zoomScaleNormal="60" workbookViewId="0"/>
  </sheetViews>
  <sheetFormatPr baseColWidth="10" defaultColWidth="11.85546875" defaultRowHeight="15"/>
  <cols>
    <col min="1" max="1" width="13.42578125" style="85" bestFit="1" customWidth="1"/>
    <col min="2" max="2" width="18.42578125" style="7" bestFit="1" customWidth="1"/>
    <col min="3" max="3" width="25.42578125" style="7" bestFit="1" customWidth="1"/>
    <col min="4" max="4" width="35.140625" style="34" bestFit="1" customWidth="1"/>
    <col min="5" max="5" width="14.5703125" style="7" bestFit="1" customWidth="1"/>
    <col min="6" max="6" width="18.140625" style="7" bestFit="1" customWidth="1"/>
    <col min="7" max="7" width="28.28515625" style="7" bestFit="1" customWidth="1"/>
    <col min="8" max="8" width="11.42578125" style="7" bestFit="1" customWidth="1"/>
    <col min="9" max="9" width="40.5703125" style="7" bestFit="1" customWidth="1"/>
    <col min="10" max="10" width="40.5703125" style="7" customWidth="1"/>
    <col min="11" max="11" width="13.28515625" style="7" bestFit="1" customWidth="1"/>
    <col min="12" max="12" width="14.5703125" style="7" bestFit="1" customWidth="1"/>
    <col min="13" max="16384" width="11.85546875" style="7"/>
  </cols>
  <sheetData>
    <row r="1" spans="1:13">
      <c r="A1" s="48" t="s">
        <v>133</v>
      </c>
      <c r="B1" s="48" t="s">
        <v>134</v>
      </c>
      <c r="C1" s="48" t="s">
        <v>135</v>
      </c>
      <c r="D1" s="49" t="s">
        <v>136</v>
      </c>
      <c r="E1" s="48" t="s">
        <v>137</v>
      </c>
      <c r="F1" s="50" t="s">
        <v>138</v>
      </c>
      <c r="G1" s="48" t="s">
        <v>148</v>
      </c>
      <c r="H1" s="48" t="s">
        <v>145</v>
      </c>
      <c r="I1" s="48" t="s">
        <v>141</v>
      </c>
      <c r="J1" s="48" t="s">
        <v>103</v>
      </c>
      <c r="K1" s="48" t="s">
        <v>147</v>
      </c>
      <c r="L1" s="102" t="s">
        <v>142</v>
      </c>
      <c r="M1" s="7" t="s">
        <v>244</v>
      </c>
    </row>
    <row r="2" spans="1:13">
      <c r="A2" s="98">
        <v>20009690</v>
      </c>
      <c r="B2" s="133" t="s">
        <v>228</v>
      </c>
      <c r="C2" s="98" t="s">
        <v>929</v>
      </c>
      <c r="D2" s="213">
        <v>45139</v>
      </c>
      <c r="E2" s="98"/>
      <c r="F2" s="140" t="s">
        <v>3853</v>
      </c>
      <c r="G2" s="275">
        <v>402.33365507363698</v>
      </c>
      <c r="H2" s="98">
        <v>98068</v>
      </c>
      <c r="I2" s="98" t="s">
        <v>49</v>
      </c>
      <c r="J2" s="98" t="s">
        <v>132</v>
      </c>
      <c r="K2" s="98" t="s">
        <v>40</v>
      </c>
      <c r="L2" s="33">
        <f>+VLOOKUP(A2,COMISIONES!$C$2:$AS$33,43,0)</f>
        <v>30</v>
      </c>
      <c r="M2" s="7">
        <f>+VLOOKUP(A2,COMISIONES!$C$2:$C$33,1,0)</f>
        <v>20009690</v>
      </c>
    </row>
    <row r="3" spans="1:13">
      <c r="A3" s="98">
        <v>20009269</v>
      </c>
      <c r="B3" s="133" t="s">
        <v>228</v>
      </c>
      <c r="C3" s="98" t="s">
        <v>1400</v>
      </c>
      <c r="D3" s="213">
        <v>45139</v>
      </c>
      <c r="E3" s="98"/>
      <c r="F3" s="140" t="s">
        <v>3854</v>
      </c>
      <c r="G3" s="275">
        <v>389.44458282737099</v>
      </c>
      <c r="H3" s="98">
        <v>98065</v>
      </c>
      <c r="I3" s="98" t="s">
        <v>49</v>
      </c>
      <c r="J3" s="98" t="s">
        <v>132</v>
      </c>
      <c r="K3" s="98" t="s">
        <v>40</v>
      </c>
      <c r="L3" s="33">
        <f>+VLOOKUP(A3,COMISIONES!$C$2:$AS$33,43,0)</f>
        <v>30</v>
      </c>
      <c r="M3" s="7">
        <f>+VLOOKUP(A3,COMISIONES!$C$2:$C$33,1,0)</f>
        <v>20009269</v>
      </c>
    </row>
    <row r="4" spans="1:13">
      <c r="A4" s="98">
        <v>20000661</v>
      </c>
      <c r="B4" s="133" t="s">
        <v>228</v>
      </c>
      <c r="C4" s="98" t="s">
        <v>1412</v>
      </c>
      <c r="D4" s="213">
        <v>45139</v>
      </c>
      <c r="E4" s="98"/>
      <c r="F4" s="140" t="s">
        <v>3855</v>
      </c>
      <c r="G4" s="275">
        <v>286.09199696941403</v>
      </c>
      <c r="H4" s="98">
        <v>98013</v>
      </c>
      <c r="I4" s="98" t="s">
        <v>51</v>
      </c>
      <c r="J4" s="98" t="s">
        <v>132</v>
      </c>
      <c r="K4" s="98" t="s">
        <v>40</v>
      </c>
      <c r="L4" s="33">
        <f>+VLOOKUP(A4,COMISIONES!$C$2:$AS$33,43,0)</f>
        <v>15</v>
      </c>
      <c r="M4" s="7">
        <f>+VLOOKUP(A4,COMISIONES!$C$2:$C$33,1,0)</f>
        <v>20000661</v>
      </c>
    </row>
    <row r="5" spans="1:13">
      <c r="A5" s="98">
        <v>20008439</v>
      </c>
      <c r="B5" s="133" t="s">
        <v>228</v>
      </c>
      <c r="C5" s="98" t="s">
        <v>1835</v>
      </c>
      <c r="D5" s="213">
        <v>45139</v>
      </c>
      <c r="E5" s="98"/>
      <c r="F5" s="140" t="s">
        <v>3856</v>
      </c>
      <c r="G5" s="275">
        <v>259.55490861537498</v>
      </c>
      <c r="H5" s="98">
        <v>98049</v>
      </c>
      <c r="I5" s="98" t="s">
        <v>50</v>
      </c>
      <c r="J5" s="98" t="s">
        <v>132</v>
      </c>
      <c r="K5" s="98" t="s">
        <v>40</v>
      </c>
      <c r="L5" s="33">
        <f>+VLOOKUP(A5,COMISIONES!$C$2:$AS$33,43,0)</f>
        <v>15</v>
      </c>
      <c r="M5" s="7">
        <f>+VLOOKUP(A5,COMISIONES!$C$2:$C$33,1,0)</f>
        <v>20008439</v>
      </c>
    </row>
    <row r="6" spans="1:13">
      <c r="A6" s="98">
        <v>20009269</v>
      </c>
      <c r="B6" s="133" t="s">
        <v>228</v>
      </c>
      <c r="C6" s="98" t="s">
        <v>1054</v>
      </c>
      <c r="D6" s="213">
        <v>45139</v>
      </c>
      <c r="E6" s="98"/>
      <c r="F6" s="140" t="s">
        <v>3857</v>
      </c>
      <c r="G6" s="275">
        <v>168.654191445859</v>
      </c>
      <c r="H6" s="98">
        <v>98065</v>
      </c>
      <c r="I6" s="98" t="s">
        <v>49</v>
      </c>
      <c r="J6" s="98" t="s">
        <v>132</v>
      </c>
      <c r="K6" s="98" t="s">
        <v>40</v>
      </c>
      <c r="L6" s="33">
        <f>+VLOOKUP(A6,COMISIONES!$C$2:$AS$33,43,0)</f>
        <v>30</v>
      </c>
      <c r="M6" s="7">
        <f>+VLOOKUP(A6,COMISIONES!$C$2:$C$33,1,0)</f>
        <v>20009269</v>
      </c>
    </row>
    <row r="7" spans="1:13">
      <c r="A7" s="98">
        <v>20010101</v>
      </c>
      <c r="B7" s="133" t="s">
        <v>228</v>
      </c>
      <c r="C7" s="98" t="s">
        <v>1599</v>
      </c>
      <c r="D7" s="213">
        <v>45139</v>
      </c>
      <c r="E7" s="98"/>
      <c r="F7" s="140" t="s">
        <v>3858</v>
      </c>
      <c r="G7" s="275">
        <v>131.66443524197999</v>
      </c>
      <c r="H7" s="98">
        <v>98072</v>
      </c>
      <c r="I7" s="98" t="s">
        <v>49</v>
      </c>
      <c r="J7" s="98" t="s">
        <v>132</v>
      </c>
      <c r="K7" s="98" t="s">
        <v>40</v>
      </c>
      <c r="L7" s="33">
        <f>+VLOOKUP(A7,COMISIONES!$C$2:$AS$33,43,0)</f>
        <v>30</v>
      </c>
      <c r="M7" s="7">
        <f>+VLOOKUP(A7,COMISIONES!$C$2:$C$33,1,0)</f>
        <v>20010101</v>
      </c>
    </row>
    <row r="8" spans="1:13">
      <c r="A8" s="98">
        <v>20006893</v>
      </c>
      <c r="B8" s="133" t="s">
        <v>228</v>
      </c>
      <c r="C8" s="98" t="s">
        <v>1602</v>
      </c>
      <c r="D8" s="213">
        <v>45139</v>
      </c>
      <c r="E8" s="98"/>
      <c r="F8" s="140" t="s">
        <v>3859</v>
      </c>
      <c r="G8" s="275">
        <v>129.81572583574601</v>
      </c>
      <c r="H8" s="98">
        <v>98071</v>
      </c>
      <c r="I8" s="98" t="s">
        <v>51</v>
      </c>
      <c r="J8" s="98" t="s">
        <v>132</v>
      </c>
      <c r="K8" s="98" t="s">
        <v>40</v>
      </c>
      <c r="L8" s="33">
        <f>+VLOOKUP(A8,COMISIONES!$C$2:$AS$33,43,0)</f>
        <v>15</v>
      </c>
      <c r="M8" s="7">
        <f>+VLOOKUP(A8,COMISIONES!$C$2:$C$33,1,0)</f>
        <v>20006893</v>
      </c>
    </row>
    <row r="9" spans="1:13">
      <c r="A9" s="98">
        <v>20001487</v>
      </c>
      <c r="B9" s="133" t="s">
        <v>228</v>
      </c>
      <c r="C9" s="98" t="s">
        <v>1368</v>
      </c>
      <c r="D9" s="213">
        <v>45139</v>
      </c>
      <c r="E9" s="98"/>
      <c r="F9" s="140" t="s">
        <v>3860</v>
      </c>
      <c r="G9" s="275">
        <v>129.73399341989199</v>
      </c>
      <c r="H9" s="98">
        <v>98003</v>
      </c>
      <c r="I9" s="98" t="s">
        <v>51</v>
      </c>
      <c r="J9" s="98" t="s">
        <v>132</v>
      </c>
      <c r="K9" s="98" t="s">
        <v>40</v>
      </c>
      <c r="L9" s="33">
        <f>+VLOOKUP(A9,COMISIONES!$C$2:$AS$33,43,0)</f>
        <v>30</v>
      </c>
      <c r="M9" s="7">
        <f>+VLOOKUP(A9,COMISIONES!$C$2:$C$33,1,0)</f>
        <v>20001487</v>
      </c>
    </row>
    <row r="10" spans="1:13">
      <c r="A10" s="98">
        <v>20009592</v>
      </c>
      <c r="B10" s="133" t="s">
        <v>228</v>
      </c>
      <c r="C10" s="98" t="s">
        <v>2731</v>
      </c>
      <c r="D10" s="213">
        <v>45139</v>
      </c>
      <c r="E10" s="98"/>
      <c r="F10" s="140" t="s">
        <v>3861</v>
      </c>
      <c r="G10" s="275">
        <v>101.711450841195</v>
      </c>
      <c r="H10" s="98">
        <v>98076</v>
      </c>
      <c r="I10" s="98" t="s">
        <v>52</v>
      </c>
      <c r="J10" s="98" t="s">
        <v>132</v>
      </c>
      <c r="K10" s="98" t="s">
        <v>40</v>
      </c>
      <c r="L10" s="33">
        <f>+VLOOKUP(A10,COMISIONES!$C$2:$AS$33,43,0)</f>
        <v>10</v>
      </c>
      <c r="M10" s="7">
        <f>+VLOOKUP(A10,COMISIONES!$C$2:$C$33,1,0)</f>
        <v>20009592</v>
      </c>
    </row>
    <row r="11" spans="1:13">
      <c r="A11" s="98">
        <v>20004161</v>
      </c>
      <c r="B11" s="133" t="s">
        <v>228</v>
      </c>
      <c r="C11" s="98" t="s">
        <v>2707</v>
      </c>
      <c r="D11" s="213">
        <v>45139</v>
      </c>
      <c r="E11" s="98"/>
      <c r="F11" s="140" t="s">
        <v>3862</v>
      </c>
      <c r="G11" s="275">
        <v>98.344853711949</v>
      </c>
      <c r="H11" s="98">
        <v>98019</v>
      </c>
      <c r="I11" s="98" t="s">
        <v>49</v>
      </c>
      <c r="J11" s="98" t="s">
        <v>132</v>
      </c>
      <c r="K11" s="98" t="s">
        <v>40</v>
      </c>
      <c r="L11" s="33">
        <f>+VLOOKUP(A11,COMISIONES!$C$2:$AS$33,43,0)</f>
        <v>32</v>
      </c>
      <c r="M11" s="7">
        <f>+VLOOKUP(A11,COMISIONES!$C$2:$C$33,1,0)</f>
        <v>20004161</v>
      </c>
    </row>
    <row r="12" spans="1:13">
      <c r="A12" s="98">
        <v>20001487</v>
      </c>
      <c r="B12" s="133" t="s">
        <v>228</v>
      </c>
      <c r="C12" s="98" t="s">
        <v>1473</v>
      </c>
      <c r="D12" s="213">
        <v>45139</v>
      </c>
      <c r="E12" s="98"/>
      <c r="F12" s="140" t="s">
        <v>3863</v>
      </c>
      <c r="G12" s="275">
        <v>90.813795393924295</v>
      </c>
      <c r="H12" s="98">
        <v>98003</v>
      </c>
      <c r="I12" s="98" t="s">
        <v>51</v>
      </c>
      <c r="J12" s="98" t="s">
        <v>132</v>
      </c>
      <c r="K12" s="98" t="s">
        <v>40</v>
      </c>
      <c r="L12" s="33">
        <f>+VLOOKUP(A12,COMISIONES!$C$2:$AS$33,43,0)</f>
        <v>30</v>
      </c>
      <c r="M12" s="7">
        <f>+VLOOKUP(A12,COMISIONES!$C$2:$C$33,1,0)</f>
        <v>20001487</v>
      </c>
    </row>
    <row r="13" spans="1:13">
      <c r="A13" s="98">
        <v>20004638</v>
      </c>
      <c r="B13" s="133" t="s">
        <v>228</v>
      </c>
      <c r="C13" s="98" t="s">
        <v>2542</v>
      </c>
      <c r="D13" s="213">
        <v>45139</v>
      </c>
      <c r="E13" s="98"/>
      <c r="F13" s="140" t="s">
        <v>3864</v>
      </c>
      <c r="G13" s="275">
        <v>71.125364552521503</v>
      </c>
      <c r="H13" s="98">
        <v>98009</v>
      </c>
      <c r="I13" s="98" t="s">
        <v>51</v>
      </c>
      <c r="J13" s="98" t="s">
        <v>132</v>
      </c>
      <c r="K13" s="98" t="s">
        <v>40</v>
      </c>
      <c r="L13" s="33">
        <f>+VLOOKUP(A13,COMISIONES!$C$2:$AS$33,43,0)</f>
        <v>10</v>
      </c>
      <c r="M13" s="7">
        <f>+VLOOKUP(A13,COMISIONES!$C$2:$C$33,1,0)</f>
        <v>20004638</v>
      </c>
    </row>
    <row r="14" spans="1:13">
      <c r="A14" s="98">
        <v>20000033</v>
      </c>
      <c r="B14" s="133" t="s">
        <v>228</v>
      </c>
      <c r="C14" s="98" t="s">
        <v>2140</v>
      </c>
      <c r="D14" s="213">
        <v>45139</v>
      </c>
      <c r="E14" s="98"/>
      <c r="F14" s="140" t="s">
        <v>3865</v>
      </c>
      <c r="G14" s="275">
        <v>66.303152017104097</v>
      </c>
      <c r="H14" s="98">
        <v>98000</v>
      </c>
      <c r="I14" s="98" t="s">
        <v>51</v>
      </c>
      <c r="J14" s="98" t="s">
        <v>132</v>
      </c>
      <c r="K14" s="98" t="s">
        <v>40</v>
      </c>
      <c r="L14" s="33">
        <f>+VLOOKUP(A14,COMISIONES!$C$2:$AS$33,43,0)</f>
        <v>15</v>
      </c>
      <c r="M14" s="7">
        <f>+VLOOKUP(A14,COMISIONES!$C$2:$C$33,1,0)</f>
        <v>20000033</v>
      </c>
    </row>
    <row r="15" spans="1:13">
      <c r="A15" s="98">
        <v>20004161</v>
      </c>
      <c r="B15" s="133" t="s">
        <v>228</v>
      </c>
      <c r="C15" s="98" t="s">
        <v>1521</v>
      </c>
      <c r="D15" s="213">
        <v>45139</v>
      </c>
      <c r="E15" s="98"/>
      <c r="F15" s="140" t="s">
        <v>3866</v>
      </c>
      <c r="G15" s="275">
        <v>54.170428952475802</v>
      </c>
      <c r="H15" s="98">
        <v>98019</v>
      </c>
      <c r="I15" s="98" t="s">
        <v>49</v>
      </c>
      <c r="J15" s="98" t="s">
        <v>132</v>
      </c>
      <c r="K15" s="98" t="s">
        <v>40</v>
      </c>
      <c r="L15" s="33">
        <f>+VLOOKUP(A15,COMISIONES!$C$2:$AS$33,43,0)</f>
        <v>32</v>
      </c>
      <c r="M15" s="7">
        <f>+VLOOKUP(A15,COMISIONES!$C$2:$C$33,1,0)</f>
        <v>20004161</v>
      </c>
    </row>
    <row r="16" spans="1:13">
      <c r="A16" s="98">
        <v>20006893</v>
      </c>
      <c r="B16" s="133" t="s">
        <v>228</v>
      </c>
      <c r="C16" s="98" t="s">
        <v>1623</v>
      </c>
      <c r="D16" s="213">
        <v>45139</v>
      </c>
      <c r="E16" s="98"/>
      <c r="F16" s="140" t="s">
        <v>3867</v>
      </c>
      <c r="G16" s="275">
        <v>51.893597367956701</v>
      </c>
      <c r="H16" s="98">
        <v>98071</v>
      </c>
      <c r="I16" s="98" t="s">
        <v>51</v>
      </c>
      <c r="J16" s="98" t="s">
        <v>132</v>
      </c>
      <c r="K16" s="98" t="s">
        <v>40</v>
      </c>
      <c r="L16" s="33">
        <f>+VLOOKUP(A16,COMISIONES!$C$2:$AS$33,43,0)</f>
        <v>15</v>
      </c>
      <c r="M16" s="7">
        <f>+VLOOKUP(A16,COMISIONES!$C$2:$C$33,1,0)</f>
        <v>20006893</v>
      </c>
    </row>
    <row r="17" spans="1:13">
      <c r="A17" s="98">
        <v>20007726</v>
      </c>
      <c r="B17" s="133" t="s">
        <v>228</v>
      </c>
      <c r="C17" s="98" t="s">
        <v>1350</v>
      </c>
      <c r="D17" s="213">
        <v>45139</v>
      </c>
      <c r="E17" s="98"/>
      <c r="F17" s="140" t="s">
        <v>3868</v>
      </c>
      <c r="G17" s="275">
        <v>38.422019491235197</v>
      </c>
      <c r="H17" s="98">
        <v>98051</v>
      </c>
      <c r="I17" s="98" t="s">
        <v>49</v>
      </c>
      <c r="J17" s="98" t="s">
        <v>132</v>
      </c>
      <c r="K17" s="98" t="s">
        <v>40</v>
      </c>
      <c r="L17" s="33">
        <f>+VLOOKUP(A17,COMISIONES!$C$2:$AS$33,43,0)</f>
        <v>30</v>
      </c>
      <c r="M17" s="7">
        <f>+VLOOKUP(A17,COMISIONES!$C$2:$C$33,1,0)</f>
        <v>20007726</v>
      </c>
    </row>
    <row r="18" spans="1:13">
      <c r="A18" s="98">
        <v>20009690</v>
      </c>
      <c r="B18" s="133" t="s">
        <v>228</v>
      </c>
      <c r="C18" s="98" t="s">
        <v>1868</v>
      </c>
      <c r="D18" s="213">
        <v>45139</v>
      </c>
      <c r="E18" s="98"/>
      <c r="F18" s="140" t="s">
        <v>3869</v>
      </c>
      <c r="G18" s="275">
        <v>36.333302197174902</v>
      </c>
      <c r="H18" s="98">
        <v>98068</v>
      </c>
      <c r="I18" s="98" t="s">
        <v>49</v>
      </c>
      <c r="J18" s="98" t="s">
        <v>132</v>
      </c>
      <c r="K18" s="98" t="s">
        <v>40</v>
      </c>
      <c r="L18" s="33">
        <f>+VLOOKUP(A18,COMISIONES!$C$2:$AS$33,43,0)</f>
        <v>30</v>
      </c>
      <c r="M18" s="7">
        <f>+VLOOKUP(A18,COMISIONES!$C$2:$C$33,1,0)</f>
        <v>20009690</v>
      </c>
    </row>
    <row r="19" spans="1:13">
      <c r="A19" s="98">
        <v>20006162</v>
      </c>
      <c r="B19" s="133" t="s">
        <v>228</v>
      </c>
      <c r="C19" s="98" t="s">
        <v>1847</v>
      </c>
      <c r="D19" s="213">
        <v>45139</v>
      </c>
      <c r="E19" s="98"/>
      <c r="F19" s="140" t="s">
        <v>3870</v>
      </c>
      <c r="G19" s="275">
        <v>32.978381127336498</v>
      </c>
      <c r="H19" s="98">
        <v>98069</v>
      </c>
      <c r="I19" s="98" t="s">
        <v>50</v>
      </c>
      <c r="J19" s="98" t="s">
        <v>132</v>
      </c>
      <c r="K19" s="98" t="s">
        <v>40</v>
      </c>
      <c r="L19" s="33">
        <f>+VLOOKUP(A19,COMISIONES!$C$2:$AS$33,43,0)</f>
        <v>20</v>
      </c>
      <c r="M19" s="7">
        <f>+VLOOKUP(A19,COMISIONES!$C$2:$C$33,1,0)</f>
        <v>20006162</v>
      </c>
    </row>
    <row r="20" spans="1:13">
      <c r="A20" s="98">
        <v>20001487</v>
      </c>
      <c r="B20" s="133" t="s">
        <v>228</v>
      </c>
      <c r="C20" s="98" t="s">
        <v>3871</v>
      </c>
      <c r="D20" s="213">
        <v>45139</v>
      </c>
      <c r="E20" s="98"/>
      <c r="F20" s="140" t="s">
        <v>3872</v>
      </c>
      <c r="G20" s="275">
        <v>32.433498354972997</v>
      </c>
      <c r="H20" s="98">
        <v>98003</v>
      </c>
      <c r="I20" s="98" t="s">
        <v>51</v>
      </c>
      <c r="J20" s="98" t="s">
        <v>132</v>
      </c>
      <c r="K20" s="98" t="s">
        <v>40</v>
      </c>
      <c r="L20" s="33">
        <f>+VLOOKUP(A20,COMISIONES!$C$2:$AS$33,43,0)</f>
        <v>30</v>
      </c>
      <c r="M20" s="7">
        <f>+VLOOKUP(A20,COMISIONES!$C$2:$C$33,1,0)</f>
        <v>20001487</v>
      </c>
    </row>
    <row r="21" spans="1:13">
      <c r="A21" s="98">
        <v>20005527</v>
      </c>
      <c r="B21" s="133" t="s">
        <v>228</v>
      </c>
      <c r="C21" s="98" t="s">
        <v>2053</v>
      </c>
      <c r="D21" s="213">
        <v>45139</v>
      </c>
      <c r="E21" s="98"/>
      <c r="F21" s="140" t="s">
        <v>3873</v>
      </c>
      <c r="G21" s="275">
        <v>27.200029060414501</v>
      </c>
      <c r="H21" s="98">
        <v>98041</v>
      </c>
      <c r="I21" s="98" t="s">
        <v>52</v>
      </c>
      <c r="J21" s="98" t="s">
        <v>132</v>
      </c>
      <c r="K21" s="98" t="s">
        <v>40</v>
      </c>
      <c r="L21" s="33">
        <f>+VLOOKUP(A21,COMISIONES!$C$2:$AS$33,43,0)</f>
        <v>10</v>
      </c>
      <c r="M21" s="7">
        <f>+VLOOKUP(A21,COMISIONES!$C$2:$C$33,1,0)</f>
        <v>20005527</v>
      </c>
    </row>
    <row r="22" spans="1:13">
      <c r="A22" s="98">
        <v>20008439</v>
      </c>
      <c r="B22" s="133" t="s">
        <v>228</v>
      </c>
      <c r="C22" s="98" t="s">
        <v>1433</v>
      </c>
      <c r="D22" s="213">
        <v>45139</v>
      </c>
      <c r="E22" s="98"/>
      <c r="F22" s="140" t="s">
        <v>3874</v>
      </c>
      <c r="G22" s="275">
        <v>25.9467986839784</v>
      </c>
      <c r="H22" s="98">
        <v>98049</v>
      </c>
      <c r="I22" s="98" t="s">
        <v>50</v>
      </c>
      <c r="J22" s="98" t="s">
        <v>132</v>
      </c>
      <c r="K22" s="98" t="s">
        <v>40</v>
      </c>
      <c r="L22" s="33">
        <f>+VLOOKUP(A22,COMISIONES!$C$2:$AS$33,43,0)</f>
        <v>15</v>
      </c>
      <c r="M22" s="7">
        <f>+VLOOKUP(A22,COMISIONES!$C$2:$C$33,1,0)</f>
        <v>20008439</v>
      </c>
    </row>
    <row r="23" spans="1:13">
      <c r="A23" s="98">
        <v>20002708</v>
      </c>
      <c r="B23" s="133" t="s">
        <v>228</v>
      </c>
      <c r="C23" s="98" t="s">
        <v>1793</v>
      </c>
      <c r="D23" s="213">
        <v>45139</v>
      </c>
      <c r="E23" s="98"/>
      <c r="F23" s="140" t="s">
        <v>3875</v>
      </c>
      <c r="G23" s="275">
        <v>25.9467986839784</v>
      </c>
      <c r="H23" s="98">
        <v>98021</v>
      </c>
      <c r="I23" s="98" t="s">
        <v>49</v>
      </c>
      <c r="J23" s="98" t="s">
        <v>132</v>
      </c>
      <c r="K23" s="98" t="s">
        <v>40</v>
      </c>
      <c r="L23" s="33">
        <f>+VLOOKUP(A23,COMISIONES!$C$2:$AS$33,43,0)</f>
        <v>15</v>
      </c>
      <c r="M23" s="7">
        <f>+VLOOKUP(A23,COMISIONES!$C$2:$C$33,1,0)</f>
        <v>20002708</v>
      </c>
    </row>
    <row r="24" spans="1:13">
      <c r="A24" s="98">
        <v>20006162</v>
      </c>
      <c r="B24" s="133" t="s">
        <v>228</v>
      </c>
      <c r="C24" s="98" t="s">
        <v>1377</v>
      </c>
      <c r="D24" s="213">
        <v>45139</v>
      </c>
      <c r="E24" s="98"/>
      <c r="F24" s="140" t="s">
        <v>3876</v>
      </c>
      <c r="G24" s="275">
        <v>18.227626075494801</v>
      </c>
      <c r="H24" s="98">
        <v>98069</v>
      </c>
      <c r="I24" s="98" t="s">
        <v>50</v>
      </c>
      <c r="J24" s="98" t="s">
        <v>132</v>
      </c>
      <c r="K24" s="98" t="s">
        <v>40</v>
      </c>
      <c r="L24" s="33">
        <f>+VLOOKUP(A24,COMISIONES!$C$2:$AS$33,43,0)</f>
        <v>20</v>
      </c>
      <c r="M24" s="7">
        <f>+VLOOKUP(A24,COMISIONES!$C$2:$C$33,1,0)</f>
        <v>20006162</v>
      </c>
    </row>
    <row r="25" spans="1:13">
      <c r="A25" s="98"/>
      <c r="B25" s="133"/>
      <c r="C25" s="98"/>
      <c r="D25" s="137"/>
      <c r="E25" s="98"/>
      <c r="F25" s="98"/>
      <c r="G25" s="204"/>
      <c r="H25" s="98"/>
      <c r="I25" s="98"/>
      <c r="J25" s="98"/>
      <c r="K25" s="98"/>
      <c r="L25" s="33" t="e">
        <f>+VLOOKUP(A25,COMISIONES!$C$2:$AS$33,43,0)</f>
        <v>#N/A</v>
      </c>
      <c r="M25" s="7" t="e">
        <f>+VLOOKUP(A25,COMISIONES!$C$2:$C$33,1,0)</f>
        <v>#N/A</v>
      </c>
    </row>
    <row r="26" spans="1:13">
      <c r="A26" s="98"/>
      <c r="B26" s="133"/>
      <c r="C26" s="98"/>
      <c r="D26" s="137"/>
      <c r="E26" s="98"/>
      <c r="F26" s="98"/>
      <c r="G26" s="204"/>
      <c r="H26" s="98"/>
      <c r="I26" s="98"/>
      <c r="J26" s="98"/>
      <c r="K26" s="98"/>
      <c r="L26" s="33" t="e">
        <f>+VLOOKUP(A26,COMISIONES!$C$2:$AS$33,43,0)</f>
        <v>#N/A</v>
      </c>
      <c r="M26" s="7" t="e">
        <f>+VLOOKUP(A26,COMISIONES!$C$2:$C$33,1,0)</f>
        <v>#N/A</v>
      </c>
    </row>
    <row r="27" spans="1:13">
      <c r="A27" s="98"/>
      <c r="B27" s="133"/>
      <c r="C27" s="98"/>
      <c r="D27" s="137"/>
      <c r="E27" s="98"/>
      <c r="F27" s="98"/>
      <c r="G27" s="204"/>
      <c r="H27" s="98"/>
      <c r="I27" s="98"/>
      <c r="J27" s="98"/>
      <c r="K27" s="98"/>
      <c r="L27" s="33" t="e">
        <f>+VLOOKUP(A27,COMISIONES!$C$2:$AS$33,43,0)</f>
        <v>#N/A</v>
      </c>
      <c r="M27" s="7" t="e">
        <f>+VLOOKUP(A27,COMISIONES!$C$2:$C$33,1,0)</f>
        <v>#N/A</v>
      </c>
    </row>
    <row r="28" spans="1:13">
      <c r="A28" s="98"/>
      <c r="B28" s="133"/>
      <c r="C28" s="98"/>
      <c r="D28" s="137"/>
      <c r="E28" s="98"/>
      <c r="F28" s="98"/>
      <c r="G28" s="204"/>
      <c r="H28" s="98"/>
      <c r="I28" s="98"/>
      <c r="J28" s="98"/>
      <c r="K28" s="98"/>
      <c r="L28" s="33" t="e">
        <f>+VLOOKUP(A28,COMISIONES!$C$2:$AS$33,43,0)</f>
        <v>#N/A</v>
      </c>
      <c r="M28" s="7" t="e">
        <f>+VLOOKUP(A28,COMISIONES!$C$2:$C$33,1,0)</f>
        <v>#N/A</v>
      </c>
    </row>
    <row r="29" spans="1:13">
      <c r="A29" s="98"/>
      <c r="B29" s="133"/>
      <c r="C29" s="98"/>
      <c r="D29" s="137"/>
      <c r="E29" s="98"/>
      <c r="F29" s="98"/>
      <c r="G29" s="204"/>
      <c r="H29" s="98"/>
      <c r="I29" s="98"/>
      <c r="J29" s="98"/>
      <c r="K29" s="98"/>
      <c r="L29" s="33" t="e">
        <f>+VLOOKUP(A29,COMISIONES!$C$2:$AS$33,43,0)</f>
        <v>#N/A</v>
      </c>
      <c r="M29" s="7" t="e">
        <f>+VLOOKUP(A29,COMISIONES!$C$2:$C$33,1,0)</f>
        <v>#N/A</v>
      </c>
    </row>
    <row r="30" spans="1:13">
      <c r="A30" s="98"/>
      <c r="B30" s="133"/>
      <c r="C30" s="98"/>
      <c r="D30" s="137"/>
      <c r="E30" s="98"/>
      <c r="F30" s="98"/>
      <c r="G30" s="204"/>
      <c r="H30" s="98"/>
      <c r="I30" s="98"/>
      <c r="J30" s="98"/>
      <c r="K30" s="98"/>
      <c r="L30" s="33" t="e">
        <f>+VLOOKUP(A30,COMISIONES!$C$2:$AS$33,43,0)</f>
        <v>#N/A</v>
      </c>
      <c r="M30" s="7" t="e">
        <f>+VLOOKUP(A30,COMISIONES!$C$2:$C$33,1,0)</f>
        <v>#N/A</v>
      </c>
    </row>
    <row r="31" spans="1:13">
      <c r="A31" s="98"/>
      <c r="B31" s="133"/>
      <c r="C31" s="98"/>
      <c r="D31" s="137"/>
      <c r="E31" s="98"/>
      <c r="F31" s="98"/>
      <c r="G31" s="204"/>
      <c r="H31" s="98"/>
      <c r="I31" s="98"/>
      <c r="J31" s="98"/>
      <c r="K31" s="98"/>
      <c r="L31" s="33" t="e">
        <f>+VLOOKUP(A31,COMISIONES!$C$2:$AS$33,43,0)</f>
        <v>#N/A</v>
      </c>
      <c r="M31" s="7" t="e">
        <f>+VLOOKUP(A31,COMISIONES!$C$2:$C$33,1,0)</f>
        <v>#N/A</v>
      </c>
    </row>
    <row r="32" spans="1:13">
      <c r="A32" s="98"/>
      <c r="B32" s="133"/>
      <c r="C32" s="98"/>
      <c r="D32" s="137"/>
      <c r="E32" s="98"/>
      <c r="F32" s="98"/>
      <c r="G32" s="204"/>
      <c r="H32" s="98"/>
      <c r="I32" s="98"/>
      <c r="J32" s="98"/>
      <c r="K32" s="98"/>
      <c r="L32" s="33" t="e">
        <f>+VLOOKUP(A32,COMISIONES!$C$2:$AS$33,43,0)</f>
        <v>#N/A</v>
      </c>
      <c r="M32" s="7" t="e">
        <f>+VLOOKUP(A32,COMISIONES!$C$2:$C$33,1,0)</f>
        <v>#N/A</v>
      </c>
    </row>
    <row r="33" spans="1:13">
      <c r="A33" s="98"/>
      <c r="B33" s="133"/>
      <c r="C33" s="98"/>
      <c r="D33" s="137"/>
      <c r="E33" s="98"/>
      <c r="F33" s="98"/>
      <c r="G33" s="204"/>
      <c r="H33" s="98"/>
      <c r="I33" s="98"/>
      <c r="J33" s="98"/>
      <c r="K33" s="98"/>
      <c r="L33" s="33" t="e">
        <f>+VLOOKUP(A33,COMISIONES!$C$2:$AS$33,43,0)</f>
        <v>#N/A</v>
      </c>
      <c r="M33" s="7" t="e">
        <f>+VLOOKUP(A33,COMISIONES!$C$2:$C$33,1,0)</f>
        <v>#N/A</v>
      </c>
    </row>
    <row r="34" spans="1:13">
      <c r="A34" s="98"/>
      <c r="B34" s="133"/>
      <c r="C34" s="98"/>
      <c r="D34" s="137"/>
      <c r="E34" s="98"/>
      <c r="F34" s="98"/>
      <c r="G34" s="204"/>
      <c r="H34" s="98"/>
      <c r="I34" s="98"/>
      <c r="J34" s="98"/>
      <c r="K34" s="98"/>
      <c r="L34" s="33" t="e">
        <f>+VLOOKUP(A34,COMISIONES!$C$2:$AS$33,43,0)</f>
        <v>#N/A</v>
      </c>
      <c r="M34" s="7" t="e">
        <f>+VLOOKUP(A34,COMISIONES!$C$2:$C$33,1,0)</f>
        <v>#N/A</v>
      </c>
    </row>
    <row r="35" spans="1:13">
      <c r="A35" s="98"/>
      <c r="B35" s="133"/>
      <c r="C35" s="98"/>
      <c r="D35" s="137"/>
      <c r="E35" s="98"/>
      <c r="F35" s="98"/>
      <c r="G35" s="204"/>
      <c r="H35" s="98"/>
      <c r="I35" s="98"/>
      <c r="J35" s="98"/>
      <c r="K35" s="98"/>
      <c r="L35" s="33" t="e">
        <f>+VLOOKUP(A35,COMISIONES!$C$2:$AS$33,43,0)</f>
        <v>#N/A</v>
      </c>
      <c r="M35" s="7" t="e">
        <f>+VLOOKUP(A35,COMISIONES!$C$2:$C$33,1,0)</f>
        <v>#N/A</v>
      </c>
    </row>
    <row r="36" spans="1:13">
      <c r="A36" s="98"/>
      <c r="B36" s="133"/>
      <c r="C36" s="98"/>
      <c r="D36" s="137"/>
      <c r="E36" s="98"/>
      <c r="F36" s="98"/>
      <c r="H36" s="98"/>
      <c r="I36" s="56"/>
      <c r="J36" s="56"/>
      <c r="K36" s="56"/>
      <c r="L36" s="33" t="e">
        <f>+VLOOKUP(A36,COMISIONES!$C$2:$AS$33,43,0)</f>
        <v>#N/A</v>
      </c>
      <c r="M36" s="7" t="e">
        <f>+VLOOKUP(A36,COMISIONES!$C$2:$C$33,1,0)</f>
        <v>#N/A</v>
      </c>
    </row>
    <row r="37" spans="1:13">
      <c r="A37" s="98"/>
      <c r="B37" s="133"/>
      <c r="C37" s="98"/>
      <c r="D37" s="137"/>
      <c r="E37" s="98"/>
      <c r="F37" s="98"/>
      <c r="H37" s="98"/>
      <c r="I37" s="56"/>
      <c r="J37" s="56"/>
      <c r="K37" s="56"/>
      <c r="L37" s="33" t="e">
        <f>+VLOOKUP(A37,COMISIONES!$C$2:$AS$33,43,0)</f>
        <v>#N/A</v>
      </c>
      <c r="M37" s="7" t="e">
        <f>+VLOOKUP(A37,COMISIONES!$C$2:$C$33,1,0)</f>
        <v>#N/A</v>
      </c>
    </row>
    <row r="38" spans="1:13">
      <c r="A38" s="98"/>
      <c r="B38" s="133"/>
      <c r="C38" s="98"/>
      <c r="D38" s="137"/>
      <c r="E38" s="98"/>
      <c r="F38" s="98"/>
      <c r="H38" s="98"/>
      <c r="I38" s="56"/>
      <c r="J38" s="56"/>
      <c r="K38" s="56"/>
      <c r="L38" s="33" t="e">
        <f>+VLOOKUP(A38,COMISIONES!$C$2:$AS$33,43,0)</f>
        <v>#N/A</v>
      </c>
      <c r="M38" s="7" t="e">
        <f>+VLOOKUP(A38,COMISIONES!$C$2:$C$33,1,0)</f>
        <v>#N/A</v>
      </c>
    </row>
    <row r="39" spans="1:13">
      <c r="A39" s="98"/>
      <c r="B39" s="133"/>
      <c r="C39" s="98"/>
      <c r="D39" s="137"/>
      <c r="E39" s="98"/>
      <c r="F39" s="98"/>
      <c r="H39" s="98"/>
      <c r="I39" s="56"/>
      <c r="J39" s="56"/>
      <c r="K39" s="56"/>
      <c r="L39" s="33" t="e">
        <f>+VLOOKUP(A39,COMISIONES!$C$2:$AS$33,43,0)</f>
        <v>#N/A</v>
      </c>
      <c r="M39" s="7" t="e">
        <f>+VLOOKUP(A39,COMISIONES!$C$2:$C$33,1,0)</f>
        <v>#N/A</v>
      </c>
    </row>
    <row r="40" spans="1:13">
      <c r="A40" s="98"/>
      <c r="B40" s="133"/>
      <c r="C40" s="98"/>
      <c r="D40" s="137"/>
      <c r="E40" s="98"/>
      <c r="F40" s="98"/>
      <c r="H40" s="98"/>
      <c r="I40" s="56"/>
      <c r="J40" s="56"/>
      <c r="K40" s="56"/>
      <c r="L40" s="33" t="e">
        <f>+VLOOKUP(A40,COMISIONES!$C$2:$AS$33,43,0)</f>
        <v>#N/A</v>
      </c>
      <c r="M40" s="7" t="e">
        <f>+VLOOKUP(A40,COMISIONES!$C$2:$C$33,1,0)</f>
        <v>#N/A</v>
      </c>
    </row>
    <row r="41" spans="1:13">
      <c r="A41" s="98"/>
      <c r="B41" s="133"/>
      <c r="C41" s="98"/>
      <c r="D41" s="137"/>
      <c r="E41" s="98"/>
      <c r="F41" s="98"/>
      <c r="H41" s="98"/>
      <c r="I41" s="56"/>
      <c r="J41" s="56"/>
      <c r="K41" s="56"/>
      <c r="L41" s="33" t="e">
        <f>+VLOOKUP(A41,COMISIONES!$C$2:$AS$33,43,0)</f>
        <v>#N/A</v>
      </c>
      <c r="M41" s="7" t="e">
        <f>+VLOOKUP(A41,COMISIONES!$C$2:$C$33,1,0)</f>
        <v>#N/A</v>
      </c>
    </row>
    <row r="42" spans="1:13">
      <c r="A42" s="98"/>
      <c r="B42" s="133"/>
      <c r="C42" s="98"/>
      <c r="D42" s="137"/>
      <c r="E42" s="98"/>
      <c r="F42" s="98"/>
      <c r="H42" s="98"/>
      <c r="I42" s="56"/>
      <c r="J42" s="56"/>
      <c r="K42" s="56"/>
      <c r="L42" s="33" t="e">
        <f>+VLOOKUP(A42,COMISIONES!$C$2:$AS$33,43,0)</f>
        <v>#N/A</v>
      </c>
      <c r="M42" s="7" t="e">
        <f>+VLOOKUP(A42,COMISIONES!$C$2:$C$33,1,0)</f>
        <v>#N/A</v>
      </c>
    </row>
    <row r="43" spans="1:13">
      <c r="A43" s="98"/>
      <c r="B43" s="133"/>
      <c r="C43" s="98"/>
      <c r="D43" s="137"/>
      <c r="E43" s="98"/>
      <c r="F43" s="98"/>
      <c r="H43" s="98"/>
      <c r="I43" s="56"/>
      <c r="J43" s="56"/>
      <c r="K43" s="56"/>
      <c r="L43" s="33" t="e">
        <f>+VLOOKUP(A43,COMISIONES!$C$2:$AS$33,43,0)</f>
        <v>#N/A</v>
      </c>
      <c r="M43" s="7" t="e">
        <f>+VLOOKUP(A43,COMISIONES!$C$2:$C$33,1,0)</f>
        <v>#N/A</v>
      </c>
    </row>
    <row r="44" spans="1:13">
      <c r="A44" s="98"/>
      <c r="B44" s="133"/>
      <c r="C44" s="98"/>
      <c r="D44" s="137"/>
      <c r="E44" s="98"/>
      <c r="F44" s="98"/>
      <c r="H44" s="98"/>
      <c r="I44" s="56"/>
      <c r="J44" s="56"/>
      <c r="K44" s="56"/>
      <c r="L44" s="33" t="e">
        <f>+VLOOKUP(A44,COMISIONES!$C$2:$AS$33,43,0)</f>
        <v>#N/A</v>
      </c>
      <c r="M44" s="7" t="e">
        <f>+VLOOKUP(A44,COMISIONES!$C$2:$C$33,1,0)</f>
        <v>#N/A</v>
      </c>
    </row>
    <row r="45" spans="1:13">
      <c r="A45" s="98"/>
      <c r="B45" s="133"/>
      <c r="C45" s="98"/>
      <c r="D45" s="137"/>
      <c r="E45" s="98"/>
      <c r="F45" s="98"/>
      <c r="H45" s="98"/>
      <c r="I45" s="56"/>
      <c r="J45" s="56"/>
      <c r="K45" s="56"/>
      <c r="L45" s="33" t="e">
        <f>+VLOOKUP(A45,COMISIONES!$C$2:$AS$33,43,0)</f>
        <v>#N/A</v>
      </c>
      <c r="M45" s="7" t="e">
        <f>+VLOOKUP(A45,COMISIONES!$C$2:$C$33,1,0)</f>
        <v>#N/A</v>
      </c>
    </row>
    <row r="46" spans="1:13">
      <c r="A46" s="98"/>
      <c r="B46" s="133"/>
      <c r="C46" s="98"/>
      <c r="D46" s="137"/>
      <c r="E46" s="98"/>
      <c r="F46" s="98"/>
      <c r="H46" s="98"/>
      <c r="I46" s="56"/>
      <c r="J46" s="56"/>
      <c r="K46" s="56"/>
      <c r="L46" s="33" t="e">
        <f>+VLOOKUP(A46,COMISIONES!$C$2:$AS$33,43,0)</f>
        <v>#N/A</v>
      </c>
      <c r="M46" s="7" t="e">
        <f>+VLOOKUP(A46,COMISIONES!$C$2:$C$33,1,0)</f>
        <v>#N/A</v>
      </c>
    </row>
    <row r="47" spans="1:13">
      <c r="A47" s="98"/>
      <c r="B47" s="133"/>
      <c r="C47" s="98"/>
      <c r="D47" s="137"/>
      <c r="E47" s="98"/>
      <c r="F47" s="98"/>
      <c r="H47" s="98"/>
      <c r="I47" s="56"/>
      <c r="J47" s="56"/>
      <c r="K47" s="56"/>
      <c r="L47" s="33" t="e">
        <f>+VLOOKUP(A47,COMISIONES!$C$2:$AS$33,43,0)</f>
        <v>#N/A</v>
      </c>
      <c r="M47" s="7" t="e">
        <f>+VLOOKUP(A47,COMISIONES!$C$2:$C$33,1,0)</f>
        <v>#N/A</v>
      </c>
    </row>
    <row r="48" spans="1:13">
      <c r="A48" s="98"/>
      <c r="B48" s="133"/>
      <c r="C48" s="98"/>
      <c r="D48" s="137"/>
      <c r="E48" s="98"/>
      <c r="F48" s="98"/>
      <c r="H48" s="98"/>
      <c r="I48" s="56"/>
      <c r="J48" s="56"/>
      <c r="K48" s="56"/>
      <c r="L48" s="33" t="e">
        <f>+VLOOKUP(A48,COMISIONES!$C$2:$AS$33,43,0)</f>
        <v>#N/A</v>
      </c>
      <c r="M48" s="7" t="e">
        <f>+VLOOKUP(A48,COMISIONES!$C$2:$C$33,1,0)</f>
        <v>#N/A</v>
      </c>
    </row>
    <row r="49" spans="1:13">
      <c r="A49" s="98"/>
      <c r="B49" s="133"/>
      <c r="C49" s="98"/>
      <c r="D49" s="137"/>
      <c r="E49" s="98"/>
      <c r="F49" s="98"/>
      <c r="H49" s="98"/>
      <c r="I49" s="56"/>
      <c r="J49" s="56"/>
      <c r="K49" s="56"/>
      <c r="L49" s="33" t="e">
        <f>+VLOOKUP(A49,COMISIONES!$C$2:$AS$33,43,0)</f>
        <v>#N/A</v>
      </c>
      <c r="M49" s="7" t="e">
        <f>+VLOOKUP(A49,COMISIONES!$C$2:$C$33,1,0)</f>
        <v>#N/A</v>
      </c>
    </row>
    <row r="50" spans="1:13">
      <c r="A50" s="98"/>
      <c r="B50" s="133"/>
      <c r="C50" s="98"/>
      <c r="D50" s="137"/>
      <c r="E50" s="98"/>
      <c r="F50" s="98"/>
      <c r="H50" s="98"/>
      <c r="I50" s="56"/>
      <c r="J50" s="56"/>
      <c r="K50" s="56"/>
      <c r="L50" s="33" t="e">
        <f>+VLOOKUP(A50,COMISIONES!$C$2:$AS$33,43,0)</f>
        <v>#N/A</v>
      </c>
      <c r="M50" s="7" t="e">
        <f>+VLOOKUP(A50,COMISIONES!$C$2:$C$33,1,0)</f>
        <v>#N/A</v>
      </c>
    </row>
    <row r="51" spans="1:13">
      <c r="A51" s="98"/>
      <c r="B51" s="133"/>
      <c r="C51" s="98"/>
      <c r="D51" s="137"/>
      <c r="E51" s="98"/>
      <c r="F51" s="98"/>
      <c r="H51" s="98"/>
      <c r="I51" s="56"/>
      <c r="J51" s="56"/>
      <c r="K51" s="56"/>
      <c r="L51" s="33" t="e">
        <f>+VLOOKUP(A51,COMISIONES!$C$2:$AS$33,43,0)</f>
        <v>#N/A</v>
      </c>
      <c r="M51" s="7" t="e">
        <f>+VLOOKUP(A51,COMISIONES!$C$2:$C$33,1,0)</f>
        <v>#N/A</v>
      </c>
    </row>
    <row r="52" spans="1:13">
      <c r="A52" s="98"/>
      <c r="B52" s="133"/>
      <c r="C52" s="98"/>
      <c r="D52" s="137"/>
      <c r="E52" s="98"/>
      <c r="F52" s="98"/>
      <c r="H52" s="98"/>
      <c r="I52" s="56"/>
      <c r="J52" s="56"/>
      <c r="K52" s="56"/>
      <c r="L52" s="33" t="e">
        <f>+VLOOKUP(A52,COMISIONES!$C$2:$AS$33,43,0)</f>
        <v>#N/A</v>
      </c>
      <c r="M52" s="7" t="e">
        <f>+VLOOKUP(A52,COMISIONES!$C$2:$C$33,1,0)</f>
        <v>#N/A</v>
      </c>
    </row>
    <row r="53" spans="1:13">
      <c r="A53" s="98"/>
      <c r="B53" s="133"/>
      <c r="C53" s="98"/>
      <c r="D53" s="137"/>
      <c r="E53" s="98"/>
      <c r="F53" s="98"/>
      <c r="H53" s="98"/>
      <c r="I53" s="56"/>
      <c r="J53" s="56"/>
      <c r="K53" s="56"/>
      <c r="L53" s="33" t="e">
        <f>+VLOOKUP(A53,COMISIONES!$C$2:$AS$33,43,0)</f>
        <v>#N/A</v>
      </c>
      <c r="M53" s="7" t="e">
        <f>+VLOOKUP(A53,COMISIONES!$C$2:$C$33,1,0)</f>
        <v>#N/A</v>
      </c>
    </row>
    <row r="54" spans="1:13">
      <c r="A54" s="98"/>
      <c r="B54" s="133"/>
      <c r="C54" s="98"/>
      <c r="D54" s="137"/>
      <c r="E54" s="98"/>
      <c r="F54" s="98"/>
      <c r="H54" s="98"/>
      <c r="I54" s="56"/>
      <c r="J54" s="56"/>
      <c r="K54" s="56"/>
      <c r="L54" s="33" t="e">
        <f>+VLOOKUP(A54,COMISIONES!$C$2:$AS$33,43,0)</f>
        <v>#N/A</v>
      </c>
      <c r="M54" s="7" t="e">
        <f>+VLOOKUP(A54,COMISIONES!$C$2:$C$33,1,0)</f>
        <v>#N/A</v>
      </c>
    </row>
    <row r="55" spans="1:13">
      <c r="A55" s="98"/>
      <c r="B55" s="133"/>
      <c r="C55" s="98"/>
      <c r="D55" s="137"/>
      <c r="E55" s="98"/>
      <c r="F55" s="98"/>
      <c r="H55" s="98"/>
      <c r="I55" s="56"/>
      <c r="J55" s="56"/>
      <c r="K55" s="56"/>
      <c r="L55" s="33" t="e">
        <f>+VLOOKUP(A55,COMISIONES!$C$2:$AS$33,43,0)</f>
        <v>#N/A</v>
      </c>
      <c r="M55" s="7" t="e">
        <f>+VLOOKUP(A55,COMISIONES!$C$2:$C$33,1,0)</f>
        <v>#N/A</v>
      </c>
    </row>
    <row r="56" spans="1:13">
      <c r="A56" s="98"/>
      <c r="B56" s="133"/>
      <c r="C56" s="98"/>
      <c r="D56" s="137"/>
      <c r="E56" s="98"/>
      <c r="F56" s="98"/>
      <c r="H56" s="98"/>
      <c r="I56" s="56"/>
      <c r="J56" s="56"/>
      <c r="K56" s="56"/>
      <c r="L56" s="33" t="e">
        <f>+VLOOKUP(A56,COMISIONES!$C$2:$AS$33,43,0)</f>
        <v>#N/A</v>
      </c>
      <c r="M56" s="7" t="e">
        <f>+VLOOKUP(A56,COMISIONES!$C$2:$C$33,1,0)</f>
        <v>#N/A</v>
      </c>
    </row>
    <row r="57" spans="1:13">
      <c r="A57" s="98"/>
      <c r="B57" s="133"/>
      <c r="C57" s="98"/>
      <c r="D57" s="137"/>
      <c r="E57" s="98"/>
      <c r="F57" s="98"/>
      <c r="H57" s="98"/>
      <c r="I57" s="56"/>
      <c r="J57" s="56"/>
      <c r="K57" s="56"/>
      <c r="L57" s="33" t="e">
        <f>+VLOOKUP(A57,COMISIONES!$C$2:$AS$33,43,0)</f>
        <v>#N/A</v>
      </c>
      <c r="M57" s="7" t="e">
        <f>+VLOOKUP(A57,COMISIONES!$C$2:$C$33,1,0)</f>
        <v>#N/A</v>
      </c>
    </row>
    <row r="58" spans="1:13">
      <c r="A58" s="98"/>
      <c r="B58" s="133"/>
      <c r="C58" s="98"/>
      <c r="D58" s="137"/>
      <c r="E58" s="98"/>
      <c r="F58" s="98"/>
      <c r="H58" s="98"/>
      <c r="I58" s="56"/>
      <c r="J58" s="56"/>
      <c r="K58" s="56"/>
      <c r="L58" s="33" t="e">
        <f>+VLOOKUP(A58,COMISIONES!$C$2:$AS$33,43,0)</f>
        <v>#N/A</v>
      </c>
      <c r="M58" s="7" t="e">
        <f>+VLOOKUP(A58,COMISIONES!$C$2:$C$33,1,0)</f>
        <v>#N/A</v>
      </c>
    </row>
    <row r="59" spans="1:13">
      <c r="A59" s="98"/>
      <c r="B59" s="133"/>
      <c r="C59" s="98"/>
      <c r="D59" s="137"/>
      <c r="E59" s="98"/>
      <c r="F59" s="98"/>
      <c r="H59" s="98"/>
      <c r="I59" s="56"/>
      <c r="J59" s="56"/>
      <c r="K59" s="56"/>
      <c r="L59" s="33" t="e">
        <f>+VLOOKUP(A59,COMISIONES!$C$2:$AS$33,43,0)</f>
        <v>#N/A</v>
      </c>
      <c r="M59" s="7" t="e">
        <f>+VLOOKUP(A59,COMISIONES!$C$2:$C$33,1,0)</f>
        <v>#N/A</v>
      </c>
    </row>
    <row r="60" spans="1:13">
      <c r="A60" s="98"/>
      <c r="B60" s="133"/>
      <c r="C60" s="98"/>
      <c r="D60" s="137"/>
      <c r="E60" s="98"/>
      <c r="F60" s="98"/>
      <c r="H60" s="98"/>
      <c r="I60" s="56"/>
      <c r="J60" s="56"/>
      <c r="K60" s="56"/>
      <c r="L60" s="33" t="e">
        <f>+VLOOKUP(A60,COMISIONES!$C$2:$AS$33,43,0)</f>
        <v>#N/A</v>
      </c>
      <c r="M60" s="7" t="e">
        <f>+VLOOKUP(A60,COMISIONES!$C$2:$C$33,1,0)</f>
        <v>#N/A</v>
      </c>
    </row>
    <row r="61" spans="1:13">
      <c r="A61" s="98"/>
      <c r="B61" s="133"/>
      <c r="C61" s="98"/>
      <c r="D61" s="137"/>
      <c r="E61" s="98"/>
      <c r="F61" s="98"/>
      <c r="H61" s="98"/>
      <c r="I61" s="56"/>
      <c r="J61" s="56"/>
      <c r="K61" s="56"/>
      <c r="L61" s="33" t="e">
        <f>+VLOOKUP(A61,COMISIONES!$C$2:$AS$33,43,0)</f>
        <v>#N/A</v>
      </c>
      <c r="M61" s="7" t="e">
        <f>+VLOOKUP(A61,COMISIONES!$C$2:$C$33,1,0)</f>
        <v>#N/A</v>
      </c>
    </row>
    <row r="62" spans="1:13">
      <c r="A62" s="98"/>
      <c r="B62" s="133"/>
      <c r="C62" s="98"/>
      <c r="D62" s="137"/>
      <c r="E62" s="98"/>
      <c r="F62" s="98"/>
      <c r="H62" s="98"/>
      <c r="I62" s="56"/>
      <c r="J62" s="56"/>
      <c r="K62" s="56"/>
      <c r="L62" s="33" t="e">
        <f>+VLOOKUP(A62,COMISIONES!$C$2:$AS$33,43,0)</f>
        <v>#N/A</v>
      </c>
      <c r="M62" s="7" t="e">
        <f>+VLOOKUP(A62,COMISIONES!$C$2:$C$33,1,0)</f>
        <v>#N/A</v>
      </c>
    </row>
    <row r="63" spans="1:13">
      <c r="A63" s="98"/>
      <c r="B63" s="133"/>
      <c r="C63" s="98"/>
      <c r="D63" s="137"/>
      <c r="E63" s="98"/>
      <c r="F63" s="98"/>
      <c r="H63" s="98"/>
      <c r="I63" s="56"/>
      <c r="J63" s="56"/>
      <c r="K63" s="56"/>
      <c r="L63" s="33" t="e">
        <f>+VLOOKUP(A63,COMISIONES!$C$2:$AS$33,43,0)</f>
        <v>#N/A</v>
      </c>
      <c r="M63" s="7" t="e">
        <f>+VLOOKUP(A63,COMISIONES!$C$2:$C$33,1,0)</f>
        <v>#N/A</v>
      </c>
    </row>
    <row r="64" spans="1:13">
      <c r="A64" s="98"/>
      <c r="B64" s="133"/>
      <c r="C64" s="98"/>
      <c r="D64" s="137"/>
      <c r="E64" s="98"/>
      <c r="F64" s="98"/>
      <c r="H64" s="98"/>
      <c r="I64" s="56"/>
      <c r="J64" s="56"/>
      <c r="K64" s="56"/>
      <c r="L64" s="33" t="e">
        <f>+VLOOKUP(A64,COMISIONES!$C$2:$AS$33,43,0)</f>
        <v>#N/A</v>
      </c>
      <c r="M64" s="7" t="e">
        <f>+VLOOKUP(A64,COMISIONES!$C$2:$C$33,1,0)</f>
        <v>#N/A</v>
      </c>
    </row>
    <row r="65" spans="1:13">
      <c r="A65" s="98"/>
      <c r="B65" s="133"/>
      <c r="C65" s="98"/>
      <c r="D65" s="137"/>
      <c r="E65" s="98"/>
      <c r="F65" s="98"/>
      <c r="H65" s="98"/>
      <c r="I65" s="56"/>
      <c r="J65" s="56"/>
      <c r="K65" s="56"/>
      <c r="L65" s="33" t="e">
        <f>+VLOOKUP(A65,COMISIONES!$C$2:$AS$33,43,0)</f>
        <v>#N/A</v>
      </c>
      <c r="M65" s="7" t="e">
        <f>+VLOOKUP(A65,COMISIONES!$C$2:$C$33,1,0)</f>
        <v>#N/A</v>
      </c>
    </row>
    <row r="66" spans="1:13">
      <c r="A66" s="98"/>
      <c r="B66" s="133"/>
      <c r="C66" s="98"/>
      <c r="D66" s="137"/>
      <c r="E66" s="98"/>
      <c r="F66" s="98"/>
      <c r="H66" s="98"/>
      <c r="I66" s="56"/>
      <c r="J66" s="56"/>
      <c r="K66" s="56"/>
      <c r="L66" s="33" t="e">
        <f>+VLOOKUP(A66,COMISIONES!$C$2:$AS$33,43,0)</f>
        <v>#N/A</v>
      </c>
      <c r="M66" s="7" t="e">
        <f>+VLOOKUP(A66,COMISIONES!$C$2:$C$33,1,0)</f>
        <v>#N/A</v>
      </c>
    </row>
    <row r="67" spans="1:13">
      <c r="A67" s="98"/>
      <c r="B67" s="133"/>
      <c r="C67" s="98"/>
      <c r="D67" s="137"/>
      <c r="E67" s="98"/>
      <c r="F67" s="98"/>
      <c r="H67" s="98"/>
      <c r="I67" s="56"/>
      <c r="J67" s="56"/>
      <c r="K67" s="56"/>
      <c r="L67" s="33" t="e">
        <f>+VLOOKUP(A67,COMISIONES!$C$2:$AS$33,43,0)</f>
        <v>#N/A</v>
      </c>
      <c r="M67" s="7" t="e">
        <f>+VLOOKUP(A67,COMISIONES!$C$2:$C$33,1,0)</f>
        <v>#N/A</v>
      </c>
    </row>
    <row r="68" spans="1:13">
      <c r="A68" s="98"/>
      <c r="B68" s="133"/>
      <c r="C68" s="98"/>
      <c r="D68" s="137"/>
      <c r="E68" s="98"/>
      <c r="F68" s="98"/>
      <c r="H68" s="98"/>
      <c r="I68" s="56"/>
      <c r="J68" s="56"/>
      <c r="K68" s="56"/>
      <c r="L68" s="33" t="e">
        <f>+VLOOKUP(A68,COMISIONES!$C$2:$AS$33,43,0)</f>
        <v>#N/A</v>
      </c>
      <c r="M68" s="7" t="e">
        <f>+VLOOKUP(A68,COMISIONES!$C$2:$C$33,1,0)</f>
        <v>#N/A</v>
      </c>
    </row>
    <row r="69" spans="1:13">
      <c r="A69" s="98"/>
      <c r="B69" s="133"/>
      <c r="C69" s="98"/>
      <c r="D69" s="137"/>
      <c r="E69" s="98"/>
      <c r="F69" s="98"/>
      <c r="H69" s="98"/>
      <c r="I69" s="56"/>
      <c r="J69" s="56"/>
      <c r="K69" s="56"/>
      <c r="L69" s="33" t="e">
        <f>+VLOOKUP(A69,COMISIONES!$C$2:$AS$33,43,0)</f>
        <v>#N/A</v>
      </c>
      <c r="M69" s="7" t="e">
        <f>+VLOOKUP(A69,COMISIONES!$C$2:$C$33,1,0)</f>
        <v>#N/A</v>
      </c>
    </row>
    <row r="70" spans="1:13">
      <c r="A70" s="98"/>
      <c r="B70" s="133"/>
      <c r="C70" s="98"/>
      <c r="D70" s="137"/>
      <c r="E70" s="98"/>
      <c r="F70" s="98"/>
      <c r="H70" s="98"/>
      <c r="I70" s="56"/>
      <c r="J70" s="56"/>
      <c r="K70" s="56"/>
      <c r="L70" s="33" t="e">
        <f>+VLOOKUP(A70,COMISIONES!$C$2:$AS$33,43,0)</f>
        <v>#N/A</v>
      </c>
      <c r="M70" s="7" t="e">
        <f>+VLOOKUP(A70,COMISIONES!$C$2:$C$33,1,0)</f>
        <v>#N/A</v>
      </c>
    </row>
    <row r="71" spans="1:13">
      <c r="A71" s="98"/>
      <c r="B71" s="133"/>
      <c r="C71" s="98"/>
      <c r="D71" s="137"/>
      <c r="E71" s="98"/>
      <c r="F71" s="98"/>
      <c r="H71" s="98"/>
      <c r="I71" s="56"/>
      <c r="J71" s="56"/>
      <c r="K71" s="56"/>
      <c r="L71" s="33" t="e">
        <f>+VLOOKUP(A71,COMISIONES!$C$2:$AS$33,43,0)</f>
        <v>#N/A</v>
      </c>
      <c r="M71" s="7" t="e">
        <f>+VLOOKUP(A71,COMISIONES!$C$2:$C$33,1,0)</f>
        <v>#N/A</v>
      </c>
    </row>
    <row r="72" spans="1:13">
      <c r="A72" s="98"/>
      <c r="B72" s="133"/>
      <c r="C72" s="98"/>
      <c r="D72" s="137"/>
      <c r="E72" s="98"/>
      <c r="F72" s="98"/>
      <c r="H72" s="98"/>
      <c r="I72" s="56"/>
      <c r="J72" s="56"/>
      <c r="K72" s="56"/>
      <c r="L72" s="33" t="e">
        <f>+VLOOKUP(A72,COMISIONES!$C$2:$AS$33,43,0)</f>
        <v>#N/A</v>
      </c>
      <c r="M72" s="7" t="e">
        <f>+VLOOKUP(A72,COMISIONES!$C$2:$C$33,1,0)</f>
        <v>#N/A</v>
      </c>
    </row>
    <row r="73" spans="1:13">
      <c r="A73" s="98"/>
      <c r="B73" s="133"/>
      <c r="C73" s="133"/>
      <c r="D73" s="137"/>
      <c r="E73" s="133"/>
      <c r="F73" s="133"/>
      <c r="H73" s="98"/>
      <c r="I73" s="56"/>
      <c r="J73" s="56"/>
      <c r="K73" s="56"/>
      <c r="L73" s="33" t="e">
        <f>+VLOOKUP(A73,COMISIONES!$C$2:$AS$33,43,0)</f>
        <v>#N/A</v>
      </c>
      <c r="M73" s="7" t="e">
        <f>+VLOOKUP(A73,COMISIONES!$C$2:$C$33,1,0)</f>
        <v>#N/A</v>
      </c>
    </row>
    <row r="74" spans="1:13">
      <c r="A74" s="98"/>
      <c r="B74" s="133"/>
      <c r="C74" s="98"/>
      <c r="D74" s="137"/>
      <c r="E74" s="98"/>
      <c r="F74" s="98"/>
      <c r="H74" s="98"/>
      <c r="I74" s="56"/>
      <c r="J74" s="56"/>
      <c r="K74" s="56"/>
      <c r="L74" s="33" t="e">
        <f>+VLOOKUP(A74,COMISIONES!$C$2:$AS$33,43,0)</f>
        <v>#N/A</v>
      </c>
      <c r="M74" s="7" t="e">
        <f>+VLOOKUP(A74,COMISIONES!$C$2:$C$33,1,0)</f>
        <v>#N/A</v>
      </c>
    </row>
    <row r="75" spans="1:13">
      <c r="A75" s="98"/>
      <c r="B75" s="133"/>
      <c r="C75" s="98"/>
      <c r="D75" s="137"/>
      <c r="E75" s="98"/>
      <c r="F75" s="98"/>
      <c r="H75" s="98"/>
      <c r="I75" s="56"/>
      <c r="J75" s="56"/>
      <c r="K75" s="56"/>
      <c r="L75" s="33" t="e">
        <f>+VLOOKUP(A75,COMISIONES!$C$2:$AS$33,43,0)</f>
        <v>#N/A</v>
      </c>
      <c r="M75" s="7" t="e">
        <f>+VLOOKUP(A75,COMISIONES!$C$2:$C$33,1,0)</f>
        <v>#N/A</v>
      </c>
    </row>
    <row r="76" spans="1:13">
      <c r="A76" s="98"/>
      <c r="B76" s="133"/>
      <c r="C76" s="133"/>
      <c r="D76" s="137"/>
      <c r="E76" s="133"/>
      <c r="F76" s="133"/>
      <c r="H76" s="98"/>
      <c r="I76" s="56"/>
      <c r="J76" s="56"/>
      <c r="K76" s="56"/>
      <c r="L76" s="33" t="e">
        <f>+VLOOKUP(A76,COMISIONES!$C$2:$AS$33,43,0)</f>
        <v>#N/A</v>
      </c>
      <c r="M76" s="7" t="e">
        <f>+VLOOKUP(A76,COMISIONES!$C$2:$C$33,1,0)</f>
        <v>#N/A</v>
      </c>
    </row>
    <row r="77" spans="1:13">
      <c r="A77" s="98"/>
      <c r="B77" s="133"/>
      <c r="C77" s="98"/>
      <c r="D77" s="137"/>
      <c r="E77" s="98"/>
      <c r="F77" s="98"/>
      <c r="H77" s="98"/>
      <c r="I77" s="56"/>
      <c r="J77" s="56"/>
      <c r="K77" s="56"/>
      <c r="L77" s="33" t="e">
        <f>+VLOOKUP(A77,COMISIONES!$C$2:$AS$33,43,0)</f>
        <v>#N/A</v>
      </c>
      <c r="M77" s="7" t="e">
        <f>+VLOOKUP(A77,COMISIONES!$C$2:$C$33,1,0)</f>
        <v>#N/A</v>
      </c>
    </row>
    <row r="78" spans="1:13">
      <c r="A78" s="98"/>
      <c r="B78" s="133"/>
      <c r="C78" s="133"/>
      <c r="D78" s="137"/>
      <c r="E78" s="133"/>
      <c r="F78" s="133"/>
      <c r="H78" s="98"/>
      <c r="I78" s="56"/>
      <c r="J78" s="56"/>
      <c r="K78" s="56"/>
      <c r="L78" s="33" t="e">
        <f>+VLOOKUP(A78,COMISIONES!$C$2:$AS$33,43,0)</f>
        <v>#N/A</v>
      </c>
      <c r="M78" s="7" t="e">
        <f>+VLOOKUP(A78,COMISIONES!$C$2:$C$33,1,0)</f>
        <v>#N/A</v>
      </c>
    </row>
    <row r="79" spans="1:13">
      <c r="A79" s="98"/>
      <c r="B79" s="133"/>
      <c r="C79" s="133"/>
      <c r="D79" s="137"/>
      <c r="E79" s="133"/>
      <c r="F79" s="133"/>
      <c r="H79" s="98"/>
      <c r="I79" s="56"/>
      <c r="J79" s="56"/>
      <c r="K79" s="56"/>
      <c r="L79" s="33" t="e">
        <f>+VLOOKUP(A79,COMISIONES!$C$2:$AS$33,43,0)</f>
        <v>#N/A</v>
      </c>
      <c r="M79" s="7" t="e">
        <f>+VLOOKUP(A79,COMISIONES!$C$2:$C$33,1,0)</f>
        <v>#N/A</v>
      </c>
    </row>
    <row r="80" spans="1:13">
      <c r="A80" s="98"/>
      <c r="B80" s="133"/>
      <c r="C80" s="98"/>
      <c r="D80" s="137"/>
      <c r="E80" s="98"/>
      <c r="F80" s="98"/>
      <c r="H80" s="98"/>
      <c r="I80" s="56"/>
      <c r="J80" s="56"/>
      <c r="K80" s="56"/>
      <c r="L80" s="33" t="e">
        <f>+VLOOKUP(A80,COMISIONES!$C$2:$AS$33,43,0)</f>
        <v>#N/A</v>
      </c>
      <c r="M80" s="7" t="e">
        <f>+VLOOKUP(A80,COMISIONES!$C$2:$C$33,1,0)</f>
        <v>#N/A</v>
      </c>
    </row>
    <row r="81" spans="1:13">
      <c r="A81" s="98"/>
      <c r="B81" s="133"/>
      <c r="C81" s="98"/>
      <c r="D81" s="137"/>
      <c r="E81" s="98"/>
      <c r="F81" s="98"/>
      <c r="H81" s="98"/>
      <c r="I81" s="56"/>
      <c r="J81" s="56"/>
      <c r="K81" s="56"/>
      <c r="L81" s="33" t="e">
        <f>+VLOOKUP(A81,COMISIONES!$C$2:$AS$33,43,0)</f>
        <v>#N/A</v>
      </c>
      <c r="M81" s="7" t="e">
        <f>+VLOOKUP(A81,COMISIONES!$C$2:$C$33,1,0)</f>
        <v>#N/A</v>
      </c>
    </row>
    <row r="82" spans="1:13">
      <c r="A82" s="98"/>
      <c r="B82" s="133"/>
      <c r="C82" s="98"/>
      <c r="D82" s="137"/>
      <c r="E82" s="98"/>
      <c r="F82" s="98"/>
      <c r="H82" s="98"/>
      <c r="I82" s="56"/>
      <c r="J82" s="56"/>
      <c r="K82" s="56"/>
      <c r="L82" s="33" t="e">
        <f>+VLOOKUP(A82,COMISIONES!$C$2:$AS$33,43,0)</f>
        <v>#N/A</v>
      </c>
      <c r="M82" s="7" t="e">
        <f>+VLOOKUP(A82,COMISIONES!$C$2:$C$33,1,0)</f>
        <v>#N/A</v>
      </c>
    </row>
    <row r="83" spans="1:13">
      <c r="A83" s="98"/>
      <c r="B83" s="133"/>
      <c r="C83" s="98"/>
      <c r="D83" s="137"/>
      <c r="E83" s="98"/>
      <c r="F83" s="98"/>
      <c r="H83" s="98"/>
      <c r="I83" s="56"/>
      <c r="J83" s="56"/>
      <c r="K83" s="56"/>
      <c r="L83" s="33" t="e">
        <f>+VLOOKUP(A83,COMISIONES!$C$2:$AS$33,43,0)</f>
        <v>#N/A</v>
      </c>
      <c r="M83" s="7" t="e">
        <f>+VLOOKUP(A83,COMISIONES!$C$2:$C$33,1,0)</f>
        <v>#N/A</v>
      </c>
    </row>
    <row r="84" spans="1:13">
      <c r="A84" s="98"/>
      <c r="B84" s="133"/>
      <c r="C84" s="133"/>
      <c r="D84" s="137"/>
      <c r="E84" s="133"/>
      <c r="F84" s="133"/>
      <c r="H84" s="98"/>
      <c r="I84" s="56"/>
      <c r="J84" s="56"/>
      <c r="K84" s="56"/>
      <c r="L84" s="33" t="e">
        <f>+VLOOKUP(A84,COMISIONES!$C$2:$AS$33,43,0)</f>
        <v>#N/A</v>
      </c>
      <c r="M84" s="7" t="e">
        <f>+VLOOKUP(A84,COMISIONES!$C$2:$C$33,1,0)</f>
        <v>#N/A</v>
      </c>
    </row>
    <row r="85" spans="1:13">
      <c r="A85" s="98"/>
      <c r="B85" s="133"/>
      <c r="C85" s="98"/>
      <c r="D85" s="137"/>
      <c r="E85" s="98"/>
      <c r="F85" s="98"/>
      <c r="H85" s="98"/>
      <c r="I85" s="56"/>
      <c r="J85" s="56"/>
      <c r="K85" s="56"/>
      <c r="L85" s="33" t="e">
        <f>+VLOOKUP(A85,COMISIONES!$C$2:$AS$33,43,0)</f>
        <v>#N/A</v>
      </c>
      <c r="M85" s="7" t="e">
        <f>+VLOOKUP(A85,COMISIONES!$C$2:$C$33,1,0)</f>
        <v>#N/A</v>
      </c>
    </row>
    <row r="86" spans="1:13">
      <c r="A86" s="98"/>
      <c r="B86" s="133"/>
      <c r="C86" s="98"/>
      <c r="D86" s="137"/>
      <c r="E86" s="98"/>
      <c r="F86" s="98"/>
      <c r="H86" s="98"/>
      <c r="I86" s="56"/>
      <c r="J86" s="56"/>
      <c r="K86" s="56"/>
      <c r="L86" s="33" t="e">
        <f>+VLOOKUP(A86,COMISIONES!$C$2:$AS$33,43,0)</f>
        <v>#N/A</v>
      </c>
      <c r="M86" s="7" t="e">
        <f>+VLOOKUP(A86,COMISIONES!$C$2:$C$33,1,0)</f>
        <v>#N/A</v>
      </c>
    </row>
    <row r="87" spans="1:13">
      <c r="A87" s="98"/>
      <c r="B87" s="133"/>
      <c r="C87" s="98"/>
      <c r="D87" s="137"/>
      <c r="E87" s="98"/>
      <c r="F87" s="98"/>
      <c r="H87" s="98"/>
      <c r="I87" s="56"/>
      <c r="J87" s="56"/>
      <c r="K87" s="56"/>
      <c r="L87" s="33" t="e">
        <f>+VLOOKUP(A87,COMISIONES!$C$2:$AS$33,43,0)</f>
        <v>#N/A</v>
      </c>
      <c r="M87" s="7" t="e">
        <f>+VLOOKUP(A87,COMISIONES!$C$2:$C$33,1,0)</f>
        <v>#N/A</v>
      </c>
    </row>
    <row r="88" spans="1:13">
      <c r="A88" s="98"/>
      <c r="B88" s="133"/>
      <c r="C88" s="98"/>
      <c r="D88" s="137"/>
      <c r="E88" s="98"/>
      <c r="F88" s="98"/>
      <c r="H88" s="98"/>
      <c r="I88" s="56"/>
      <c r="J88" s="56"/>
      <c r="K88" s="56"/>
      <c r="L88" s="33" t="e">
        <f>+VLOOKUP(A88,COMISIONES!$C$2:$AS$33,43,0)</f>
        <v>#N/A</v>
      </c>
      <c r="M88" s="7" t="e">
        <f>+VLOOKUP(A88,COMISIONES!$C$2:$C$33,1,0)</f>
        <v>#N/A</v>
      </c>
    </row>
    <row r="89" spans="1:13">
      <c r="A89" s="98"/>
      <c r="B89" s="133"/>
      <c r="C89" s="98"/>
      <c r="D89" s="137"/>
      <c r="E89" s="98"/>
      <c r="F89" s="98"/>
      <c r="H89" s="98"/>
      <c r="I89" s="56"/>
      <c r="J89" s="56"/>
      <c r="K89" s="56"/>
      <c r="L89" s="33" t="e">
        <f>+VLOOKUP(A89,COMISIONES!$C$2:$AS$33,43,0)</f>
        <v>#N/A</v>
      </c>
      <c r="M89" s="7" t="e">
        <f>+VLOOKUP(A89,COMISIONES!$C$2:$C$33,1,0)</f>
        <v>#N/A</v>
      </c>
    </row>
    <row r="90" spans="1:13">
      <c r="A90" s="98"/>
      <c r="B90" s="133"/>
      <c r="C90" s="98"/>
      <c r="D90" s="137"/>
      <c r="E90" s="98"/>
      <c r="F90" s="98"/>
      <c r="H90" s="98"/>
      <c r="I90" s="56"/>
      <c r="J90" s="56"/>
      <c r="K90" s="56"/>
      <c r="L90" s="33" t="e">
        <f>+VLOOKUP(A90,COMISIONES!$C$2:$AS$33,43,0)</f>
        <v>#N/A</v>
      </c>
      <c r="M90" s="7" t="e">
        <f>+VLOOKUP(A90,COMISIONES!$C$2:$C$33,1,0)</f>
        <v>#N/A</v>
      </c>
    </row>
    <row r="91" spans="1:13">
      <c r="A91" s="98"/>
      <c r="B91" s="133"/>
      <c r="C91" s="98"/>
      <c r="D91" s="137"/>
      <c r="E91" s="98"/>
      <c r="F91" s="98"/>
      <c r="H91" s="98"/>
      <c r="I91" s="56"/>
      <c r="J91" s="56"/>
      <c r="K91" s="56"/>
      <c r="L91" s="33" t="e">
        <f>+VLOOKUP(A91,COMISIONES!$C$2:$AS$33,43,0)</f>
        <v>#N/A</v>
      </c>
      <c r="M91" s="7" t="e">
        <f>+VLOOKUP(A91,COMISIONES!$C$2:$C$33,1,0)</f>
        <v>#N/A</v>
      </c>
    </row>
    <row r="92" spans="1:13">
      <c r="A92" s="98"/>
      <c r="B92" s="133"/>
      <c r="C92" s="98"/>
      <c r="D92" s="137"/>
      <c r="E92" s="98"/>
      <c r="F92" s="98"/>
      <c r="H92" s="98"/>
      <c r="I92" s="56"/>
      <c r="J92" s="56"/>
      <c r="K92" s="56"/>
      <c r="L92" s="33" t="e">
        <f>+VLOOKUP(A92,COMISIONES!$C$2:$AS$33,43,0)</f>
        <v>#N/A</v>
      </c>
      <c r="M92" s="7" t="e">
        <f>+VLOOKUP(A92,COMISIONES!$C$2:$C$33,1,0)</f>
        <v>#N/A</v>
      </c>
    </row>
    <row r="93" spans="1:13">
      <c r="A93" s="197"/>
      <c r="B93" s="133"/>
      <c r="C93" s="98"/>
      <c r="D93" s="137"/>
      <c r="E93" s="98"/>
      <c r="F93" s="98"/>
      <c r="H93" s="98"/>
      <c r="I93" s="56"/>
      <c r="J93" s="56"/>
      <c r="K93" s="56"/>
      <c r="L93" s="33" t="e">
        <f>+VLOOKUP(A93,COMISIONES!$C$2:$AS$33,43,0)</f>
        <v>#N/A</v>
      </c>
      <c r="M93" s="7" t="e">
        <f>+VLOOKUP(A93,COMISIONES!$C$2:$C$33,1,0)</f>
        <v>#N/A</v>
      </c>
    </row>
    <row r="94" spans="1:13">
      <c r="A94" s="98"/>
      <c r="B94" s="133"/>
      <c r="C94" s="98"/>
      <c r="D94" s="137"/>
      <c r="E94" s="98"/>
      <c r="F94" s="98"/>
      <c r="H94" s="98"/>
      <c r="I94" s="56"/>
      <c r="J94" s="56"/>
      <c r="K94" s="56"/>
      <c r="L94" s="33" t="e">
        <f>+VLOOKUP(A94,COMISIONES!$C$2:$AS$33,43,0)</f>
        <v>#N/A</v>
      </c>
      <c r="M94" s="7" t="e">
        <f>+VLOOKUP(A94,COMISIONES!$C$2:$C$33,1,0)</f>
        <v>#N/A</v>
      </c>
    </row>
    <row r="95" spans="1:13">
      <c r="A95" s="98"/>
      <c r="B95" s="133"/>
      <c r="C95" s="98"/>
      <c r="D95" s="137"/>
      <c r="E95" s="98"/>
      <c r="F95" s="98"/>
      <c r="H95" s="98"/>
      <c r="I95" s="56"/>
      <c r="J95" s="56"/>
      <c r="K95" s="56"/>
      <c r="L95" s="33" t="e">
        <f>+VLOOKUP(A95,COMISIONES!$C$2:$AS$33,43,0)</f>
        <v>#N/A</v>
      </c>
      <c r="M95" s="7" t="e">
        <f>+VLOOKUP(A95,COMISIONES!$C$2:$C$33,1,0)</f>
        <v>#N/A</v>
      </c>
    </row>
    <row r="96" spans="1:13">
      <c r="A96" s="98"/>
      <c r="B96" s="133"/>
      <c r="C96" s="98"/>
      <c r="D96" s="137"/>
      <c r="E96" s="98"/>
      <c r="F96" s="98"/>
      <c r="H96" s="98"/>
      <c r="I96" s="56"/>
      <c r="J96" s="56"/>
      <c r="K96" s="56"/>
      <c r="L96" s="33" t="e">
        <f>+VLOOKUP(A96,COMISIONES!$C$2:$AS$33,43,0)</f>
        <v>#N/A</v>
      </c>
      <c r="M96" s="7" t="e">
        <f>+VLOOKUP(A96,COMISIONES!$C$2:$C$33,1,0)</f>
        <v>#N/A</v>
      </c>
    </row>
    <row r="97" spans="1:13">
      <c r="A97" s="98"/>
      <c r="B97" s="133"/>
      <c r="C97" s="98"/>
      <c r="D97" s="137"/>
      <c r="E97" s="98"/>
      <c r="F97" s="98"/>
      <c r="H97" s="98"/>
      <c r="I97" s="56"/>
      <c r="J97" s="56"/>
      <c r="K97" s="56"/>
      <c r="L97" s="33" t="e">
        <f>+VLOOKUP(A97,COMISIONES!$C$2:$AS$33,43,0)</f>
        <v>#N/A</v>
      </c>
      <c r="M97" s="7" t="e">
        <f>+VLOOKUP(A97,COMISIONES!$C$2:$C$33,1,0)</f>
        <v>#N/A</v>
      </c>
    </row>
    <row r="98" spans="1:13">
      <c r="A98" s="98"/>
      <c r="B98" s="133"/>
      <c r="C98" s="98"/>
      <c r="D98" s="137"/>
      <c r="E98" s="98"/>
      <c r="F98" s="98"/>
      <c r="H98" s="98"/>
      <c r="I98" s="56"/>
      <c r="J98" s="56"/>
      <c r="K98" s="56"/>
      <c r="L98" s="33" t="e">
        <f>+VLOOKUP(A98,COMISIONES!$C$2:$AS$33,43,0)</f>
        <v>#N/A</v>
      </c>
      <c r="M98" s="7" t="e">
        <f>+VLOOKUP(A98,COMISIONES!$C$2:$C$33,1,0)</f>
        <v>#N/A</v>
      </c>
    </row>
    <row r="99" spans="1:13">
      <c r="A99" s="98"/>
      <c r="B99" s="133"/>
      <c r="C99" s="98"/>
      <c r="D99" s="137"/>
      <c r="E99" s="98"/>
      <c r="F99" s="98"/>
      <c r="H99" s="98"/>
      <c r="I99" s="56"/>
      <c r="J99" s="56"/>
      <c r="K99" s="56"/>
      <c r="L99" s="33" t="e">
        <f>+VLOOKUP(A99,COMISIONES!$C$2:$AS$33,43,0)</f>
        <v>#N/A</v>
      </c>
      <c r="M99" s="7" t="e">
        <f>+VLOOKUP(A99,COMISIONES!$C$2:$C$33,1,0)</f>
        <v>#N/A</v>
      </c>
    </row>
    <row r="100" spans="1:13">
      <c r="A100" s="98"/>
      <c r="B100" s="133"/>
      <c r="C100" s="98"/>
      <c r="D100" s="137"/>
      <c r="E100" s="98"/>
      <c r="F100" s="98"/>
      <c r="H100" s="98"/>
      <c r="I100" s="56"/>
      <c r="J100" s="56"/>
      <c r="K100" s="56"/>
      <c r="L100" s="33" t="e">
        <f>+VLOOKUP(A100,COMISIONES!$C$2:$AS$33,43,0)</f>
        <v>#N/A</v>
      </c>
      <c r="M100" s="7" t="e">
        <f>+VLOOKUP(A100,COMISIONES!$C$2:$C$33,1,0)</f>
        <v>#N/A</v>
      </c>
    </row>
    <row r="101" spans="1:13">
      <c r="A101" s="98"/>
      <c r="B101" s="133"/>
      <c r="C101" s="98"/>
      <c r="D101" s="137"/>
      <c r="E101" s="98"/>
      <c r="F101" s="98"/>
      <c r="H101" s="98"/>
      <c r="I101" s="56"/>
      <c r="J101" s="56"/>
      <c r="K101" s="56"/>
      <c r="L101" s="33" t="e">
        <f>+VLOOKUP(A101,COMISIONES!$C$2:$AS$33,43,0)</f>
        <v>#N/A</v>
      </c>
      <c r="M101" s="7" t="e">
        <f>+VLOOKUP(A101,COMISIONES!$C$2:$C$33,1,0)</f>
        <v>#N/A</v>
      </c>
    </row>
    <row r="102" spans="1:13">
      <c r="A102" s="98"/>
      <c r="B102" s="133"/>
      <c r="C102" s="98"/>
      <c r="D102" s="137"/>
      <c r="E102" s="98"/>
      <c r="F102" s="98"/>
      <c r="H102" s="98"/>
      <c r="I102" s="56"/>
      <c r="J102" s="56"/>
      <c r="K102" s="56"/>
      <c r="L102" s="33" t="e">
        <f>+VLOOKUP(A102,COMISIONES!$C$2:$AS$33,43,0)</f>
        <v>#N/A</v>
      </c>
      <c r="M102" s="7" t="e">
        <f>+VLOOKUP(A102,COMISIONES!$C$2:$C$33,1,0)</f>
        <v>#N/A</v>
      </c>
    </row>
    <row r="103" spans="1:13">
      <c r="A103" s="98"/>
      <c r="B103" s="133"/>
      <c r="C103" s="98"/>
      <c r="D103" s="137"/>
      <c r="E103" s="98"/>
      <c r="F103" s="98"/>
      <c r="H103" s="98"/>
      <c r="I103" s="56"/>
      <c r="J103" s="56"/>
      <c r="K103" s="56"/>
      <c r="L103" s="33" t="e">
        <f>+VLOOKUP(A103,COMISIONES!$C$2:$AS$33,43,0)</f>
        <v>#N/A</v>
      </c>
      <c r="M103" s="7" t="e">
        <f>+VLOOKUP(A103,COMISIONES!$C$2:$C$33,1,0)</f>
        <v>#N/A</v>
      </c>
    </row>
    <row r="104" spans="1:13">
      <c r="A104" s="98"/>
      <c r="B104" s="133"/>
      <c r="C104" s="98"/>
      <c r="D104" s="137"/>
      <c r="E104" s="98"/>
      <c r="F104" s="98"/>
      <c r="H104" s="98"/>
      <c r="I104" s="56"/>
      <c r="J104" s="56"/>
      <c r="K104" s="56"/>
      <c r="L104" s="33" t="e">
        <f>+VLOOKUP(A104,COMISIONES!$C$2:$AS$33,43,0)</f>
        <v>#N/A</v>
      </c>
      <c r="M104" s="7" t="e">
        <f>+VLOOKUP(A104,COMISIONES!$C$2:$C$33,1,0)</f>
        <v>#N/A</v>
      </c>
    </row>
    <row r="105" spans="1:13">
      <c r="A105" s="98"/>
      <c r="B105" s="133"/>
      <c r="C105" s="98"/>
      <c r="D105" s="137"/>
      <c r="E105" s="98"/>
      <c r="F105" s="98"/>
      <c r="H105" s="98"/>
      <c r="I105" s="56"/>
      <c r="J105" s="56"/>
      <c r="K105" s="56"/>
      <c r="L105" s="33" t="e">
        <f>+VLOOKUP(A105,COMISIONES!$C$2:$AS$33,43,0)</f>
        <v>#N/A</v>
      </c>
      <c r="M105" s="7" t="e">
        <f>+VLOOKUP(A105,COMISIONES!$C$2:$C$33,1,0)</f>
        <v>#N/A</v>
      </c>
    </row>
    <row r="106" spans="1:13">
      <c r="A106" s="98"/>
      <c r="B106" s="133"/>
      <c r="C106" s="98"/>
      <c r="D106" s="137"/>
      <c r="E106" s="98"/>
      <c r="F106" s="98"/>
      <c r="H106" s="98"/>
      <c r="I106" s="56"/>
      <c r="J106" s="56"/>
      <c r="K106" s="56"/>
      <c r="L106" s="33" t="e">
        <f>+VLOOKUP(A106,COMISIONES!$C$2:$AS$33,43,0)</f>
        <v>#N/A</v>
      </c>
      <c r="M106" s="7" t="e">
        <f>+VLOOKUP(A106,COMISIONES!$C$2:$C$33,1,0)</f>
        <v>#N/A</v>
      </c>
    </row>
    <row r="107" spans="1:13">
      <c r="A107" s="98"/>
      <c r="B107" s="133"/>
      <c r="C107" s="98"/>
      <c r="D107" s="137"/>
      <c r="E107" s="98"/>
      <c r="F107" s="98"/>
      <c r="H107" s="98"/>
      <c r="I107" s="56"/>
      <c r="J107" s="56"/>
      <c r="K107" s="56"/>
      <c r="L107" s="33" t="e">
        <f>+VLOOKUP(A107,COMISIONES!$C$2:$AS$33,43,0)</f>
        <v>#N/A</v>
      </c>
      <c r="M107" s="7" t="e">
        <f>+VLOOKUP(A107,COMISIONES!$C$2:$C$33,1,0)</f>
        <v>#N/A</v>
      </c>
    </row>
    <row r="108" spans="1:13">
      <c r="A108" s="98"/>
      <c r="B108" s="133"/>
      <c r="C108" s="98"/>
      <c r="D108" s="137"/>
      <c r="E108" s="98"/>
      <c r="F108" s="98"/>
      <c r="H108" s="98"/>
      <c r="I108" s="56"/>
      <c r="J108" s="56"/>
      <c r="K108" s="56"/>
      <c r="L108" s="33" t="e">
        <f>+VLOOKUP(A108,COMISIONES!$C$2:$AS$33,43,0)</f>
        <v>#N/A</v>
      </c>
      <c r="M108" s="7" t="e">
        <f>+VLOOKUP(A108,COMISIONES!$C$2:$C$33,1,0)</f>
        <v>#N/A</v>
      </c>
    </row>
    <row r="109" spans="1:13">
      <c r="A109" s="98"/>
      <c r="B109" s="133"/>
      <c r="C109" s="98"/>
      <c r="D109" s="137"/>
      <c r="E109" s="98"/>
      <c r="F109" s="98"/>
      <c r="H109" s="98"/>
      <c r="I109" s="56"/>
      <c r="J109" s="56"/>
      <c r="K109" s="56"/>
      <c r="L109" s="33" t="e">
        <f>+VLOOKUP(A109,COMISIONES!$C$2:$AS$33,43,0)</f>
        <v>#N/A</v>
      </c>
      <c r="M109" s="7" t="e">
        <f>+VLOOKUP(A109,COMISIONES!$C$2:$C$33,1,0)</f>
        <v>#N/A</v>
      </c>
    </row>
    <row r="110" spans="1:13">
      <c r="A110" s="98"/>
      <c r="B110" s="133"/>
      <c r="C110" s="98"/>
      <c r="D110" s="137"/>
      <c r="E110" s="98"/>
      <c r="F110" s="98"/>
      <c r="H110" s="98"/>
      <c r="I110" s="56"/>
      <c r="J110" s="56"/>
      <c r="K110" s="56"/>
      <c r="L110" s="33" t="e">
        <f>+VLOOKUP(A110,COMISIONES!$C$2:$AS$33,43,0)</f>
        <v>#N/A</v>
      </c>
      <c r="M110" s="7" t="e">
        <f>+VLOOKUP(A110,COMISIONES!$C$2:$C$33,1,0)</f>
        <v>#N/A</v>
      </c>
    </row>
    <row r="111" spans="1:13">
      <c r="A111" s="98"/>
      <c r="B111" s="133"/>
      <c r="C111" s="98"/>
      <c r="D111" s="137"/>
      <c r="E111" s="98"/>
      <c r="F111" s="98"/>
      <c r="H111" s="98"/>
      <c r="I111" s="56"/>
      <c r="J111" s="56"/>
      <c r="K111" s="56"/>
      <c r="L111" s="33" t="e">
        <f>+VLOOKUP(A111,COMISIONES!$C$2:$AS$33,43,0)</f>
        <v>#N/A</v>
      </c>
      <c r="M111" s="7" t="e">
        <f>+VLOOKUP(A111,COMISIONES!$C$2:$C$33,1,0)</f>
        <v>#N/A</v>
      </c>
    </row>
    <row r="112" spans="1:13">
      <c r="A112" s="98"/>
      <c r="B112" s="133"/>
      <c r="C112" s="98"/>
      <c r="D112" s="137"/>
      <c r="E112" s="98"/>
      <c r="F112" s="98"/>
      <c r="H112" s="98"/>
      <c r="I112" s="56"/>
      <c r="J112" s="56"/>
      <c r="K112" s="56"/>
      <c r="L112" s="33" t="e">
        <f>+VLOOKUP(A112,COMISIONES!$C$2:$AS$33,43,0)</f>
        <v>#N/A</v>
      </c>
      <c r="M112" s="7" t="e">
        <f>+VLOOKUP(A112,COMISIONES!$C$2:$C$33,1,0)</f>
        <v>#N/A</v>
      </c>
    </row>
    <row r="113" spans="1:13">
      <c r="A113" s="98"/>
      <c r="B113" s="133"/>
      <c r="C113" s="98"/>
      <c r="D113" s="137"/>
      <c r="E113" s="98"/>
      <c r="F113" s="98"/>
      <c r="H113" s="98"/>
      <c r="I113" s="56"/>
      <c r="J113" s="56"/>
      <c r="K113" s="56"/>
      <c r="L113" s="33" t="e">
        <f>+VLOOKUP(A113,COMISIONES!$C$2:$AS$33,43,0)</f>
        <v>#N/A</v>
      </c>
      <c r="M113" s="7" t="e">
        <f>+VLOOKUP(A113,COMISIONES!$C$2:$C$33,1,0)</f>
        <v>#N/A</v>
      </c>
    </row>
    <row r="114" spans="1:13">
      <c r="A114" s="98"/>
      <c r="B114" s="133"/>
      <c r="C114" s="98"/>
      <c r="D114" s="137"/>
      <c r="E114" s="98"/>
      <c r="F114" s="98"/>
      <c r="H114" s="98"/>
      <c r="I114" s="56"/>
      <c r="J114" s="56"/>
      <c r="K114" s="56"/>
      <c r="L114" s="33" t="e">
        <f>+VLOOKUP(A114,COMISIONES!$C$2:$AS$33,43,0)</f>
        <v>#N/A</v>
      </c>
      <c r="M114" s="7" t="e">
        <f>+VLOOKUP(A114,COMISIONES!$C$2:$C$33,1,0)</f>
        <v>#N/A</v>
      </c>
    </row>
    <row r="115" spans="1:13">
      <c r="A115" s="98"/>
      <c r="B115" s="133"/>
      <c r="C115" s="98"/>
      <c r="D115" s="137"/>
      <c r="E115" s="98"/>
      <c r="F115" s="98"/>
      <c r="H115" s="98"/>
      <c r="I115" s="56"/>
      <c r="J115" s="56"/>
      <c r="K115" s="56"/>
      <c r="L115" s="33" t="e">
        <f>+VLOOKUP(A115,COMISIONES!$C$2:$AS$33,43,0)</f>
        <v>#N/A</v>
      </c>
      <c r="M115" s="7" t="e">
        <f>+VLOOKUP(A115,COMISIONES!$C$2:$C$33,1,0)</f>
        <v>#N/A</v>
      </c>
    </row>
    <row r="116" spans="1:13">
      <c r="A116" s="98"/>
      <c r="B116" s="133"/>
      <c r="C116" s="98"/>
      <c r="D116" s="137"/>
      <c r="E116" s="98"/>
      <c r="F116" s="98"/>
      <c r="H116" s="98"/>
      <c r="I116" s="56"/>
      <c r="J116" s="56"/>
      <c r="K116" s="56"/>
      <c r="L116" s="33" t="e">
        <f>+VLOOKUP(A116,COMISIONES!$C$2:$AS$33,43,0)</f>
        <v>#N/A</v>
      </c>
      <c r="M116" s="7" t="e">
        <f>+VLOOKUP(A116,COMISIONES!$C$2:$C$33,1,0)</f>
        <v>#N/A</v>
      </c>
    </row>
    <row r="117" spans="1:13">
      <c r="A117" s="98"/>
      <c r="B117" s="133"/>
      <c r="C117" s="98"/>
      <c r="D117" s="137"/>
      <c r="E117" s="98"/>
      <c r="F117" s="98"/>
      <c r="H117" s="98"/>
      <c r="I117" s="56"/>
      <c r="J117" s="56"/>
      <c r="K117" s="56"/>
      <c r="L117" s="33" t="e">
        <f>+VLOOKUP(A117,COMISIONES!$C$2:$AS$33,43,0)</f>
        <v>#N/A</v>
      </c>
      <c r="M117" s="7" t="e">
        <f>+VLOOKUP(A117,COMISIONES!$C$2:$C$33,1,0)</f>
        <v>#N/A</v>
      </c>
    </row>
    <row r="118" spans="1:13">
      <c r="A118" s="98"/>
      <c r="B118" s="133"/>
      <c r="C118" s="98"/>
      <c r="D118" s="137"/>
      <c r="E118" s="98"/>
      <c r="F118" s="98"/>
      <c r="H118" s="98"/>
      <c r="I118" s="56"/>
      <c r="J118" s="56"/>
      <c r="K118" s="56"/>
      <c r="L118" s="33" t="e">
        <f>+VLOOKUP(A118,COMISIONES!$C$2:$AS$33,43,0)</f>
        <v>#N/A</v>
      </c>
      <c r="M118" s="7" t="e">
        <f>+VLOOKUP(A118,COMISIONES!$C$2:$C$33,1,0)</f>
        <v>#N/A</v>
      </c>
    </row>
    <row r="119" spans="1:13">
      <c r="A119" s="98"/>
      <c r="B119" s="133"/>
      <c r="C119" s="98"/>
      <c r="D119" s="137"/>
      <c r="E119" s="98"/>
      <c r="F119" s="98"/>
      <c r="H119" s="98"/>
      <c r="I119" s="56"/>
      <c r="J119" s="56"/>
      <c r="K119" s="56"/>
      <c r="L119" s="33" t="e">
        <f>+VLOOKUP(A119,COMISIONES!$C$2:$AS$33,43,0)</f>
        <v>#N/A</v>
      </c>
      <c r="M119" s="7" t="e">
        <f>+VLOOKUP(A119,COMISIONES!$C$2:$C$33,1,0)</f>
        <v>#N/A</v>
      </c>
    </row>
    <row r="120" spans="1:13">
      <c r="A120" s="98"/>
      <c r="B120" s="133"/>
      <c r="C120" s="98"/>
      <c r="D120" s="137"/>
      <c r="E120" s="98"/>
      <c r="F120" s="98"/>
      <c r="H120" s="98"/>
      <c r="I120" s="56"/>
      <c r="J120" s="56"/>
      <c r="K120" s="56"/>
      <c r="L120" s="33" t="e">
        <f>+VLOOKUP(A120,COMISIONES!$C$2:$AS$33,43,0)</f>
        <v>#N/A</v>
      </c>
      <c r="M120" s="7" t="e">
        <f>+VLOOKUP(A120,COMISIONES!$C$2:$C$33,1,0)</f>
        <v>#N/A</v>
      </c>
    </row>
    <row r="121" spans="1:13">
      <c r="A121" s="98"/>
      <c r="B121" s="133"/>
      <c r="C121" s="98"/>
      <c r="D121" s="137"/>
      <c r="E121" s="98"/>
      <c r="F121" s="98"/>
      <c r="H121" s="98"/>
      <c r="I121" s="56"/>
      <c r="J121" s="56"/>
      <c r="K121" s="56"/>
      <c r="L121" s="33" t="e">
        <f>+VLOOKUP(A121,COMISIONES!$C$2:$AS$33,43,0)</f>
        <v>#N/A</v>
      </c>
      <c r="M121" s="7" t="e">
        <f>+VLOOKUP(A121,COMISIONES!$C$2:$C$33,1,0)</f>
        <v>#N/A</v>
      </c>
    </row>
    <row r="122" spans="1:13">
      <c r="A122" s="98"/>
      <c r="B122" s="133"/>
      <c r="C122" s="98"/>
      <c r="D122" s="137"/>
      <c r="E122" s="98"/>
      <c r="F122" s="98"/>
      <c r="H122" s="98"/>
      <c r="I122" s="56"/>
      <c r="J122" s="56"/>
      <c r="K122" s="56"/>
      <c r="L122" s="33" t="e">
        <f>+VLOOKUP(A122,COMISIONES!$C$2:$AS$33,43,0)</f>
        <v>#N/A</v>
      </c>
      <c r="M122" s="7" t="e">
        <f>+VLOOKUP(A122,COMISIONES!$C$2:$C$33,1,0)</f>
        <v>#N/A</v>
      </c>
    </row>
    <row r="123" spans="1:13">
      <c r="A123" s="98"/>
      <c r="B123" s="133"/>
      <c r="C123" s="98"/>
      <c r="D123" s="137"/>
      <c r="E123" s="98"/>
      <c r="F123" s="98"/>
      <c r="H123" s="98"/>
      <c r="I123" s="56"/>
      <c r="J123" s="56"/>
      <c r="K123" s="56"/>
      <c r="L123" s="33" t="e">
        <f>+VLOOKUP(A123,COMISIONES!$C$2:$AS$33,43,0)</f>
        <v>#N/A</v>
      </c>
      <c r="M123" s="7" t="e">
        <f>+VLOOKUP(A123,COMISIONES!$C$2:$C$33,1,0)</f>
        <v>#N/A</v>
      </c>
    </row>
    <row r="124" spans="1:13">
      <c r="A124" s="98"/>
      <c r="B124" s="133"/>
      <c r="C124" s="98"/>
      <c r="D124" s="137"/>
      <c r="E124" s="98"/>
      <c r="F124" s="98"/>
      <c r="H124" s="98"/>
      <c r="I124" s="56"/>
      <c r="J124" s="56"/>
      <c r="K124" s="56"/>
      <c r="L124" s="33" t="e">
        <f>+VLOOKUP(A124,COMISIONES!$C$2:$AS$33,43,0)</f>
        <v>#N/A</v>
      </c>
      <c r="M124" s="7" t="e">
        <f>+VLOOKUP(A124,COMISIONES!$C$2:$C$33,1,0)</f>
        <v>#N/A</v>
      </c>
    </row>
    <row r="125" spans="1:13">
      <c r="A125" s="98"/>
      <c r="B125" s="133"/>
      <c r="C125" s="98"/>
      <c r="D125" s="137"/>
      <c r="E125" s="98"/>
      <c r="F125" s="98"/>
      <c r="H125" s="98"/>
      <c r="I125" s="56"/>
      <c r="J125" s="56"/>
      <c r="K125" s="56"/>
      <c r="L125" s="33" t="e">
        <f>+VLOOKUP(A125,COMISIONES!$C$2:$AS$33,43,0)</f>
        <v>#N/A</v>
      </c>
      <c r="M125" s="7" t="e">
        <f>+VLOOKUP(A125,COMISIONES!$C$2:$C$33,1,0)</f>
        <v>#N/A</v>
      </c>
    </row>
    <row r="126" spans="1:13">
      <c r="A126" s="98"/>
      <c r="B126" s="133"/>
      <c r="C126" s="98"/>
      <c r="D126" s="137"/>
      <c r="E126" s="98"/>
      <c r="F126" s="98"/>
      <c r="H126" s="98"/>
      <c r="I126" s="56"/>
      <c r="J126" s="56"/>
      <c r="K126" s="56"/>
      <c r="L126" s="33" t="e">
        <f>+VLOOKUP(A126,COMISIONES!$C$2:$AS$33,43,0)</f>
        <v>#N/A</v>
      </c>
      <c r="M126" s="7" t="e">
        <f>+VLOOKUP(A126,COMISIONES!$C$2:$C$33,1,0)</f>
        <v>#N/A</v>
      </c>
    </row>
    <row r="127" spans="1:13">
      <c r="A127" s="98"/>
      <c r="B127" s="133"/>
      <c r="C127" s="98"/>
      <c r="D127" s="137"/>
      <c r="E127" s="98"/>
      <c r="F127" s="98"/>
      <c r="H127" s="98"/>
      <c r="I127" s="56"/>
      <c r="J127" s="56"/>
      <c r="K127" s="56"/>
      <c r="L127" s="33" t="e">
        <f>+VLOOKUP(A127,COMISIONES!$C$2:$AS$33,43,0)</f>
        <v>#N/A</v>
      </c>
      <c r="M127" s="7" t="e">
        <f>+VLOOKUP(A127,COMISIONES!$C$2:$C$33,1,0)</f>
        <v>#N/A</v>
      </c>
    </row>
    <row r="128" spans="1:13">
      <c r="A128" s="98"/>
      <c r="B128" s="133"/>
      <c r="C128" s="98"/>
      <c r="D128" s="137"/>
      <c r="E128" s="98"/>
      <c r="F128" s="98"/>
      <c r="H128" s="98"/>
      <c r="I128" s="56"/>
      <c r="J128" s="56"/>
      <c r="K128" s="56"/>
      <c r="L128" s="33" t="e">
        <f>+VLOOKUP(A128,COMISIONES!$C$2:$AS$33,43,0)</f>
        <v>#N/A</v>
      </c>
      <c r="M128" s="7" t="e">
        <f>+VLOOKUP(A128,COMISIONES!$C$2:$C$33,1,0)</f>
        <v>#N/A</v>
      </c>
    </row>
    <row r="129" spans="1:13">
      <c r="A129" s="98"/>
      <c r="B129" s="133"/>
      <c r="C129" s="98"/>
      <c r="D129" s="137"/>
      <c r="E129" s="98"/>
      <c r="F129" s="98"/>
      <c r="H129" s="98"/>
      <c r="I129" s="56"/>
      <c r="J129" s="56"/>
      <c r="K129" s="56"/>
      <c r="L129" s="33" t="e">
        <f>+VLOOKUP(A129,COMISIONES!$C$2:$AS$33,43,0)</f>
        <v>#N/A</v>
      </c>
      <c r="M129" s="7" t="e">
        <f>+VLOOKUP(A129,COMISIONES!$C$2:$C$33,1,0)</f>
        <v>#N/A</v>
      </c>
    </row>
    <row r="130" spans="1:13">
      <c r="A130" s="98"/>
      <c r="B130" s="133"/>
      <c r="C130" s="98"/>
      <c r="D130" s="137"/>
      <c r="E130" s="98"/>
      <c r="F130" s="98"/>
      <c r="H130" s="98"/>
      <c r="I130" s="56"/>
      <c r="J130" s="56"/>
      <c r="K130" s="56"/>
      <c r="L130" s="33" t="e">
        <f>+VLOOKUP(A130,COMISIONES!$C$2:$AS$33,43,0)</f>
        <v>#N/A</v>
      </c>
      <c r="M130" s="7" t="e">
        <f>+VLOOKUP(A130,COMISIONES!$C$2:$C$33,1,0)</f>
        <v>#N/A</v>
      </c>
    </row>
    <row r="131" spans="1:13">
      <c r="A131" s="98"/>
      <c r="B131" s="133"/>
      <c r="C131" s="98"/>
      <c r="D131" s="137"/>
      <c r="E131" s="98"/>
      <c r="F131" s="98"/>
      <c r="H131" s="98"/>
      <c r="I131" s="56"/>
      <c r="J131" s="56"/>
      <c r="K131" s="56"/>
      <c r="L131" s="33" t="e">
        <f>+VLOOKUP(A131,COMISIONES!$C$2:$AS$33,43,0)</f>
        <v>#N/A</v>
      </c>
      <c r="M131" s="7" t="e">
        <f>+VLOOKUP(A131,COMISIONES!$C$2:$C$33,1,0)</f>
        <v>#N/A</v>
      </c>
    </row>
    <row r="132" spans="1:13">
      <c r="A132" s="98"/>
      <c r="B132" s="133"/>
      <c r="C132" s="98"/>
      <c r="D132" s="137"/>
      <c r="E132" s="98"/>
      <c r="F132" s="98"/>
      <c r="H132" s="98"/>
      <c r="I132" s="56"/>
      <c r="J132" s="56"/>
      <c r="K132" s="56"/>
      <c r="L132" s="33" t="e">
        <f>+VLOOKUP(A132,COMISIONES!$C$2:$AS$33,43,0)</f>
        <v>#N/A</v>
      </c>
      <c r="M132" s="7" t="e">
        <f>+VLOOKUP(A132,COMISIONES!$C$2:$C$33,1,0)</f>
        <v>#N/A</v>
      </c>
    </row>
    <row r="133" spans="1:13">
      <c r="A133" s="98"/>
      <c r="B133" s="133"/>
      <c r="C133" s="98"/>
      <c r="D133" s="137"/>
      <c r="E133" s="98"/>
      <c r="F133" s="98"/>
      <c r="H133" s="98"/>
      <c r="I133" s="56"/>
      <c r="J133" s="56"/>
      <c r="K133" s="56"/>
      <c r="L133" s="33" t="e">
        <f>+VLOOKUP(A133,COMISIONES!$C$2:$AS$33,43,0)</f>
        <v>#N/A</v>
      </c>
      <c r="M133" s="7" t="e">
        <f>+VLOOKUP(A133,COMISIONES!$C$2:$C$33,1,0)</f>
        <v>#N/A</v>
      </c>
    </row>
    <row r="134" spans="1:13">
      <c r="A134" s="98"/>
      <c r="B134" s="133"/>
      <c r="C134" s="98"/>
      <c r="D134" s="137"/>
      <c r="E134" s="98"/>
      <c r="F134" s="98"/>
      <c r="H134" s="98"/>
      <c r="I134" s="56"/>
      <c r="J134" s="56"/>
      <c r="K134" s="56"/>
      <c r="L134" s="33" t="e">
        <f>+VLOOKUP(A134,COMISIONES!$C$2:$AS$33,43,0)</f>
        <v>#N/A</v>
      </c>
      <c r="M134" s="7" t="e">
        <f>+VLOOKUP(A134,COMISIONES!$C$2:$C$33,1,0)</f>
        <v>#N/A</v>
      </c>
    </row>
    <row r="135" spans="1:13">
      <c r="A135" s="98"/>
      <c r="B135" s="133"/>
      <c r="C135" s="98"/>
      <c r="D135" s="137"/>
      <c r="E135" s="98"/>
      <c r="F135" s="98"/>
      <c r="H135" s="98"/>
      <c r="I135" s="56"/>
      <c r="J135" s="56"/>
      <c r="K135" s="56"/>
      <c r="L135" s="33" t="e">
        <f>+VLOOKUP(A135,COMISIONES!$C$2:$AS$33,43,0)</f>
        <v>#N/A</v>
      </c>
      <c r="M135" s="7" t="e">
        <f>+VLOOKUP(A135,COMISIONES!$C$2:$C$33,1,0)</f>
        <v>#N/A</v>
      </c>
    </row>
    <row r="136" spans="1:13">
      <c r="A136" s="98"/>
      <c r="B136" s="133"/>
      <c r="C136" s="98"/>
      <c r="D136" s="137"/>
      <c r="E136" s="98"/>
      <c r="F136" s="98"/>
      <c r="H136" s="98"/>
      <c r="I136" s="56"/>
      <c r="J136" s="56"/>
      <c r="K136" s="56"/>
      <c r="L136" s="33" t="e">
        <f>+VLOOKUP(A136,COMISIONES!$C$2:$AS$33,43,0)</f>
        <v>#N/A</v>
      </c>
      <c r="M136" s="7" t="e">
        <f>+VLOOKUP(A136,COMISIONES!$C$2:$C$33,1,0)</f>
        <v>#N/A</v>
      </c>
    </row>
    <row r="137" spans="1:13">
      <c r="A137" s="98"/>
      <c r="B137" s="133"/>
      <c r="C137" s="98"/>
      <c r="D137" s="137"/>
      <c r="E137" s="98"/>
      <c r="F137" s="98"/>
      <c r="H137" s="98"/>
      <c r="I137" s="56"/>
      <c r="J137" s="56"/>
      <c r="K137" s="56"/>
      <c r="L137" s="33" t="e">
        <f>+VLOOKUP(A137,COMISIONES!$C$2:$AS$33,43,0)</f>
        <v>#N/A</v>
      </c>
      <c r="M137" s="7" t="e">
        <f>+VLOOKUP(A137,COMISIONES!$C$2:$C$33,1,0)</f>
        <v>#N/A</v>
      </c>
    </row>
    <row r="138" spans="1:13">
      <c r="A138" s="98"/>
      <c r="B138" s="133"/>
      <c r="C138" s="98"/>
      <c r="D138" s="137"/>
      <c r="E138" s="98"/>
      <c r="F138" s="98"/>
      <c r="H138" s="98"/>
      <c r="I138" s="56"/>
      <c r="J138" s="56"/>
      <c r="K138" s="56"/>
      <c r="L138" s="33" t="e">
        <f>+VLOOKUP(A138,COMISIONES!$C$2:$AS$33,43,0)</f>
        <v>#N/A</v>
      </c>
      <c r="M138" s="7" t="e">
        <f>+VLOOKUP(A138,COMISIONES!$C$2:$C$33,1,0)</f>
        <v>#N/A</v>
      </c>
    </row>
    <row r="139" spans="1:13">
      <c r="A139" s="98"/>
      <c r="B139" s="133"/>
      <c r="C139" s="98"/>
      <c r="D139" s="137"/>
      <c r="E139" s="98"/>
      <c r="F139" s="98"/>
      <c r="H139" s="98"/>
      <c r="I139" s="56"/>
      <c r="J139" s="56"/>
      <c r="K139" s="56"/>
      <c r="L139" s="33" t="e">
        <f>+VLOOKUP(A139,COMISIONES!$C$2:$AS$33,43,0)</f>
        <v>#N/A</v>
      </c>
      <c r="M139" s="7" t="e">
        <f>+VLOOKUP(A139,COMISIONES!$C$2:$C$33,1,0)</f>
        <v>#N/A</v>
      </c>
    </row>
    <row r="140" spans="1:13">
      <c r="A140" s="98"/>
      <c r="B140" s="133"/>
      <c r="C140" s="98"/>
      <c r="D140" s="137"/>
      <c r="E140" s="98"/>
      <c r="F140" s="98"/>
      <c r="H140" s="98"/>
      <c r="I140" s="56"/>
      <c r="J140" s="56"/>
      <c r="K140" s="56"/>
      <c r="L140" s="33" t="e">
        <f>+VLOOKUP(A140,COMISIONES!$C$2:$AS$33,43,0)</f>
        <v>#N/A</v>
      </c>
      <c r="M140" s="7" t="e">
        <f>+VLOOKUP(A140,COMISIONES!$C$2:$C$33,1,0)</f>
        <v>#N/A</v>
      </c>
    </row>
    <row r="141" spans="1:13">
      <c r="A141" s="98"/>
      <c r="B141" s="133"/>
      <c r="C141" s="98"/>
      <c r="D141" s="137"/>
      <c r="E141" s="98"/>
      <c r="F141" s="98"/>
      <c r="H141" s="98"/>
      <c r="I141" s="56"/>
      <c r="J141" s="56"/>
      <c r="K141" s="56"/>
      <c r="L141" s="33" t="e">
        <f>+VLOOKUP(A141,COMISIONES!$C$2:$AS$33,43,0)</f>
        <v>#N/A</v>
      </c>
      <c r="M141" s="7" t="e">
        <f>+VLOOKUP(A141,COMISIONES!$C$2:$C$33,1,0)</f>
        <v>#N/A</v>
      </c>
    </row>
    <row r="142" spans="1:13">
      <c r="A142" s="98"/>
      <c r="B142" s="133"/>
      <c r="C142" s="98"/>
      <c r="D142" s="137"/>
      <c r="E142" s="98"/>
      <c r="F142" s="98"/>
      <c r="H142" s="98"/>
      <c r="I142" s="56"/>
      <c r="J142" s="56"/>
      <c r="K142" s="56"/>
      <c r="L142" s="33" t="e">
        <f>+VLOOKUP(A142,COMISIONES!$C$2:$AS$33,43,0)</f>
        <v>#N/A</v>
      </c>
      <c r="M142" s="7" t="e">
        <f>+VLOOKUP(A142,COMISIONES!$C$2:$C$33,1,0)</f>
        <v>#N/A</v>
      </c>
    </row>
    <row r="143" spans="1:13">
      <c r="A143" s="98"/>
      <c r="B143" s="133"/>
      <c r="C143" s="98"/>
      <c r="D143" s="137"/>
      <c r="E143" s="98"/>
      <c r="F143" s="98"/>
      <c r="H143" s="98"/>
      <c r="I143" s="56"/>
      <c r="J143" s="56"/>
      <c r="K143" s="56"/>
      <c r="L143" s="33" t="e">
        <f>+VLOOKUP(A143,COMISIONES!$C$2:$AS$33,43,0)</f>
        <v>#N/A</v>
      </c>
      <c r="M143" s="7" t="e">
        <f>+VLOOKUP(A143,COMISIONES!$C$2:$C$33,1,0)</f>
        <v>#N/A</v>
      </c>
    </row>
    <row r="144" spans="1:13">
      <c r="A144" s="98"/>
      <c r="B144" s="133"/>
      <c r="C144" s="98"/>
      <c r="D144" s="137"/>
      <c r="E144" s="98"/>
      <c r="F144" s="98"/>
      <c r="H144" s="98"/>
      <c r="I144" s="56"/>
      <c r="J144" s="56"/>
      <c r="K144" s="56"/>
      <c r="L144" s="33" t="e">
        <f>+VLOOKUP(A144,COMISIONES!$C$2:$AS$33,43,0)</f>
        <v>#N/A</v>
      </c>
      <c r="M144" s="7" t="e">
        <f>+VLOOKUP(A144,COMISIONES!$C$2:$C$33,1,0)</f>
        <v>#N/A</v>
      </c>
    </row>
    <row r="145" spans="1:13">
      <c r="A145" s="98"/>
      <c r="B145" s="133"/>
      <c r="C145" s="98"/>
      <c r="D145" s="137"/>
      <c r="E145" s="98"/>
      <c r="F145" s="98"/>
      <c r="H145" s="98"/>
      <c r="I145" s="56"/>
      <c r="J145" s="56"/>
      <c r="K145" s="56"/>
      <c r="L145" s="33" t="e">
        <f>+VLOOKUP(A145,COMISIONES!$C$2:$AS$33,43,0)</f>
        <v>#N/A</v>
      </c>
      <c r="M145" s="7" t="e">
        <f>+VLOOKUP(A145,COMISIONES!$C$2:$C$33,1,0)</f>
        <v>#N/A</v>
      </c>
    </row>
    <row r="146" spans="1:13">
      <c r="A146" s="98"/>
      <c r="B146" s="133"/>
      <c r="C146" s="98"/>
      <c r="D146" s="137"/>
      <c r="E146" s="98"/>
      <c r="F146" s="98"/>
      <c r="H146" s="98"/>
      <c r="I146" s="56"/>
      <c r="J146" s="56"/>
      <c r="K146" s="56"/>
      <c r="L146" s="33" t="e">
        <f>+VLOOKUP(A146,COMISIONES!$C$2:$AS$33,43,0)</f>
        <v>#N/A</v>
      </c>
      <c r="M146" s="7" t="e">
        <f>+VLOOKUP(A146,COMISIONES!$C$2:$C$33,1,0)</f>
        <v>#N/A</v>
      </c>
    </row>
    <row r="147" spans="1:13">
      <c r="A147" s="98"/>
      <c r="B147" s="133"/>
      <c r="C147" s="98"/>
      <c r="D147" s="137"/>
      <c r="E147" s="98"/>
      <c r="F147" s="98"/>
      <c r="H147" s="98"/>
      <c r="I147" s="56"/>
      <c r="J147" s="56"/>
      <c r="K147" s="56"/>
      <c r="L147" s="33" t="e">
        <f>+VLOOKUP(A147,COMISIONES!$C$2:$AS$33,43,0)</f>
        <v>#N/A</v>
      </c>
      <c r="M147" s="7" t="e">
        <f>+VLOOKUP(A147,COMISIONES!$C$2:$C$33,1,0)</f>
        <v>#N/A</v>
      </c>
    </row>
    <row r="148" spans="1:13">
      <c r="A148" s="98"/>
      <c r="B148" s="133"/>
      <c r="C148" s="98"/>
      <c r="D148" s="137"/>
      <c r="E148" s="98"/>
      <c r="F148" s="98"/>
      <c r="H148" s="98"/>
      <c r="I148" s="56"/>
      <c r="J148" s="56"/>
      <c r="K148" s="56"/>
      <c r="L148" s="33" t="e">
        <f>+VLOOKUP(A148,COMISIONES!$C$2:$AS$33,43,0)</f>
        <v>#N/A</v>
      </c>
      <c r="M148" s="7" t="e">
        <f>+VLOOKUP(A148,COMISIONES!$C$2:$C$33,1,0)</f>
        <v>#N/A</v>
      </c>
    </row>
    <row r="149" spans="1:13">
      <c r="A149" s="98"/>
      <c r="B149" s="133"/>
      <c r="C149" s="98"/>
      <c r="D149" s="137"/>
      <c r="E149" s="98"/>
      <c r="F149" s="98"/>
      <c r="H149" s="98"/>
      <c r="I149" s="56"/>
      <c r="J149" s="56"/>
      <c r="K149" s="56"/>
      <c r="L149" s="33" t="e">
        <f>+VLOOKUP(A149,COMISIONES!$C$2:$AS$33,43,0)</f>
        <v>#N/A</v>
      </c>
      <c r="M149" s="7" t="e">
        <f>+VLOOKUP(A149,COMISIONES!$C$2:$C$33,1,0)</f>
        <v>#N/A</v>
      </c>
    </row>
    <row r="150" spans="1:13">
      <c r="A150" s="98"/>
      <c r="B150" s="133"/>
      <c r="C150" s="98"/>
      <c r="D150" s="137"/>
      <c r="E150" s="98"/>
      <c r="F150" s="98"/>
      <c r="H150" s="98"/>
      <c r="I150" s="56"/>
      <c r="J150" s="56"/>
      <c r="K150" s="56"/>
      <c r="L150" s="33" t="e">
        <f>+VLOOKUP(A150,COMISIONES!$C$2:$AS$33,43,0)</f>
        <v>#N/A</v>
      </c>
      <c r="M150" s="7" t="e">
        <f>+VLOOKUP(A150,COMISIONES!$C$2:$C$33,1,0)</f>
        <v>#N/A</v>
      </c>
    </row>
    <row r="151" spans="1:13">
      <c r="A151" s="98"/>
      <c r="B151" s="133"/>
      <c r="C151" s="98"/>
      <c r="D151" s="137"/>
      <c r="E151" s="98"/>
      <c r="F151" s="98"/>
      <c r="H151" s="98"/>
      <c r="I151" s="56"/>
      <c r="J151" s="56"/>
      <c r="K151" s="56"/>
      <c r="L151" s="33" t="e">
        <f>+VLOOKUP(A151,COMISIONES!$C$2:$AS$33,43,0)</f>
        <v>#N/A</v>
      </c>
      <c r="M151" s="7" t="e">
        <f>+VLOOKUP(A151,COMISIONES!$C$2:$C$33,1,0)</f>
        <v>#N/A</v>
      </c>
    </row>
    <row r="152" spans="1:13">
      <c r="A152" s="98"/>
      <c r="B152" s="133"/>
      <c r="C152" s="98"/>
      <c r="D152" s="137"/>
      <c r="E152" s="98"/>
      <c r="F152" s="98"/>
      <c r="H152" s="98"/>
      <c r="I152" s="56"/>
      <c r="J152" s="56"/>
      <c r="K152" s="56"/>
      <c r="L152" s="33" t="e">
        <f>+VLOOKUP(A152,COMISIONES!$C$2:$AS$33,43,0)</f>
        <v>#N/A</v>
      </c>
      <c r="M152" s="7" t="e">
        <f>+VLOOKUP(A152,COMISIONES!$C$2:$C$33,1,0)</f>
        <v>#N/A</v>
      </c>
    </row>
    <row r="153" spans="1:13">
      <c r="A153" s="98"/>
      <c r="B153" s="133"/>
      <c r="C153" s="98"/>
      <c r="D153" s="137"/>
      <c r="E153" s="98"/>
      <c r="F153" s="98"/>
      <c r="H153" s="98"/>
      <c r="I153" s="56"/>
      <c r="J153" s="56"/>
      <c r="K153" s="56"/>
      <c r="L153" s="33" t="e">
        <f>+VLOOKUP(A153,COMISIONES!$C$2:$AS$33,43,0)</f>
        <v>#N/A</v>
      </c>
      <c r="M153" s="7" t="e">
        <f>+VLOOKUP(A153,COMISIONES!$C$2:$C$33,1,0)</f>
        <v>#N/A</v>
      </c>
    </row>
    <row r="154" spans="1:13">
      <c r="A154" s="98"/>
      <c r="B154" s="133"/>
      <c r="C154" s="98"/>
      <c r="D154" s="137"/>
      <c r="E154" s="98"/>
      <c r="F154" s="98"/>
      <c r="H154" s="98"/>
      <c r="I154" s="56"/>
      <c r="J154" s="56"/>
      <c r="K154" s="56"/>
      <c r="L154" s="33" t="e">
        <f>+VLOOKUP(A154,COMISIONES!$C$2:$AS$33,43,0)</f>
        <v>#N/A</v>
      </c>
      <c r="M154" s="7" t="e">
        <f>+VLOOKUP(A154,COMISIONES!$C$2:$C$33,1,0)</f>
        <v>#N/A</v>
      </c>
    </row>
    <row r="155" spans="1:13">
      <c r="A155" s="98"/>
      <c r="B155" s="133"/>
      <c r="C155" s="98"/>
      <c r="D155" s="137"/>
      <c r="E155" s="98"/>
      <c r="F155" s="98"/>
      <c r="H155" s="98"/>
      <c r="I155" s="56"/>
      <c r="J155" s="56"/>
      <c r="K155" s="56"/>
      <c r="L155" s="33" t="e">
        <f>+VLOOKUP(A155,COMISIONES!$C$2:$AS$33,43,0)</f>
        <v>#N/A</v>
      </c>
      <c r="M155" s="7" t="e">
        <f>+VLOOKUP(A155,COMISIONES!$C$2:$C$33,1,0)</f>
        <v>#N/A</v>
      </c>
    </row>
    <row r="156" spans="1:13">
      <c r="A156" s="98"/>
      <c r="B156" s="133"/>
      <c r="C156" s="98"/>
      <c r="D156" s="137"/>
      <c r="E156" s="98"/>
      <c r="F156" s="98"/>
      <c r="H156" s="98"/>
      <c r="I156" s="56"/>
      <c r="J156" s="56"/>
      <c r="K156" s="56"/>
      <c r="L156" s="33" t="e">
        <f>+VLOOKUP(A156,COMISIONES!$C$2:$AS$33,43,0)</f>
        <v>#N/A</v>
      </c>
      <c r="M156" s="7" t="e">
        <f>+VLOOKUP(A156,COMISIONES!$C$2:$C$33,1,0)</f>
        <v>#N/A</v>
      </c>
    </row>
    <row r="157" spans="1:13">
      <c r="A157" s="98"/>
      <c r="B157" s="133"/>
      <c r="C157" s="98"/>
      <c r="D157" s="137"/>
      <c r="E157" s="98"/>
      <c r="F157" s="98"/>
      <c r="H157" s="98"/>
      <c r="I157" s="56"/>
      <c r="J157" s="56"/>
      <c r="K157" s="56"/>
      <c r="L157" s="33" t="e">
        <f>+VLOOKUP(A157,COMISIONES!$C$2:$AS$33,43,0)</f>
        <v>#N/A</v>
      </c>
      <c r="M157" s="7" t="e">
        <f>+VLOOKUP(A157,COMISIONES!$C$2:$C$33,1,0)</f>
        <v>#N/A</v>
      </c>
    </row>
    <row r="158" spans="1:13">
      <c r="A158" s="98"/>
      <c r="B158" s="133"/>
      <c r="C158" s="98"/>
      <c r="D158" s="137"/>
      <c r="E158" s="98"/>
      <c r="F158" s="98"/>
      <c r="H158" s="98"/>
      <c r="I158" s="56"/>
      <c r="J158" s="56"/>
      <c r="K158" s="56"/>
      <c r="L158" s="33" t="e">
        <f>+VLOOKUP(A158,COMISIONES!$C$2:$AS$33,43,0)</f>
        <v>#N/A</v>
      </c>
      <c r="M158" s="7" t="e">
        <f>+VLOOKUP(A158,COMISIONES!$C$2:$C$33,1,0)</f>
        <v>#N/A</v>
      </c>
    </row>
    <row r="159" spans="1:13">
      <c r="A159" s="98"/>
      <c r="B159" s="133"/>
      <c r="C159" s="98"/>
      <c r="D159" s="137"/>
      <c r="E159" s="98"/>
      <c r="F159" s="98"/>
      <c r="H159" s="98"/>
      <c r="I159" s="56"/>
      <c r="J159" s="56"/>
      <c r="K159" s="56"/>
      <c r="L159" s="33" t="e">
        <f>+VLOOKUP(A159,COMISIONES!$C$2:$AS$33,43,0)</f>
        <v>#N/A</v>
      </c>
      <c r="M159" s="7" t="e">
        <f>+VLOOKUP(A159,COMISIONES!$C$2:$C$33,1,0)</f>
        <v>#N/A</v>
      </c>
    </row>
    <row r="160" spans="1:13">
      <c r="A160" s="98"/>
      <c r="B160" s="133"/>
      <c r="C160" s="98"/>
      <c r="D160" s="137"/>
      <c r="E160" s="98"/>
      <c r="F160" s="98"/>
      <c r="H160" s="98"/>
      <c r="I160" s="56"/>
      <c r="J160" s="56"/>
      <c r="K160" s="56"/>
      <c r="L160" s="33" t="e">
        <f>+VLOOKUP(A160,COMISIONES!$C$2:$AS$33,43,0)</f>
        <v>#N/A</v>
      </c>
      <c r="M160" s="7" t="e">
        <f>+VLOOKUP(A160,COMISIONES!$C$2:$C$33,1,0)</f>
        <v>#N/A</v>
      </c>
    </row>
    <row r="161" spans="1:13">
      <c r="A161" s="98"/>
      <c r="B161" s="133"/>
      <c r="C161" s="98"/>
      <c r="D161" s="137"/>
      <c r="E161" s="98"/>
      <c r="F161" s="98"/>
      <c r="H161" s="98"/>
      <c r="I161" s="56"/>
      <c r="J161" s="56"/>
      <c r="K161" s="56"/>
      <c r="L161" s="33" t="e">
        <f>+VLOOKUP(A161,COMISIONES!$C$2:$AS$33,43,0)</f>
        <v>#N/A</v>
      </c>
      <c r="M161" s="7" t="e">
        <f>+VLOOKUP(A161,COMISIONES!$C$2:$C$33,1,0)</f>
        <v>#N/A</v>
      </c>
    </row>
    <row r="162" spans="1:13">
      <c r="A162" s="98"/>
      <c r="B162" s="133"/>
      <c r="C162" s="98"/>
      <c r="D162" s="137"/>
      <c r="E162" s="98"/>
      <c r="F162" s="98"/>
      <c r="H162" s="98"/>
      <c r="I162" s="56"/>
      <c r="J162" s="56"/>
      <c r="K162" s="56"/>
      <c r="L162" s="33" t="e">
        <f>+VLOOKUP(A162,COMISIONES!$C$2:$AS$33,43,0)</f>
        <v>#N/A</v>
      </c>
      <c r="M162" s="7" t="e">
        <f>+VLOOKUP(A162,COMISIONES!$C$2:$C$33,1,0)</f>
        <v>#N/A</v>
      </c>
    </row>
    <row r="163" spans="1:13">
      <c r="A163" s="98"/>
      <c r="B163" s="133"/>
      <c r="C163" s="98"/>
      <c r="D163" s="137"/>
      <c r="E163" s="98"/>
      <c r="F163" s="98"/>
      <c r="H163" s="98"/>
      <c r="I163" s="56"/>
      <c r="J163" s="56"/>
      <c r="K163" s="56"/>
      <c r="L163" s="33" t="e">
        <f>+VLOOKUP(A163,COMISIONES!$C$2:$AS$33,43,0)</f>
        <v>#N/A</v>
      </c>
      <c r="M163" s="7" t="e">
        <f>+VLOOKUP(A163,COMISIONES!$C$2:$C$33,1,0)</f>
        <v>#N/A</v>
      </c>
    </row>
    <row r="164" spans="1:13">
      <c r="A164" s="98"/>
      <c r="B164" s="133"/>
      <c r="C164" s="98"/>
      <c r="D164" s="137"/>
      <c r="E164" s="98"/>
      <c r="F164" s="98"/>
      <c r="H164" s="98"/>
      <c r="I164" s="56"/>
      <c r="J164" s="56"/>
      <c r="K164" s="56"/>
      <c r="L164" s="33" t="e">
        <f>+VLOOKUP(A164,COMISIONES!$C$2:$AS$33,43,0)</f>
        <v>#N/A</v>
      </c>
      <c r="M164" s="7" t="e">
        <f>+VLOOKUP(A164,COMISIONES!$C$2:$C$33,1,0)</f>
        <v>#N/A</v>
      </c>
    </row>
    <row r="165" spans="1:13">
      <c r="A165" s="98"/>
      <c r="B165" s="133"/>
      <c r="C165" s="98"/>
      <c r="D165" s="137"/>
      <c r="E165" s="98"/>
      <c r="F165" s="98"/>
      <c r="H165" s="98"/>
      <c r="I165" s="56"/>
      <c r="J165" s="56"/>
      <c r="K165" s="56"/>
      <c r="L165" s="33" t="e">
        <f>+VLOOKUP(A165,COMISIONES!$C$2:$AS$33,43,0)</f>
        <v>#N/A</v>
      </c>
      <c r="M165" s="7" t="e">
        <f>+VLOOKUP(A165,COMISIONES!$C$2:$C$33,1,0)</f>
        <v>#N/A</v>
      </c>
    </row>
    <row r="166" spans="1:13">
      <c r="A166" s="98"/>
      <c r="B166" s="133"/>
      <c r="C166" s="98"/>
      <c r="D166" s="137"/>
      <c r="E166" s="98"/>
      <c r="F166" s="98"/>
      <c r="H166" s="98"/>
      <c r="I166" s="56"/>
      <c r="J166" s="56"/>
      <c r="K166" s="56"/>
      <c r="L166" s="33" t="e">
        <f>+VLOOKUP(A166,COMISIONES!$C$2:$AS$33,43,0)</f>
        <v>#N/A</v>
      </c>
      <c r="M166" s="7" t="e">
        <f>+VLOOKUP(A166,COMISIONES!$C$2:$C$33,1,0)</f>
        <v>#N/A</v>
      </c>
    </row>
    <row r="167" spans="1:13">
      <c r="A167" s="98"/>
      <c r="B167" s="133"/>
      <c r="C167" s="98"/>
      <c r="D167" s="137"/>
      <c r="E167" s="98"/>
      <c r="F167" s="98"/>
      <c r="H167" s="98"/>
      <c r="I167" s="56"/>
      <c r="J167" s="56"/>
      <c r="K167" s="56"/>
      <c r="L167" s="33" t="e">
        <f>+VLOOKUP(A167,COMISIONES!$C$2:$AS$33,43,0)</f>
        <v>#N/A</v>
      </c>
      <c r="M167" s="7" t="e">
        <f>+VLOOKUP(A167,COMISIONES!$C$2:$C$33,1,0)</f>
        <v>#N/A</v>
      </c>
    </row>
    <row r="168" spans="1:13">
      <c r="A168" s="98"/>
      <c r="B168" s="133"/>
      <c r="C168" s="98"/>
      <c r="D168" s="137"/>
      <c r="E168" s="98"/>
      <c r="F168" s="98"/>
      <c r="H168" s="98"/>
      <c r="I168" s="56"/>
      <c r="J168" s="56"/>
      <c r="K168" s="56"/>
      <c r="L168" s="33" t="e">
        <f>+VLOOKUP(A168,COMISIONES!$C$2:$AS$33,43,0)</f>
        <v>#N/A</v>
      </c>
      <c r="M168" s="7" t="e">
        <f>+VLOOKUP(A168,COMISIONES!$C$2:$C$33,1,0)</f>
        <v>#N/A</v>
      </c>
    </row>
    <row r="169" spans="1:13">
      <c r="A169" s="98"/>
      <c r="B169" s="133"/>
      <c r="C169" s="98"/>
      <c r="D169" s="137"/>
      <c r="E169" s="98"/>
      <c r="F169" s="98"/>
      <c r="H169" s="98"/>
      <c r="I169" s="56"/>
      <c r="J169" s="56"/>
      <c r="K169" s="56"/>
      <c r="L169" s="33" t="e">
        <f>+VLOOKUP(A169,COMISIONES!$C$2:$AS$33,43,0)</f>
        <v>#N/A</v>
      </c>
      <c r="M169" s="7" t="e">
        <f>+VLOOKUP(A169,COMISIONES!$C$2:$C$33,1,0)</f>
        <v>#N/A</v>
      </c>
    </row>
    <row r="170" spans="1:13">
      <c r="A170" s="98"/>
      <c r="B170" s="133"/>
      <c r="C170" s="98"/>
      <c r="D170" s="137"/>
      <c r="E170" s="98"/>
      <c r="F170" s="98"/>
      <c r="H170" s="98"/>
      <c r="I170" s="56"/>
      <c r="J170" s="56"/>
      <c r="K170" s="56"/>
      <c r="L170" s="33" t="e">
        <f>+VLOOKUP(A170,COMISIONES!$C$2:$AS$33,43,0)</f>
        <v>#N/A</v>
      </c>
      <c r="M170" s="7" t="e">
        <f>+VLOOKUP(A170,COMISIONES!$C$2:$C$33,1,0)</f>
        <v>#N/A</v>
      </c>
    </row>
    <row r="171" spans="1:13">
      <c r="A171" s="98"/>
      <c r="B171" s="133"/>
      <c r="C171" s="98"/>
      <c r="D171" s="137"/>
      <c r="E171" s="98"/>
      <c r="F171" s="98"/>
      <c r="H171" s="98"/>
      <c r="I171" s="56"/>
      <c r="J171" s="56"/>
      <c r="K171" s="56"/>
      <c r="L171" s="33" t="e">
        <f>+VLOOKUP(A171,COMISIONES!$C$2:$AS$33,43,0)</f>
        <v>#N/A</v>
      </c>
      <c r="M171" s="7" t="e">
        <f>+VLOOKUP(A171,COMISIONES!$C$2:$C$33,1,0)</f>
        <v>#N/A</v>
      </c>
    </row>
    <row r="172" spans="1:13">
      <c r="A172" s="98"/>
      <c r="B172" s="133"/>
      <c r="C172" s="98"/>
      <c r="D172" s="137"/>
      <c r="E172" s="98"/>
      <c r="F172" s="98"/>
      <c r="H172" s="98"/>
      <c r="I172" s="56"/>
      <c r="J172" s="56"/>
      <c r="K172" s="56"/>
      <c r="L172" s="33" t="e">
        <f>+VLOOKUP(A172,COMISIONES!$C$2:$AS$33,43,0)</f>
        <v>#N/A</v>
      </c>
      <c r="M172" s="7" t="e">
        <f>+VLOOKUP(A172,COMISIONES!$C$2:$C$33,1,0)</f>
        <v>#N/A</v>
      </c>
    </row>
    <row r="173" spans="1:13">
      <c r="A173" s="98"/>
      <c r="B173" s="133"/>
      <c r="C173" s="98"/>
      <c r="D173" s="137"/>
      <c r="E173" s="98"/>
      <c r="F173" s="98"/>
      <c r="H173" s="98"/>
      <c r="I173" s="56"/>
      <c r="J173" s="56"/>
      <c r="K173" s="56"/>
      <c r="L173" s="33" t="e">
        <f>+VLOOKUP(A173,COMISIONES!$C$2:$AS$33,43,0)</f>
        <v>#N/A</v>
      </c>
      <c r="M173" s="7" t="e">
        <f>+VLOOKUP(A173,COMISIONES!$C$2:$C$33,1,0)</f>
        <v>#N/A</v>
      </c>
    </row>
    <row r="174" spans="1:13">
      <c r="A174" s="98"/>
      <c r="B174" s="133"/>
      <c r="C174" s="98"/>
      <c r="D174" s="137"/>
      <c r="E174" s="98"/>
      <c r="F174" s="98"/>
      <c r="H174" s="98"/>
      <c r="I174" s="56"/>
      <c r="J174" s="56"/>
      <c r="K174" s="56"/>
      <c r="L174" s="33" t="e">
        <f>+VLOOKUP(A174,COMISIONES!$C$2:$AS$33,43,0)</f>
        <v>#N/A</v>
      </c>
      <c r="M174" s="7" t="e">
        <f>+VLOOKUP(A174,COMISIONES!$C$2:$C$33,1,0)</f>
        <v>#N/A</v>
      </c>
    </row>
    <row r="175" spans="1:13">
      <c r="A175" s="98"/>
      <c r="B175" s="133"/>
      <c r="C175" s="98"/>
      <c r="D175" s="137"/>
      <c r="E175" s="98"/>
      <c r="F175" s="98"/>
      <c r="H175" s="98"/>
      <c r="I175" s="56"/>
      <c r="J175" s="56"/>
      <c r="K175" s="56"/>
      <c r="L175" s="33" t="e">
        <f>+VLOOKUP(A175,COMISIONES!$C$2:$AS$33,43,0)</f>
        <v>#N/A</v>
      </c>
      <c r="M175" s="7" t="e">
        <f>+VLOOKUP(A175,COMISIONES!$C$2:$C$33,1,0)</f>
        <v>#N/A</v>
      </c>
    </row>
    <row r="176" spans="1:13">
      <c r="A176" s="98"/>
      <c r="B176" s="133"/>
      <c r="C176" s="98"/>
      <c r="D176" s="137"/>
      <c r="E176" s="98"/>
      <c r="F176" s="98"/>
      <c r="H176" s="98"/>
      <c r="I176" s="56"/>
      <c r="J176" s="56"/>
      <c r="K176" s="56"/>
      <c r="L176" s="33" t="e">
        <f>+VLOOKUP(A176,COMISIONES!$C$2:$AS$33,43,0)</f>
        <v>#N/A</v>
      </c>
      <c r="M176" s="7" t="e">
        <f>+VLOOKUP(A176,COMISIONES!$C$2:$C$33,1,0)</f>
        <v>#N/A</v>
      </c>
    </row>
    <row r="177" spans="1:13">
      <c r="A177" s="98"/>
      <c r="B177" s="133"/>
      <c r="C177" s="98"/>
      <c r="D177" s="137"/>
      <c r="E177" s="98"/>
      <c r="F177" s="98"/>
      <c r="H177" s="98"/>
      <c r="I177" s="56"/>
      <c r="J177" s="56"/>
      <c r="K177" s="56"/>
      <c r="L177" s="33" t="e">
        <f>+VLOOKUP(A177,COMISIONES!$C$2:$AS$33,43,0)</f>
        <v>#N/A</v>
      </c>
      <c r="M177" s="7" t="e">
        <f>+VLOOKUP(A177,COMISIONES!$C$2:$C$33,1,0)</f>
        <v>#N/A</v>
      </c>
    </row>
    <row r="178" spans="1:13">
      <c r="A178" s="98"/>
      <c r="B178" s="133"/>
      <c r="C178" s="98"/>
      <c r="D178" s="137"/>
      <c r="E178" s="98"/>
      <c r="F178" s="98"/>
      <c r="H178" s="98"/>
      <c r="I178" s="56"/>
      <c r="J178" s="56"/>
      <c r="K178" s="56"/>
      <c r="L178" s="33" t="e">
        <f>+VLOOKUP(A178,COMISIONES!$C$2:$AS$33,43,0)</f>
        <v>#N/A</v>
      </c>
      <c r="M178" s="7" t="e">
        <f>+VLOOKUP(A178,COMISIONES!$C$2:$C$33,1,0)</f>
        <v>#N/A</v>
      </c>
    </row>
    <row r="179" spans="1:13">
      <c r="A179" s="98"/>
      <c r="B179" s="133"/>
      <c r="C179" s="98"/>
      <c r="D179" s="137"/>
      <c r="E179" s="98"/>
      <c r="F179" s="98"/>
      <c r="H179" s="98"/>
      <c r="I179" s="56"/>
      <c r="J179" s="56"/>
      <c r="K179" s="56"/>
      <c r="L179" s="33" t="e">
        <f>+VLOOKUP(A179,COMISIONES!$C$2:$AS$33,43,0)</f>
        <v>#N/A</v>
      </c>
      <c r="M179" s="7" t="e">
        <f>+VLOOKUP(A179,COMISIONES!$C$2:$C$33,1,0)</f>
        <v>#N/A</v>
      </c>
    </row>
    <row r="180" spans="1:13">
      <c r="A180" s="98"/>
      <c r="B180" s="133"/>
      <c r="C180" s="98"/>
      <c r="D180" s="137"/>
      <c r="E180" s="98"/>
      <c r="F180" s="98"/>
      <c r="H180" s="98"/>
      <c r="I180" s="56"/>
      <c r="J180" s="56"/>
      <c r="K180" s="56"/>
      <c r="L180" s="33" t="e">
        <f>+VLOOKUP(A180,COMISIONES!$C$2:$AS$33,43,0)</f>
        <v>#N/A</v>
      </c>
      <c r="M180" s="7" t="e">
        <f>+VLOOKUP(A180,COMISIONES!$C$2:$C$33,1,0)</f>
        <v>#N/A</v>
      </c>
    </row>
    <row r="181" spans="1:13">
      <c r="A181" s="98"/>
      <c r="B181" s="133"/>
      <c r="C181" s="98"/>
      <c r="D181" s="137"/>
      <c r="E181" s="98"/>
      <c r="F181" s="98"/>
      <c r="H181" s="98"/>
      <c r="I181" s="56"/>
      <c r="J181" s="56"/>
      <c r="K181" s="56"/>
      <c r="L181" s="33" t="e">
        <f>+VLOOKUP(A181,COMISIONES!$C$2:$AS$33,43,0)</f>
        <v>#N/A</v>
      </c>
      <c r="M181" s="7" t="e">
        <f>+VLOOKUP(A181,COMISIONES!$C$2:$C$33,1,0)</f>
        <v>#N/A</v>
      </c>
    </row>
    <row r="182" spans="1:13">
      <c r="A182" s="98"/>
      <c r="B182" s="133"/>
      <c r="C182" s="98"/>
      <c r="D182" s="137"/>
      <c r="E182" s="98"/>
      <c r="F182" s="98"/>
      <c r="H182" s="98"/>
      <c r="I182" s="56"/>
      <c r="J182" s="56"/>
      <c r="K182" s="56"/>
      <c r="L182" s="33" t="e">
        <f>+VLOOKUP(A182,COMISIONES!$C$2:$AS$33,43,0)</f>
        <v>#N/A</v>
      </c>
      <c r="M182" s="7" t="e">
        <f>+VLOOKUP(A182,COMISIONES!$C$2:$C$33,1,0)</f>
        <v>#N/A</v>
      </c>
    </row>
    <row r="183" spans="1:13">
      <c r="A183" s="98"/>
      <c r="B183" s="133"/>
      <c r="C183" s="98"/>
      <c r="D183" s="137"/>
      <c r="E183" s="98"/>
      <c r="F183" s="98"/>
      <c r="H183" s="98"/>
      <c r="I183" s="56"/>
      <c r="J183" s="56"/>
      <c r="K183" s="56"/>
      <c r="L183" s="33" t="e">
        <f>+VLOOKUP(A183,COMISIONES!$C$2:$AS$33,43,0)</f>
        <v>#N/A</v>
      </c>
      <c r="M183" s="7" t="e">
        <f>+VLOOKUP(A183,COMISIONES!$C$2:$C$33,1,0)</f>
        <v>#N/A</v>
      </c>
    </row>
    <row r="184" spans="1:13">
      <c r="A184" s="98"/>
      <c r="B184" s="133"/>
      <c r="C184" s="98"/>
      <c r="D184" s="137"/>
      <c r="E184" s="98"/>
      <c r="F184" s="98"/>
      <c r="H184" s="98"/>
      <c r="I184" s="56"/>
      <c r="J184" s="56"/>
      <c r="K184" s="56"/>
      <c r="L184" s="33" t="e">
        <f>+VLOOKUP(A184,COMISIONES!$C$2:$AS$33,43,0)</f>
        <v>#N/A</v>
      </c>
      <c r="M184" s="7" t="e">
        <f>+VLOOKUP(A184,COMISIONES!$C$2:$C$33,1,0)</f>
        <v>#N/A</v>
      </c>
    </row>
    <row r="185" spans="1:13">
      <c r="A185" s="98"/>
      <c r="B185" s="133"/>
      <c r="C185" s="98"/>
      <c r="D185" s="137"/>
      <c r="E185" s="98"/>
      <c r="F185" s="98"/>
      <c r="H185" s="98"/>
      <c r="I185" s="56"/>
      <c r="J185" s="56"/>
      <c r="K185" s="56"/>
      <c r="L185" s="33" t="e">
        <f>+VLOOKUP(A185,COMISIONES!$C$2:$AS$33,43,0)</f>
        <v>#N/A</v>
      </c>
      <c r="M185" s="7" t="e">
        <f>+VLOOKUP(A185,COMISIONES!$C$2:$C$33,1,0)</f>
        <v>#N/A</v>
      </c>
    </row>
    <row r="186" spans="1:13">
      <c r="A186" s="98"/>
      <c r="B186" s="133"/>
      <c r="C186" s="98"/>
      <c r="D186" s="137"/>
      <c r="E186" s="98"/>
      <c r="F186" s="98"/>
      <c r="H186" s="98"/>
      <c r="I186" s="56"/>
      <c r="J186" s="56"/>
      <c r="K186" s="56"/>
      <c r="L186" s="33" t="e">
        <f>+VLOOKUP(A186,COMISIONES!$C$2:$AS$33,43,0)</f>
        <v>#N/A</v>
      </c>
      <c r="M186" s="7" t="e">
        <f>+VLOOKUP(A186,COMISIONES!$C$2:$C$33,1,0)</f>
        <v>#N/A</v>
      </c>
    </row>
    <row r="187" spans="1:13">
      <c r="A187" s="98"/>
      <c r="B187" s="133"/>
      <c r="C187" s="98"/>
      <c r="D187" s="137"/>
      <c r="E187" s="98"/>
      <c r="F187" s="98"/>
      <c r="H187" s="98"/>
      <c r="I187" s="56"/>
      <c r="J187" s="56"/>
      <c r="K187" s="56"/>
      <c r="L187" s="33" t="e">
        <f>+VLOOKUP(A187,COMISIONES!$C$2:$AS$33,43,0)</f>
        <v>#N/A</v>
      </c>
      <c r="M187" s="7" t="e">
        <f>+VLOOKUP(A187,COMISIONES!$C$2:$C$33,1,0)</f>
        <v>#N/A</v>
      </c>
    </row>
    <row r="188" spans="1:13">
      <c r="A188" s="98"/>
      <c r="B188" s="133"/>
      <c r="C188" s="98"/>
      <c r="D188" s="137"/>
      <c r="E188" s="98"/>
      <c r="F188" s="98"/>
      <c r="H188" s="98"/>
      <c r="I188" s="56"/>
      <c r="J188" s="56"/>
      <c r="K188" s="56"/>
      <c r="L188" s="33" t="e">
        <f>+VLOOKUP(A188,COMISIONES!$C$2:$AS$33,43,0)</f>
        <v>#N/A</v>
      </c>
      <c r="M188" s="7" t="e">
        <f>+VLOOKUP(A188,COMISIONES!$C$2:$C$33,1,0)</f>
        <v>#N/A</v>
      </c>
    </row>
    <row r="189" spans="1:13">
      <c r="A189" s="98"/>
      <c r="B189" s="133"/>
      <c r="C189" s="98"/>
      <c r="D189" s="137"/>
      <c r="E189" s="98"/>
      <c r="F189" s="98"/>
      <c r="H189" s="98"/>
      <c r="I189" s="56"/>
      <c r="J189" s="56"/>
      <c r="K189" s="56"/>
      <c r="L189" s="33" t="e">
        <f>+VLOOKUP(A189,COMISIONES!$C$2:$AS$33,43,0)</f>
        <v>#N/A</v>
      </c>
      <c r="M189" s="7" t="e">
        <f>+VLOOKUP(A189,COMISIONES!$C$2:$C$33,1,0)</f>
        <v>#N/A</v>
      </c>
    </row>
    <row r="190" spans="1:13">
      <c r="A190" s="98"/>
      <c r="B190" s="133"/>
      <c r="C190" s="98"/>
      <c r="D190" s="137"/>
      <c r="E190" s="98"/>
      <c r="F190" s="98"/>
      <c r="H190" s="98"/>
      <c r="I190" s="56"/>
      <c r="J190" s="56"/>
      <c r="K190" s="56"/>
      <c r="L190" s="33" t="e">
        <f>+VLOOKUP(A190,COMISIONES!$C$2:$AS$33,43,0)</f>
        <v>#N/A</v>
      </c>
      <c r="M190" s="7" t="e">
        <f>+VLOOKUP(A190,COMISIONES!$C$2:$C$33,1,0)</f>
        <v>#N/A</v>
      </c>
    </row>
    <row r="191" spans="1:13">
      <c r="A191" s="98"/>
      <c r="B191" s="133"/>
      <c r="C191" s="98"/>
      <c r="D191" s="137"/>
      <c r="E191" s="98"/>
      <c r="F191" s="98"/>
      <c r="H191" s="98"/>
      <c r="I191" s="56"/>
      <c r="J191" s="56"/>
      <c r="K191" s="56"/>
      <c r="L191" s="33" t="e">
        <f>+VLOOKUP(A191,COMISIONES!$C$2:$AS$33,43,0)</f>
        <v>#N/A</v>
      </c>
      <c r="M191" s="7" t="e">
        <f>+VLOOKUP(A191,COMISIONES!$C$2:$C$33,1,0)</f>
        <v>#N/A</v>
      </c>
    </row>
    <row r="192" spans="1:13">
      <c r="A192" s="98"/>
      <c r="B192" s="133"/>
      <c r="C192" s="98"/>
      <c r="D192" s="137"/>
      <c r="E192" s="98"/>
      <c r="F192" s="98"/>
      <c r="H192" s="98"/>
      <c r="I192" s="56"/>
      <c r="J192" s="56"/>
      <c r="K192" s="56"/>
      <c r="L192" s="33" t="e">
        <f>+VLOOKUP(A192,COMISIONES!$C$2:$AS$33,43,0)</f>
        <v>#N/A</v>
      </c>
      <c r="M192" s="7" t="e">
        <f>+VLOOKUP(A192,COMISIONES!$C$2:$C$33,1,0)</f>
        <v>#N/A</v>
      </c>
    </row>
    <row r="193" spans="1:13">
      <c r="A193" s="98"/>
      <c r="B193" s="133"/>
      <c r="C193" s="98"/>
      <c r="D193" s="137"/>
      <c r="E193" s="98"/>
      <c r="F193" s="98"/>
      <c r="H193" s="98"/>
      <c r="I193" s="56"/>
      <c r="J193" s="56"/>
      <c r="K193" s="56"/>
      <c r="L193" s="33" t="e">
        <f>+VLOOKUP(A193,COMISIONES!$C$2:$AS$33,43,0)</f>
        <v>#N/A</v>
      </c>
      <c r="M193" s="7" t="e">
        <f>+VLOOKUP(A193,COMISIONES!$C$2:$C$33,1,0)</f>
        <v>#N/A</v>
      </c>
    </row>
    <row r="194" spans="1:13">
      <c r="A194" s="98"/>
      <c r="B194" s="133"/>
      <c r="C194" s="98"/>
      <c r="D194" s="137"/>
      <c r="E194" s="98"/>
      <c r="F194" s="98"/>
      <c r="H194" s="98"/>
      <c r="I194" s="56"/>
      <c r="J194" s="56"/>
      <c r="K194" s="56"/>
      <c r="L194" s="33" t="e">
        <f>+VLOOKUP(A194,COMISIONES!$C$2:$AS$33,43,0)</f>
        <v>#N/A</v>
      </c>
      <c r="M194" s="7" t="e">
        <f>+VLOOKUP(A194,COMISIONES!$C$2:$C$33,1,0)</f>
        <v>#N/A</v>
      </c>
    </row>
    <row r="195" spans="1:13">
      <c r="A195" s="98"/>
      <c r="B195" s="133"/>
      <c r="C195" s="98"/>
      <c r="D195" s="137"/>
      <c r="E195" s="98"/>
      <c r="F195" s="98"/>
      <c r="H195" s="98"/>
      <c r="I195" s="56"/>
      <c r="J195" s="56"/>
      <c r="K195" s="56"/>
      <c r="L195" s="33" t="e">
        <f>+VLOOKUP(A195,COMISIONES!$C$2:$AS$33,43,0)</f>
        <v>#N/A</v>
      </c>
      <c r="M195" s="7" t="e">
        <f>+VLOOKUP(A195,COMISIONES!$C$2:$C$33,1,0)</f>
        <v>#N/A</v>
      </c>
    </row>
    <row r="196" spans="1:13">
      <c r="A196" s="98"/>
      <c r="B196" s="133"/>
      <c r="C196" s="98"/>
      <c r="D196" s="137"/>
      <c r="E196" s="98"/>
      <c r="F196" s="98"/>
      <c r="H196" s="98"/>
      <c r="I196" s="56"/>
      <c r="J196" s="56"/>
      <c r="K196" s="56"/>
      <c r="L196" s="33" t="e">
        <f>+VLOOKUP(A196,COMISIONES!$C$2:$AS$33,43,0)</f>
        <v>#N/A</v>
      </c>
      <c r="M196" s="7" t="e">
        <f>+VLOOKUP(A196,COMISIONES!$C$2:$C$33,1,0)</f>
        <v>#N/A</v>
      </c>
    </row>
    <row r="197" spans="1:13">
      <c r="A197" s="98"/>
      <c r="B197" s="133"/>
      <c r="C197" s="98"/>
      <c r="D197" s="137"/>
      <c r="E197" s="98"/>
      <c r="F197" s="98"/>
      <c r="H197" s="98"/>
      <c r="I197" s="56"/>
      <c r="J197" s="56"/>
      <c r="K197" s="56"/>
      <c r="L197" s="33" t="e">
        <f>+VLOOKUP(A197,COMISIONES!$C$2:$AS$33,43,0)</f>
        <v>#N/A</v>
      </c>
      <c r="M197" s="7" t="e">
        <f>+VLOOKUP(A197,COMISIONES!$C$2:$C$33,1,0)</f>
        <v>#N/A</v>
      </c>
    </row>
    <row r="198" spans="1:13">
      <c r="A198" s="98"/>
      <c r="B198" s="133"/>
      <c r="C198" s="98"/>
      <c r="D198" s="137"/>
      <c r="E198" s="98"/>
      <c r="F198" s="98"/>
      <c r="H198" s="98"/>
      <c r="I198" s="56"/>
      <c r="J198" s="56"/>
      <c r="K198" s="56"/>
      <c r="L198" s="33" t="e">
        <f>+VLOOKUP(A198,COMISIONES!$C$2:$AS$33,43,0)</f>
        <v>#N/A</v>
      </c>
      <c r="M198" s="7" t="e">
        <f>+VLOOKUP(A198,COMISIONES!$C$2:$C$33,1,0)</f>
        <v>#N/A</v>
      </c>
    </row>
    <row r="199" spans="1:13">
      <c r="A199" s="98"/>
      <c r="B199" s="133"/>
      <c r="C199" s="98"/>
      <c r="D199" s="137"/>
      <c r="E199" s="98"/>
      <c r="F199" s="98"/>
      <c r="H199" s="98"/>
      <c r="I199" s="56"/>
      <c r="J199" s="56"/>
      <c r="K199" s="56"/>
      <c r="L199" s="33" t="e">
        <f>+VLOOKUP(A199,COMISIONES!$C$2:$AS$33,43,0)</f>
        <v>#N/A</v>
      </c>
      <c r="M199" s="7" t="e">
        <f>+VLOOKUP(A199,COMISIONES!$C$2:$C$33,1,0)</f>
        <v>#N/A</v>
      </c>
    </row>
    <row r="200" spans="1:13">
      <c r="A200" s="98"/>
      <c r="B200" s="133"/>
      <c r="C200" s="98"/>
      <c r="D200" s="137"/>
      <c r="E200" s="98"/>
      <c r="F200" s="98"/>
      <c r="H200" s="98"/>
      <c r="I200" s="56"/>
      <c r="J200" s="56"/>
      <c r="K200" s="56"/>
      <c r="L200" s="33" t="e">
        <f>+VLOOKUP(A200,COMISIONES!$C$2:$AS$33,43,0)</f>
        <v>#N/A</v>
      </c>
      <c r="M200" s="7" t="e">
        <f>+VLOOKUP(A200,COMISIONES!$C$2:$C$33,1,0)</f>
        <v>#N/A</v>
      </c>
    </row>
    <row r="201" spans="1:13">
      <c r="A201" s="98"/>
      <c r="B201" s="133"/>
      <c r="C201" s="98"/>
      <c r="D201" s="137"/>
      <c r="E201" s="98"/>
      <c r="F201" s="98"/>
      <c r="H201" s="98"/>
      <c r="I201" s="56"/>
      <c r="J201" s="56"/>
      <c r="K201" s="56"/>
      <c r="L201" s="33" t="e">
        <f>+VLOOKUP(A201,COMISIONES!$C$2:$AS$33,43,0)</f>
        <v>#N/A</v>
      </c>
      <c r="M201" s="7" t="e">
        <f>+VLOOKUP(A201,COMISIONES!$C$2:$C$33,1,0)</f>
        <v>#N/A</v>
      </c>
    </row>
    <row r="202" spans="1:13">
      <c r="A202" s="98"/>
      <c r="B202" s="133"/>
      <c r="C202" s="98"/>
      <c r="D202" s="137"/>
      <c r="E202" s="98"/>
      <c r="F202" s="98"/>
      <c r="H202" s="98"/>
      <c r="I202" s="56"/>
      <c r="J202" s="56"/>
      <c r="K202" s="56"/>
      <c r="L202" s="33" t="e">
        <f>+VLOOKUP(A202,COMISIONES!$C$2:$AS$33,43,0)</f>
        <v>#N/A</v>
      </c>
      <c r="M202" s="7" t="e">
        <f>+VLOOKUP(A202,COMISIONES!$C$2:$C$33,1,0)</f>
        <v>#N/A</v>
      </c>
    </row>
    <row r="203" spans="1:13">
      <c r="A203" s="98"/>
      <c r="B203" s="133"/>
      <c r="C203" s="98"/>
      <c r="D203" s="137"/>
      <c r="E203" s="98"/>
      <c r="F203" s="98"/>
      <c r="H203" s="98"/>
      <c r="I203" s="56"/>
      <c r="J203" s="56"/>
      <c r="K203" s="56"/>
      <c r="L203" s="33" t="e">
        <f>+VLOOKUP(A203,COMISIONES!$C$2:$AS$33,43,0)</f>
        <v>#N/A</v>
      </c>
      <c r="M203" s="7" t="e">
        <f>+VLOOKUP(A203,COMISIONES!$C$2:$C$33,1,0)</f>
        <v>#N/A</v>
      </c>
    </row>
    <row r="204" spans="1:13">
      <c r="A204" s="98"/>
      <c r="B204" s="133"/>
      <c r="C204" s="98"/>
      <c r="D204" s="137"/>
      <c r="E204" s="98"/>
      <c r="F204" s="98"/>
      <c r="H204" s="98"/>
      <c r="I204" s="56"/>
      <c r="J204" s="56"/>
      <c r="K204" s="56"/>
      <c r="L204" s="33" t="e">
        <f>+VLOOKUP(A204,COMISIONES!$C$2:$AS$33,43,0)</f>
        <v>#N/A</v>
      </c>
      <c r="M204" s="7" t="e">
        <f>+VLOOKUP(A204,COMISIONES!$C$2:$C$33,1,0)</f>
        <v>#N/A</v>
      </c>
    </row>
    <row r="205" spans="1:13">
      <c r="A205" s="98"/>
      <c r="B205" s="133"/>
      <c r="C205" s="98"/>
      <c r="D205" s="137"/>
      <c r="E205" s="98"/>
      <c r="F205" s="98"/>
      <c r="H205" s="98"/>
      <c r="I205" s="56"/>
      <c r="J205" s="56"/>
      <c r="K205" s="56"/>
      <c r="L205" s="33" t="e">
        <f>+VLOOKUP(A205,COMISIONES!$C$2:$AS$33,43,0)</f>
        <v>#N/A</v>
      </c>
      <c r="M205" s="7" t="e">
        <f>+VLOOKUP(A205,COMISIONES!$C$2:$C$33,1,0)</f>
        <v>#N/A</v>
      </c>
    </row>
    <row r="206" spans="1:13">
      <c r="A206" s="98"/>
      <c r="B206" s="133"/>
      <c r="C206" s="98"/>
      <c r="D206" s="137"/>
      <c r="E206" s="98"/>
      <c r="F206" s="98"/>
      <c r="H206" s="98"/>
      <c r="I206" s="56"/>
      <c r="J206" s="56"/>
      <c r="K206" s="56"/>
      <c r="L206" s="33" t="e">
        <f>+VLOOKUP(A206,COMISIONES!$C$2:$AS$33,43,0)</f>
        <v>#N/A</v>
      </c>
      <c r="M206" s="7" t="e">
        <f>+VLOOKUP(A206,COMISIONES!$C$2:$C$33,1,0)</f>
        <v>#N/A</v>
      </c>
    </row>
    <row r="207" spans="1:13">
      <c r="A207" s="98"/>
      <c r="B207" s="133"/>
      <c r="C207" s="98"/>
      <c r="D207" s="137"/>
      <c r="E207" s="98"/>
      <c r="F207" s="98"/>
      <c r="H207" s="98"/>
      <c r="I207" s="56"/>
      <c r="J207" s="56"/>
      <c r="K207" s="56"/>
      <c r="L207" s="33" t="e">
        <f>+VLOOKUP(A207,COMISIONES!$C$2:$AS$33,43,0)</f>
        <v>#N/A</v>
      </c>
      <c r="M207" s="7" t="e">
        <f>+VLOOKUP(A207,COMISIONES!$C$2:$C$33,1,0)</f>
        <v>#N/A</v>
      </c>
    </row>
    <row r="208" spans="1:13">
      <c r="A208" s="98"/>
      <c r="B208" s="133"/>
      <c r="C208" s="98"/>
      <c r="D208" s="137"/>
      <c r="E208" s="98"/>
      <c r="F208" s="98"/>
      <c r="H208" s="98"/>
      <c r="I208" s="56"/>
      <c r="J208" s="56"/>
      <c r="K208" s="56"/>
      <c r="L208" s="33" t="e">
        <f>+VLOOKUP(A208,COMISIONES!$C$2:$AS$33,43,0)</f>
        <v>#N/A</v>
      </c>
      <c r="M208" s="7" t="e">
        <f>+VLOOKUP(A208,COMISIONES!$C$2:$C$33,1,0)</f>
        <v>#N/A</v>
      </c>
    </row>
    <row r="209" spans="1:13">
      <c r="A209" s="98"/>
      <c r="B209" s="133"/>
      <c r="C209" s="98"/>
      <c r="D209" s="137"/>
      <c r="E209" s="98"/>
      <c r="F209" s="98"/>
      <c r="H209" s="98"/>
      <c r="I209" s="56"/>
      <c r="J209" s="56"/>
      <c r="K209" s="56"/>
      <c r="L209" s="33" t="e">
        <f>+VLOOKUP(A209,COMISIONES!$C$2:$AS$33,43,0)</f>
        <v>#N/A</v>
      </c>
      <c r="M209" s="7" t="e">
        <f>+VLOOKUP(A209,COMISIONES!$C$2:$C$33,1,0)</f>
        <v>#N/A</v>
      </c>
    </row>
    <row r="210" spans="1:13">
      <c r="A210" s="98"/>
      <c r="B210" s="133"/>
      <c r="C210" s="98"/>
      <c r="D210" s="137"/>
      <c r="E210" s="98"/>
      <c r="F210" s="98"/>
      <c r="H210" s="98"/>
      <c r="I210" s="56"/>
      <c r="J210" s="56"/>
      <c r="K210" s="56"/>
      <c r="L210" s="33" t="e">
        <f>+VLOOKUP(A210,COMISIONES!$C$2:$AS$33,43,0)</f>
        <v>#N/A</v>
      </c>
      <c r="M210" s="7" t="e">
        <f>+VLOOKUP(A210,COMISIONES!$C$2:$C$33,1,0)</f>
        <v>#N/A</v>
      </c>
    </row>
    <row r="211" spans="1:13">
      <c r="A211" s="98"/>
      <c r="B211" s="133"/>
      <c r="C211" s="98"/>
      <c r="D211" s="137"/>
      <c r="E211" s="98"/>
      <c r="F211" s="98"/>
      <c r="H211" s="98"/>
      <c r="I211" s="56"/>
      <c r="J211" s="56"/>
      <c r="K211" s="56"/>
      <c r="L211" s="33" t="e">
        <f>+VLOOKUP(A211,COMISIONES!$C$2:$AS$33,43,0)</f>
        <v>#N/A</v>
      </c>
      <c r="M211" s="7" t="e">
        <f>+VLOOKUP(A211,COMISIONES!$C$2:$C$33,1,0)</f>
        <v>#N/A</v>
      </c>
    </row>
    <row r="212" spans="1:13">
      <c r="A212" s="98"/>
      <c r="B212" s="133"/>
      <c r="C212" s="98"/>
      <c r="D212" s="137"/>
      <c r="E212" s="98"/>
      <c r="F212" s="98"/>
      <c r="H212" s="98"/>
      <c r="I212" s="56"/>
      <c r="J212" s="56"/>
      <c r="K212" s="56"/>
      <c r="L212" s="33" t="e">
        <f>+VLOOKUP(A212,COMISIONES!$C$2:$AS$33,43,0)</f>
        <v>#N/A</v>
      </c>
      <c r="M212" s="7" t="e">
        <f>+VLOOKUP(A212,COMISIONES!$C$2:$C$33,1,0)</f>
        <v>#N/A</v>
      </c>
    </row>
    <row r="213" spans="1:13">
      <c r="A213" s="98"/>
      <c r="B213" s="133"/>
      <c r="C213" s="98"/>
      <c r="D213" s="137"/>
      <c r="E213" s="98"/>
      <c r="F213" s="98"/>
      <c r="H213" s="98"/>
      <c r="I213" s="56"/>
      <c r="J213" s="56"/>
      <c r="K213" s="56"/>
      <c r="L213" s="33" t="e">
        <f>+VLOOKUP(A213,COMISIONES!$C$2:$AS$33,43,0)</f>
        <v>#N/A</v>
      </c>
      <c r="M213" s="7" t="e">
        <f>+VLOOKUP(A213,COMISIONES!$C$2:$C$33,1,0)</f>
        <v>#N/A</v>
      </c>
    </row>
    <row r="214" spans="1:13">
      <c r="A214" s="98"/>
      <c r="B214" s="133"/>
      <c r="C214" s="98"/>
      <c r="D214" s="137"/>
      <c r="E214" s="98"/>
      <c r="F214" s="98"/>
      <c r="H214" s="98"/>
      <c r="I214" s="56"/>
      <c r="J214" s="56"/>
      <c r="K214" s="56"/>
      <c r="L214" s="33" t="e">
        <f>+VLOOKUP(A214,COMISIONES!$C$2:$AS$33,43,0)</f>
        <v>#N/A</v>
      </c>
      <c r="M214" s="7" t="e">
        <f>+VLOOKUP(A214,COMISIONES!$C$2:$C$33,1,0)</f>
        <v>#N/A</v>
      </c>
    </row>
    <row r="215" spans="1:13">
      <c r="A215" s="98"/>
      <c r="B215" s="133"/>
      <c r="C215" s="98"/>
      <c r="D215" s="137"/>
      <c r="E215" s="98"/>
      <c r="F215" s="98"/>
      <c r="H215" s="98"/>
      <c r="I215" s="56"/>
      <c r="J215" s="56"/>
      <c r="K215" s="56"/>
      <c r="L215" s="33" t="e">
        <f>+VLOOKUP(A215,COMISIONES!$C$2:$AS$33,43,0)</f>
        <v>#N/A</v>
      </c>
      <c r="M215" s="7" t="e">
        <f>+VLOOKUP(A215,COMISIONES!$C$2:$C$33,1,0)</f>
        <v>#N/A</v>
      </c>
    </row>
    <row r="216" spans="1:13">
      <c r="A216" s="98"/>
      <c r="B216" s="133"/>
      <c r="C216" s="98"/>
      <c r="D216" s="137"/>
      <c r="E216" s="98"/>
      <c r="F216" s="98"/>
      <c r="H216" s="98"/>
      <c r="I216" s="56"/>
      <c r="J216" s="56"/>
      <c r="K216" s="56"/>
      <c r="L216" s="33" t="e">
        <f>+VLOOKUP(A216,COMISIONES!$C$2:$AS$33,43,0)</f>
        <v>#N/A</v>
      </c>
      <c r="M216" s="7" t="e">
        <f>+VLOOKUP(A216,COMISIONES!$C$2:$C$33,1,0)</f>
        <v>#N/A</v>
      </c>
    </row>
    <row r="217" spans="1:13">
      <c r="A217" s="98"/>
      <c r="B217" s="133"/>
      <c r="C217" s="98"/>
      <c r="D217" s="137"/>
      <c r="E217" s="98"/>
      <c r="F217" s="98"/>
      <c r="H217" s="98"/>
      <c r="I217" s="56"/>
      <c r="J217" s="56"/>
      <c r="K217" s="56"/>
      <c r="L217" s="33" t="e">
        <f>+VLOOKUP(A217,COMISIONES!$C$2:$AS$33,43,0)</f>
        <v>#N/A</v>
      </c>
      <c r="M217" s="7" t="e">
        <f>+VLOOKUP(A217,COMISIONES!$C$2:$C$33,1,0)</f>
        <v>#N/A</v>
      </c>
    </row>
    <row r="218" spans="1:13">
      <c r="A218" s="98"/>
      <c r="B218" s="133"/>
      <c r="C218" s="98"/>
      <c r="D218" s="137"/>
      <c r="E218" s="98"/>
      <c r="F218" s="98"/>
      <c r="H218" s="98"/>
      <c r="I218" s="56"/>
      <c r="J218" s="56"/>
      <c r="K218" s="56"/>
      <c r="L218" s="33" t="e">
        <f>+VLOOKUP(A218,COMISIONES!$C$2:$AS$33,43,0)</f>
        <v>#N/A</v>
      </c>
      <c r="M218" s="7" t="e">
        <f>+VLOOKUP(A218,COMISIONES!$C$2:$C$33,1,0)</f>
        <v>#N/A</v>
      </c>
    </row>
    <row r="219" spans="1:13">
      <c r="A219" s="98"/>
      <c r="B219" s="133"/>
      <c r="C219" s="98"/>
      <c r="D219" s="137"/>
      <c r="E219" s="98"/>
      <c r="F219" s="98"/>
      <c r="H219" s="98"/>
      <c r="I219" s="56"/>
      <c r="J219" s="56"/>
      <c r="K219" s="56"/>
      <c r="L219" s="33" t="e">
        <f>+VLOOKUP(A219,COMISIONES!$C$2:$AS$33,43,0)</f>
        <v>#N/A</v>
      </c>
      <c r="M219" s="7" t="e">
        <f>+VLOOKUP(A219,COMISIONES!$C$2:$C$33,1,0)</f>
        <v>#N/A</v>
      </c>
    </row>
    <row r="220" spans="1:13">
      <c r="A220" s="98"/>
      <c r="B220" s="133"/>
      <c r="C220" s="98"/>
      <c r="D220" s="137"/>
      <c r="E220" s="98"/>
      <c r="F220" s="98"/>
      <c r="H220" s="98"/>
      <c r="I220" s="56"/>
      <c r="J220" s="56"/>
      <c r="K220" s="56"/>
      <c r="L220" s="33" t="e">
        <f>+VLOOKUP(A220,COMISIONES!$C$2:$AS$33,43,0)</f>
        <v>#N/A</v>
      </c>
      <c r="M220" s="7" t="e">
        <f>+VLOOKUP(A220,COMISIONES!$C$2:$C$33,1,0)</f>
        <v>#N/A</v>
      </c>
    </row>
    <row r="221" spans="1:13">
      <c r="A221" s="98"/>
      <c r="B221" s="133"/>
      <c r="C221" s="98"/>
      <c r="D221" s="137"/>
      <c r="E221" s="98"/>
      <c r="F221" s="98"/>
      <c r="H221" s="98"/>
      <c r="I221" s="56"/>
      <c r="J221" s="56"/>
      <c r="K221" s="56"/>
      <c r="L221" s="33" t="e">
        <f>+VLOOKUP(A221,COMISIONES!$C$2:$AS$33,43,0)</f>
        <v>#N/A</v>
      </c>
      <c r="M221" s="7" t="e">
        <f>+VLOOKUP(A221,COMISIONES!$C$2:$C$33,1,0)</f>
        <v>#N/A</v>
      </c>
    </row>
    <row r="222" spans="1:13">
      <c r="A222" s="98"/>
      <c r="B222" s="133"/>
      <c r="C222" s="98"/>
      <c r="D222" s="137"/>
      <c r="E222" s="98"/>
      <c r="F222" s="98"/>
      <c r="H222" s="98"/>
      <c r="I222" s="56"/>
      <c r="J222" s="56"/>
      <c r="K222" s="56"/>
      <c r="L222" s="33" t="e">
        <f>+VLOOKUP(A222,COMISIONES!$C$2:$AS$33,43,0)</f>
        <v>#N/A</v>
      </c>
      <c r="M222" s="7" t="e">
        <f>+VLOOKUP(A222,COMISIONES!$C$2:$C$33,1,0)</f>
        <v>#N/A</v>
      </c>
    </row>
    <row r="223" spans="1:13">
      <c r="A223" s="98"/>
      <c r="B223" s="133"/>
      <c r="C223" s="98"/>
      <c r="D223" s="137"/>
      <c r="E223" s="98"/>
      <c r="F223" s="98"/>
      <c r="H223" s="98"/>
      <c r="I223" s="56"/>
      <c r="J223" s="56"/>
      <c r="K223" s="56"/>
      <c r="L223" s="33" t="e">
        <f>+VLOOKUP(A223,COMISIONES!$C$2:$AS$33,43,0)</f>
        <v>#N/A</v>
      </c>
      <c r="M223" s="7" t="e">
        <f>+VLOOKUP(A223,COMISIONES!$C$2:$C$33,1,0)</f>
        <v>#N/A</v>
      </c>
    </row>
    <row r="224" spans="1:13">
      <c r="A224" s="98"/>
      <c r="B224" s="133"/>
      <c r="C224" s="98"/>
      <c r="D224" s="137"/>
      <c r="E224" s="98"/>
      <c r="F224" s="98"/>
      <c r="H224" s="98"/>
      <c r="I224" s="56"/>
      <c r="J224" s="56"/>
      <c r="K224" s="56"/>
      <c r="L224" s="33" t="e">
        <f>+VLOOKUP(A224,COMISIONES!$C$2:$AS$33,43,0)</f>
        <v>#N/A</v>
      </c>
      <c r="M224" s="7" t="e">
        <f>+VLOOKUP(A224,COMISIONES!$C$2:$C$33,1,0)</f>
        <v>#N/A</v>
      </c>
    </row>
    <row r="225" spans="1:13">
      <c r="A225" s="98"/>
      <c r="B225" s="133"/>
      <c r="C225" s="98"/>
      <c r="D225" s="137"/>
      <c r="E225" s="98"/>
      <c r="F225" s="98"/>
      <c r="H225" s="98"/>
      <c r="I225" s="56"/>
      <c r="J225" s="56"/>
      <c r="K225" s="56"/>
      <c r="L225" s="33" t="e">
        <f>+VLOOKUP(A225,COMISIONES!$C$2:$AS$33,43,0)</f>
        <v>#N/A</v>
      </c>
      <c r="M225" s="7" t="e">
        <f>+VLOOKUP(A225,COMISIONES!$C$2:$C$33,1,0)</f>
        <v>#N/A</v>
      </c>
    </row>
    <row r="226" spans="1:13">
      <c r="A226" s="98"/>
      <c r="B226" s="133"/>
      <c r="C226" s="98"/>
      <c r="D226" s="137"/>
      <c r="E226" s="98"/>
      <c r="F226" s="98"/>
      <c r="H226" s="98"/>
      <c r="I226" s="56"/>
      <c r="J226" s="56"/>
      <c r="K226" s="56"/>
      <c r="L226" s="33" t="e">
        <f>+VLOOKUP(A226,COMISIONES!$C$2:$AS$33,43,0)</f>
        <v>#N/A</v>
      </c>
      <c r="M226" s="7" t="e">
        <f>+VLOOKUP(A226,COMISIONES!$C$2:$C$33,1,0)</f>
        <v>#N/A</v>
      </c>
    </row>
    <row r="227" spans="1:13">
      <c r="A227" s="98"/>
      <c r="B227" s="133"/>
      <c r="C227" s="98"/>
      <c r="D227" s="137"/>
      <c r="E227" s="98"/>
      <c r="F227" s="98"/>
      <c r="H227" s="98"/>
      <c r="I227" s="56"/>
      <c r="J227" s="56"/>
      <c r="K227" s="56"/>
      <c r="L227" s="33" t="e">
        <f>+VLOOKUP(A227,COMISIONES!$C$2:$AS$33,43,0)</f>
        <v>#N/A</v>
      </c>
      <c r="M227" s="7" t="e">
        <f>+VLOOKUP(A227,COMISIONES!$C$2:$C$33,1,0)</f>
        <v>#N/A</v>
      </c>
    </row>
    <row r="228" spans="1:13">
      <c r="A228" s="98"/>
      <c r="B228" s="133"/>
      <c r="C228" s="98"/>
      <c r="D228" s="137"/>
      <c r="E228" s="98"/>
      <c r="F228" s="98"/>
      <c r="H228" s="98"/>
      <c r="I228" s="56"/>
      <c r="J228" s="56"/>
      <c r="K228" s="56"/>
      <c r="L228" s="33" t="e">
        <f>+VLOOKUP(A228,COMISIONES!$C$2:$AS$33,43,0)</f>
        <v>#N/A</v>
      </c>
      <c r="M228" s="7" t="e">
        <f>+VLOOKUP(A228,COMISIONES!$C$2:$C$33,1,0)</f>
        <v>#N/A</v>
      </c>
    </row>
    <row r="229" spans="1:13">
      <c r="A229" s="98"/>
      <c r="B229" s="133"/>
      <c r="C229" s="98"/>
      <c r="D229" s="137"/>
      <c r="E229" s="98"/>
      <c r="F229" s="98"/>
      <c r="H229" s="98"/>
      <c r="I229" s="56"/>
      <c r="J229" s="56"/>
      <c r="K229" s="56"/>
      <c r="L229" s="33" t="e">
        <f>+VLOOKUP(A229,COMISIONES!$C$2:$AS$33,43,0)</f>
        <v>#N/A</v>
      </c>
      <c r="M229" s="7" t="e">
        <f>+VLOOKUP(A229,COMISIONES!$C$2:$C$33,1,0)</f>
        <v>#N/A</v>
      </c>
    </row>
    <row r="230" spans="1:13">
      <c r="A230" s="98"/>
      <c r="B230" s="133"/>
      <c r="C230" s="98"/>
      <c r="D230" s="137"/>
      <c r="E230" s="98"/>
      <c r="F230" s="98"/>
      <c r="H230" s="98"/>
      <c r="I230" s="56"/>
      <c r="J230" s="56"/>
      <c r="K230" s="56"/>
      <c r="L230" s="33" t="e">
        <f>+VLOOKUP(A230,COMISIONES!$C$2:$AS$33,43,0)</f>
        <v>#N/A</v>
      </c>
      <c r="M230" s="7" t="e">
        <f>+VLOOKUP(A230,COMISIONES!$C$2:$C$33,1,0)</f>
        <v>#N/A</v>
      </c>
    </row>
    <row r="231" spans="1:13">
      <c r="A231" s="98"/>
      <c r="B231" s="133"/>
      <c r="C231" s="98"/>
      <c r="D231" s="137"/>
      <c r="E231" s="98"/>
      <c r="F231" s="98"/>
      <c r="H231" s="98"/>
      <c r="I231" s="56"/>
      <c r="J231" s="56"/>
      <c r="K231" s="56"/>
      <c r="L231" s="33" t="e">
        <f>+VLOOKUP(A231,COMISIONES!$C$2:$AS$33,43,0)</f>
        <v>#N/A</v>
      </c>
      <c r="M231" s="7" t="e">
        <f>+VLOOKUP(A231,COMISIONES!$C$2:$C$33,1,0)</f>
        <v>#N/A</v>
      </c>
    </row>
    <row r="232" spans="1:13">
      <c r="A232" s="98"/>
      <c r="B232" s="133"/>
      <c r="C232" s="98"/>
      <c r="D232" s="137"/>
      <c r="E232" s="98"/>
      <c r="F232" s="98"/>
      <c r="H232" s="98"/>
      <c r="I232" s="56"/>
      <c r="J232" s="56"/>
      <c r="K232" s="56"/>
      <c r="L232" s="33" t="e">
        <f>+VLOOKUP(A232,COMISIONES!$C$2:$AS$33,43,0)</f>
        <v>#N/A</v>
      </c>
      <c r="M232" s="7" t="e">
        <f>+VLOOKUP(A232,COMISIONES!$C$2:$C$33,1,0)</f>
        <v>#N/A</v>
      </c>
    </row>
    <row r="233" spans="1:13">
      <c r="A233" s="98"/>
      <c r="B233" s="133"/>
      <c r="C233" s="98"/>
      <c r="D233" s="137"/>
      <c r="E233" s="98"/>
      <c r="F233" s="98"/>
      <c r="H233" s="98"/>
      <c r="I233" s="56"/>
      <c r="J233" s="56"/>
      <c r="K233" s="56"/>
      <c r="L233" s="33" t="e">
        <f>+VLOOKUP(A233,COMISIONES!$C$2:$AS$33,43,0)</f>
        <v>#N/A</v>
      </c>
      <c r="M233" s="7" t="e">
        <f>+VLOOKUP(A233,COMISIONES!$C$2:$C$33,1,0)</f>
        <v>#N/A</v>
      </c>
    </row>
    <row r="234" spans="1:13">
      <c r="A234" s="98"/>
      <c r="B234" s="133"/>
      <c r="C234" s="98"/>
      <c r="D234" s="137"/>
      <c r="E234" s="98"/>
      <c r="F234" s="98"/>
      <c r="H234" s="98"/>
      <c r="I234" s="56"/>
      <c r="J234" s="56"/>
      <c r="K234" s="56"/>
      <c r="L234" s="33" t="e">
        <f>+VLOOKUP(A234,COMISIONES!$C$2:$AS$33,43,0)</f>
        <v>#N/A</v>
      </c>
      <c r="M234" s="7" t="e">
        <f>+VLOOKUP(A234,COMISIONES!$C$2:$C$33,1,0)</f>
        <v>#N/A</v>
      </c>
    </row>
    <row r="235" spans="1:13">
      <c r="A235" s="98"/>
      <c r="B235" s="133"/>
      <c r="C235" s="98"/>
      <c r="D235" s="137"/>
      <c r="E235" s="98"/>
      <c r="F235" s="98"/>
      <c r="H235" s="98"/>
      <c r="I235" s="56"/>
      <c r="J235" s="56"/>
      <c r="K235" s="56"/>
      <c r="L235" s="33" t="e">
        <f>+VLOOKUP(A235,COMISIONES!$C$2:$AS$33,43,0)</f>
        <v>#N/A</v>
      </c>
      <c r="M235" s="7" t="e">
        <f>+VLOOKUP(A235,COMISIONES!$C$2:$C$33,1,0)</f>
        <v>#N/A</v>
      </c>
    </row>
    <row r="236" spans="1:13">
      <c r="A236" s="98"/>
      <c r="B236" s="133"/>
      <c r="C236" s="98"/>
      <c r="D236" s="137"/>
      <c r="E236" s="98"/>
      <c r="F236" s="98"/>
      <c r="H236" s="98"/>
      <c r="I236" s="56"/>
      <c r="J236" s="56"/>
      <c r="K236" s="56"/>
      <c r="L236" s="33" t="e">
        <f>+VLOOKUP(A236,COMISIONES!$C$2:$AS$33,43,0)</f>
        <v>#N/A</v>
      </c>
      <c r="M236" s="7" t="e">
        <f>+VLOOKUP(A236,COMISIONES!$C$2:$C$33,1,0)</f>
        <v>#N/A</v>
      </c>
    </row>
    <row r="237" spans="1:13">
      <c r="A237" s="98"/>
      <c r="B237" s="133"/>
      <c r="C237" s="98"/>
      <c r="D237" s="137"/>
      <c r="E237" s="98"/>
      <c r="F237" s="98"/>
      <c r="H237" s="98"/>
      <c r="I237" s="56"/>
      <c r="J237" s="56"/>
      <c r="K237" s="56"/>
      <c r="L237" s="33" t="e">
        <f>+VLOOKUP(A237,COMISIONES!$C$2:$AS$33,43,0)</f>
        <v>#N/A</v>
      </c>
      <c r="M237" s="7" t="e">
        <f>+VLOOKUP(A237,COMISIONES!$C$2:$C$33,1,0)</f>
        <v>#N/A</v>
      </c>
    </row>
    <row r="238" spans="1:13">
      <c r="A238" s="98"/>
      <c r="B238" s="133"/>
      <c r="C238" s="98"/>
      <c r="D238" s="137"/>
      <c r="E238" s="98"/>
      <c r="F238" s="98"/>
      <c r="H238" s="98"/>
      <c r="I238" s="56"/>
      <c r="J238" s="56"/>
      <c r="K238" s="56"/>
      <c r="L238" s="33" t="e">
        <f>+VLOOKUP(A238,COMISIONES!$C$2:$AS$33,43,0)</f>
        <v>#N/A</v>
      </c>
      <c r="M238" s="7" t="e">
        <f>+VLOOKUP(A238,COMISIONES!$C$2:$C$33,1,0)</f>
        <v>#N/A</v>
      </c>
    </row>
    <row r="239" spans="1:13">
      <c r="A239" s="98"/>
      <c r="B239" s="133"/>
      <c r="C239" s="98"/>
      <c r="D239" s="137"/>
      <c r="E239" s="98"/>
      <c r="F239" s="98"/>
      <c r="H239" s="98"/>
      <c r="I239" s="56"/>
      <c r="J239" s="56"/>
      <c r="K239" s="56"/>
      <c r="L239" s="33" t="e">
        <f>+VLOOKUP(A239,COMISIONES!$C$2:$AS$33,43,0)</f>
        <v>#N/A</v>
      </c>
      <c r="M239" s="7" t="e">
        <f>+VLOOKUP(A239,COMISIONES!$C$2:$C$33,1,0)</f>
        <v>#N/A</v>
      </c>
    </row>
    <row r="240" spans="1:13">
      <c r="A240" s="98"/>
      <c r="B240" s="133"/>
      <c r="C240" s="98"/>
      <c r="D240" s="137"/>
      <c r="E240" s="98"/>
      <c r="F240" s="98"/>
      <c r="H240" s="98"/>
      <c r="I240" s="56"/>
      <c r="J240" s="56"/>
      <c r="K240" s="56"/>
      <c r="L240" s="33" t="e">
        <f>+VLOOKUP(A240,COMISIONES!$C$2:$AS$33,43,0)</f>
        <v>#N/A</v>
      </c>
      <c r="M240" s="7" t="e">
        <f>+VLOOKUP(A240,COMISIONES!$C$2:$C$33,1,0)</f>
        <v>#N/A</v>
      </c>
    </row>
    <row r="241" spans="1:13">
      <c r="A241" s="98"/>
      <c r="B241" s="133"/>
      <c r="C241" s="98"/>
      <c r="D241" s="137"/>
      <c r="E241" s="98"/>
      <c r="F241" s="98"/>
      <c r="H241" s="98"/>
      <c r="I241" s="56"/>
      <c r="J241" s="56"/>
      <c r="K241" s="56"/>
      <c r="L241" s="33" t="e">
        <f>+VLOOKUP(A241,COMISIONES!$C$2:$AS$33,43,0)</f>
        <v>#N/A</v>
      </c>
      <c r="M241" s="7" t="e">
        <f>+VLOOKUP(A241,COMISIONES!$C$2:$C$33,1,0)</f>
        <v>#N/A</v>
      </c>
    </row>
    <row r="242" spans="1:13">
      <c r="A242" s="98"/>
      <c r="B242" s="133"/>
      <c r="C242" s="98"/>
      <c r="D242" s="137"/>
      <c r="E242" s="98"/>
      <c r="F242" s="98"/>
      <c r="H242" s="98"/>
      <c r="I242" s="56"/>
      <c r="J242" s="56"/>
      <c r="K242" s="56"/>
      <c r="L242" s="33" t="e">
        <f>+VLOOKUP(A242,COMISIONES!$C$2:$AS$33,43,0)</f>
        <v>#N/A</v>
      </c>
      <c r="M242" s="7" t="e">
        <f>+VLOOKUP(A242,COMISIONES!$C$2:$C$33,1,0)</f>
        <v>#N/A</v>
      </c>
    </row>
    <row r="243" spans="1:13">
      <c r="A243" s="98"/>
      <c r="B243" s="133"/>
      <c r="C243" s="98"/>
      <c r="D243" s="137"/>
      <c r="E243" s="98"/>
      <c r="F243" s="98"/>
      <c r="H243" s="98"/>
      <c r="I243" s="56"/>
      <c r="J243" s="56"/>
      <c r="K243" s="56"/>
      <c r="L243" s="33" t="e">
        <f>+VLOOKUP(A243,COMISIONES!$C$2:$AS$33,43,0)</f>
        <v>#N/A</v>
      </c>
      <c r="M243" s="7" t="e">
        <f>+VLOOKUP(A243,COMISIONES!$C$2:$C$33,1,0)</f>
        <v>#N/A</v>
      </c>
    </row>
    <row r="244" spans="1:13">
      <c r="A244" s="98"/>
      <c r="B244" s="133"/>
      <c r="C244" s="98"/>
      <c r="D244" s="137"/>
      <c r="E244" s="98"/>
      <c r="F244" s="98"/>
      <c r="H244" s="98"/>
      <c r="I244" s="56"/>
      <c r="J244" s="56"/>
      <c r="K244" s="56"/>
      <c r="L244" s="33" t="e">
        <f>+VLOOKUP(A244,COMISIONES!$C$2:$AS$33,43,0)</f>
        <v>#N/A</v>
      </c>
      <c r="M244" s="7" t="e">
        <f>+VLOOKUP(A244,COMISIONES!$C$2:$C$33,1,0)</f>
        <v>#N/A</v>
      </c>
    </row>
    <row r="245" spans="1:13">
      <c r="A245" s="98"/>
      <c r="B245" s="133"/>
      <c r="C245" s="98"/>
      <c r="D245" s="137"/>
      <c r="E245" s="98"/>
      <c r="F245" s="98"/>
      <c r="H245" s="98"/>
      <c r="I245" s="56"/>
      <c r="J245" s="56"/>
      <c r="K245" s="56"/>
      <c r="L245" s="33" t="e">
        <f>+VLOOKUP(A245,COMISIONES!$C$2:$AS$33,43,0)</f>
        <v>#N/A</v>
      </c>
      <c r="M245" s="7" t="e">
        <f>+VLOOKUP(A245,COMISIONES!$C$2:$C$33,1,0)</f>
        <v>#N/A</v>
      </c>
    </row>
    <row r="246" spans="1:13">
      <c r="A246" s="98"/>
      <c r="B246" s="133"/>
      <c r="C246" s="98"/>
      <c r="D246" s="137"/>
      <c r="E246" s="98"/>
      <c r="F246" s="98"/>
      <c r="H246" s="98"/>
      <c r="I246" s="56"/>
      <c r="J246" s="56"/>
      <c r="K246" s="56"/>
      <c r="L246" s="33" t="e">
        <f>+VLOOKUP(A246,COMISIONES!$C$2:$AS$33,43,0)</f>
        <v>#N/A</v>
      </c>
      <c r="M246" s="7" t="e">
        <f>+VLOOKUP(A246,COMISIONES!$C$2:$C$33,1,0)</f>
        <v>#N/A</v>
      </c>
    </row>
    <row r="247" spans="1:13">
      <c r="A247" s="98"/>
      <c r="B247" s="133"/>
      <c r="C247" s="98"/>
      <c r="D247" s="137"/>
      <c r="E247" s="98"/>
      <c r="F247" s="98"/>
      <c r="H247" s="98"/>
      <c r="I247" s="56"/>
      <c r="J247" s="56"/>
      <c r="K247" s="56"/>
      <c r="L247" s="33" t="e">
        <f>+VLOOKUP(A247,COMISIONES!$C$2:$AS$33,43,0)</f>
        <v>#N/A</v>
      </c>
      <c r="M247" s="7" t="e">
        <f>+VLOOKUP(A247,COMISIONES!$C$2:$C$33,1,0)</f>
        <v>#N/A</v>
      </c>
    </row>
    <row r="248" spans="1:13">
      <c r="A248" s="98"/>
      <c r="B248" s="133"/>
      <c r="C248" s="98"/>
      <c r="D248" s="137"/>
      <c r="E248" s="98"/>
      <c r="F248" s="98"/>
      <c r="H248" s="98"/>
      <c r="I248" s="56"/>
      <c r="J248" s="56"/>
      <c r="K248" s="56"/>
      <c r="L248" s="33" t="e">
        <f>+VLOOKUP(A248,COMISIONES!$C$2:$AS$33,43,0)</f>
        <v>#N/A</v>
      </c>
      <c r="M248" s="7" t="e">
        <f>+VLOOKUP(A248,COMISIONES!$C$2:$C$33,1,0)</f>
        <v>#N/A</v>
      </c>
    </row>
    <row r="249" spans="1:13">
      <c r="A249" s="98"/>
      <c r="B249" s="133"/>
      <c r="C249" s="98"/>
      <c r="D249" s="137"/>
      <c r="E249" s="98"/>
      <c r="F249" s="98"/>
      <c r="H249" s="98"/>
      <c r="I249" s="56"/>
      <c r="J249" s="56"/>
      <c r="K249" s="56"/>
      <c r="L249" s="33" t="e">
        <f>+VLOOKUP(A249,COMISIONES!$C$2:$AS$33,43,0)</f>
        <v>#N/A</v>
      </c>
      <c r="M249" s="7" t="e">
        <f>+VLOOKUP(A249,COMISIONES!$C$2:$C$33,1,0)</f>
        <v>#N/A</v>
      </c>
    </row>
    <row r="250" spans="1:13">
      <c r="A250" s="98"/>
      <c r="B250" s="133"/>
      <c r="C250" s="98"/>
      <c r="D250" s="137"/>
      <c r="E250" s="98"/>
      <c r="F250" s="98"/>
      <c r="H250" s="98"/>
      <c r="I250" s="56"/>
      <c r="J250" s="56"/>
      <c r="K250" s="56"/>
      <c r="L250" s="33" t="e">
        <f>+VLOOKUP(A250,COMISIONES!$C$2:$AS$33,43,0)</f>
        <v>#N/A</v>
      </c>
      <c r="M250" s="7" t="e">
        <f>+VLOOKUP(A250,COMISIONES!$C$2:$C$33,1,0)</f>
        <v>#N/A</v>
      </c>
    </row>
    <row r="251" spans="1:13">
      <c r="A251" s="98"/>
      <c r="B251" s="133"/>
      <c r="C251" s="98"/>
      <c r="D251" s="137"/>
      <c r="E251" s="98"/>
      <c r="F251" s="98"/>
      <c r="H251" s="98"/>
      <c r="I251" s="56"/>
      <c r="J251" s="56"/>
      <c r="K251" s="56"/>
      <c r="L251" s="33" t="e">
        <f>+VLOOKUP(A251,COMISIONES!$C$2:$AS$33,43,0)</f>
        <v>#N/A</v>
      </c>
      <c r="M251" s="7" t="e">
        <f>+VLOOKUP(A251,COMISIONES!$C$2:$C$33,1,0)</f>
        <v>#N/A</v>
      </c>
    </row>
    <row r="252" spans="1:13">
      <c r="A252" s="98"/>
      <c r="B252" s="133"/>
      <c r="C252" s="98"/>
      <c r="D252" s="137"/>
      <c r="E252" s="98"/>
      <c r="F252" s="98"/>
      <c r="H252" s="98"/>
      <c r="I252" s="56"/>
      <c r="J252" s="56"/>
      <c r="K252" s="56"/>
      <c r="L252" s="33" t="e">
        <f>+VLOOKUP(A252,COMISIONES!$C$2:$AS$33,43,0)</f>
        <v>#N/A</v>
      </c>
      <c r="M252" s="7" t="e">
        <f>+VLOOKUP(A252,COMISIONES!$C$2:$C$33,1,0)</f>
        <v>#N/A</v>
      </c>
    </row>
    <row r="253" spans="1:13">
      <c r="A253" s="98"/>
      <c r="B253" s="133"/>
      <c r="C253" s="98"/>
      <c r="D253" s="137"/>
      <c r="E253" s="98"/>
      <c r="F253" s="98"/>
      <c r="H253" s="98"/>
      <c r="I253" s="56"/>
      <c r="J253" s="56"/>
      <c r="K253" s="56"/>
      <c r="L253" s="33" t="e">
        <f>+VLOOKUP(A253,COMISIONES!$C$2:$AS$33,43,0)</f>
        <v>#N/A</v>
      </c>
      <c r="M253" s="7" t="e">
        <f>+VLOOKUP(A253,COMISIONES!$C$2:$C$33,1,0)</f>
        <v>#N/A</v>
      </c>
    </row>
    <row r="254" spans="1:13">
      <c r="A254" s="98"/>
      <c r="B254" s="133"/>
      <c r="C254" s="98"/>
      <c r="D254" s="137"/>
      <c r="E254" s="98"/>
      <c r="F254" s="98"/>
      <c r="H254" s="98"/>
      <c r="I254" s="56"/>
      <c r="J254" s="56"/>
      <c r="K254" s="56"/>
      <c r="L254" s="33" t="e">
        <f>+VLOOKUP(A254,COMISIONES!$C$2:$AS$33,43,0)</f>
        <v>#N/A</v>
      </c>
      <c r="M254" s="7" t="e">
        <f>+VLOOKUP(A254,COMISIONES!$C$2:$C$33,1,0)</f>
        <v>#N/A</v>
      </c>
    </row>
    <row r="255" spans="1:13">
      <c r="A255" s="98"/>
      <c r="B255" s="133"/>
      <c r="C255" s="98"/>
      <c r="D255" s="137"/>
      <c r="E255" s="98"/>
      <c r="F255" s="98"/>
      <c r="H255" s="98"/>
      <c r="I255" s="56"/>
      <c r="J255" s="56"/>
      <c r="K255" s="56"/>
      <c r="L255" s="33" t="e">
        <f>+VLOOKUP(A255,COMISIONES!$C$2:$AS$33,43,0)</f>
        <v>#N/A</v>
      </c>
      <c r="M255" s="7" t="e">
        <f>+VLOOKUP(A255,COMISIONES!$C$2:$C$33,1,0)</f>
        <v>#N/A</v>
      </c>
    </row>
    <row r="256" spans="1:13">
      <c r="A256" s="98"/>
      <c r="B256" s="133"/>
      <c r="C256" s="98"/>
      <c r="D256" s="137"/>
      <c r="E256" s="98"/>
      <c r="F256" s="98"/>
      <c r="H256" s="98"/>
      <c r="I256" s="56"/>
      <c r="J256" s="56"/>
      <c r="K256" s="56"/>
      <c r="L256" s="33" t="e">
        <f>+VLOOKUP(A256,COMISIONES!$C$2:$AS$33,43,0)</f>
        <v>#N/A</v>
      </c>
      <c r="M256" s="7" t="e">
        <f>+VLOOKUP(A256,COMISIONES!$C$2:$C$33,1,0)</f>
        <v>#N/A</v>
      </c>
    </row>
    <row r="257" spans="1:13">
      <c r="A257" s="98"/>
      <c r="B257" s="133"/>
      <c r="C257" s="98"/>
      <c r="D257" s="137"/>
      <c r="E257" s="98"/>
      <c r="F257" s="98"/>
      <c r="H257" s="98"/>
      <c r="I257" s="56"/>
      <c r="J257" s="56"/>
      <c r="K257" s="56"/>
      <c r="L257" s="33" t="e">
        <f>+VLOOKUP(A257,COMISIONES!$C$2:$AS$33,43,0)</f>
        <v>#N/A</v>
      </c>
      <c r="M257" s="7" t="e">
        <f>+VLOOKUP(A257,COMISIONES!$C$2:$C$33,1,0)</f>
        <v>#N/A</v>
      </c>
    </row>
    <row r="258" spans="1:13">
      <c r="A258" s="98"/>
      <c r="B258" s="133"/>
      <c r="C258" s="98"/>
      <c r="D258" s="137"/>
      <c r="E258" s="98"/>
      <c r="F258" s="98"/>
      <c r="H258" s="98"/>
      <c r="I258" s="56"/>
      <c r="J258" s="56"/>
      <c r="K258" s="56"/>
      <c r="L258" s="33" t="e">
        <f>+VLOOKUP(A258,COMISIONES!$C$2:$AS$33,43,0)</f>
        <v>#N/A</v>
      </c>
      <c r="M258" s="7" t="e">
        <f>+VLOOKUP(A258,COMISIONES!$C$2:$C$33,1,0)</f>
        <v>#N/A</v>
      </c>
    </row>
    <row r="259" spans="1:13">
      <c r="A259" s="98"/>
      <c r="B259" s="133"/>
      <c r="C259" s="98"/>
      <c r="D259" s="137"/>
      <c r="E259" s="98"/>
      <c r="F259" s="98"/>
      <c r="H259" s="98"/>
      <c r="I259" s="56"/>
      <c r="J259" s="56"/>
      <c r="K259" s="56"/>
      <c r="L259" s="33" t="e">
        <f>+VLOOKUP(A259,COMISIONES!$C$2:$AS$33,43,0)</f>
        <v>#N/A</v>
      </c>
      <c r="M259" s="7" t="e">
        <f>+VLOOKUP(A259,COMISIONES!$C$2:$C$33,1,0)</f>
        <v>#N/A</v>
      </c>
    </row>
    <row r="260" spans="1:13">
      <c r="A260" s="98"/>
      <c r="B260" s="133"/>
      <c r="C260" s="98"/>
      <c r="D260" s="137"/>
      <c r="E260" s="98"/>
      <c r="F260" s="98"/>
      <c r="H260" s="98"/>
      <c r="I260" s="56"/>
      <c r="J260" s="56"/>
      <c r="K260" s="56"/>
      <c r="L260" s="33" t="e">
        <f>+VLOOKUP(A260,COMISIONES!$C$2:$AS$33,43,0)</f>
        <v>#N/A</v>
      </c>
      <c r="M260" s="7" t="e">
        <f>+VLOOKUP(A260,COMISIONES!$C$2:$C$33,1,0)</f>
        <v>#N/A</v>
      </c>
    </row>
    <row r="261" spans="1:13">
      <c r="A261" s="98"/>
      <c r="B261" s="133"/>
      <c r="C261" s="98"/>
      <c r="D261" s="137"/>
      <c r="E261" s="98"/>
      <c r="F261" s="98"/>
      <c r="H261" s="98"/>
      <c r="I261" s="56"/>
      <c r="J261" s="56"/>
      <c r="K261" s="56"/>
      <c r="L261" s="33" t="e">
        <f>+VLOOKUP(A261,COMISIONES!$C$2:$AS$33,43,0)</f>
        <v>#N/A</v>
      </c>
      <c r="M261" s="7" t="e">
        <f>+VLOOKUP(A261,COMISIONES!$C$2:$C$33,1,0)</f>
        <v>#N/A</v>
      </c>
    </row>
    <row r="262" spans="1:13">
      <c r="A262" s="98"/>
      <c r="B262" s="133"/>
      <c r="C262" s="98"/>
      <c r="D262" s="137"/>
      <c r="E262" s="98"/>
      <c r="F262" s="98"/>
      <c r="H262" s="98"/>
      <c r="I262" s="56"/>
      <c r="J262" s="56"/>
      <c r="K262" s="56"/>
      <c r="L262" s="33" t="e">
        <f>+VLOOKUP(A262,COMISIONES!$C$2:$AS$33,43,0)</f>
        <v>#N/A</v>
      </c>
      <c r="M262" s="7" t="e">
        <f>+VLOOKUP(A262,COMISIONES!$C$2:$C$33,1,0)</f>
        <v>#N/A</v>
      </c>
    </row>
    <row r="263" spans="1:13">
      <c r="A263" s="98"/>
      <c r="B263" s="133"/>
      <c r="C263" s="98"/>
      <c r="D263" s="137"/>
      <c r="E263" s="98"/>
      <c r="F263" s="98"/>
      <c r="H263" s="98"/>
      <c r="I263" s="56"/>
      <c r="J263" s="56"/>
      <c r="K263" s="56"/>
      <c r="L263" s="33" t="e">
        <f>+VLOOKUP(A263,COMISIONES!$C$2:$AS$33,43,0)</f>
        <v>#N/A</v>
      </c>
      <c r="M263" s="7" t="e">
        <f>+VLOOKUP(A263,COMISIONES!$C$2:$C$33,1,0)</f>
        <v>#N/A</v>
      </c>
    </row>
    <row r="264" spans="1:13">
      <c r="A264" s="98"/>
      <c r="B264" s="133"/>
      <c r="C264" s="98"/>
      <c r="D264" s="137"/>
      <c r="E264" s="98"/>
      <c r="F264" s="98"/>
      <c r="H264" s="98"/>
      <c r="I264" s="56"/>
      <c r="J264" s="56"/>
      <c r="K264" s="56"/>
      <c r="L264" s="33" t="e">
        <f>+VLOOKUP(A264,COMISIONES!$C$2:$AS$33,43,0)</f>
        <v>#N/A</v>
      </c>
      <c r="M264" s="7" t="e">
        <f>+VLOOKUP(A264,COMISIONES!$C$2:$C$33,1,0)</f>
        <v>#N/A</v>
      </c>
    </row>
    <row r="265" spans="1:13">
      <c r="A265" s="98"/>
      <c r="B265" s="133"/>
      <c r="C265" s="98"/>
      <c r="D265" s="137"/>
      <c r="E265" s="98"/>
      <c r="F265" s="98"/>
      <c r="H265" s="98"/>
      <c r="I265" s="56"/>
      <c r="J265" s="56"/>
      <c r="K265" s="56"/>
      <c r="L265" s="33" t="e">
        <f>+VLOOKUP(A265,COMISIONES!$C$2:$AS$33,43,0)</f>
        <v>#N/A</v>
      </c>
      <c r="M265" s="7" t="e">
        <f>+VLOOKUP(A265,COMISIONES!$C$2:$C$33,1,0)</f>
        <v>#N/A</v>
      </c>
    </row>
    <row r="266" spans="1:13">
      <c r="A266" s="98"/>
      <c r="B266" s="133"/>
      <c r="C266" s="98"/>
      <c r="D266" s="137"/>
      <c r="E266" s="98"/>
      <c r="F266" s="98"/>
      <c r="H266" s="98"/>
      <c r="I266" s="56"/>
      <c r="J266" s="56"/>
      <c r="K266" s="56"/>
      <c r="L266" s="33" t="e">
        <f>+VLOOKUP(A266,COMISIONES!$C$2:$AS$33,43,0)</f>
        <v>#N/A</v>
      </c>
      <c r="M266" s="7" t="e">
        <f>+VLOOKUP(A266,COMISIONES!$C$2:$C$33,1,0)</f>
        <v>#N/A</v>
      </c>
    </row>
    <row r="267" spans="1:13">
      <c r="A267" s="98"/>
      <c r="B267" s="133"/>
      <c r="C267" s="98"/>
      <c r="D267" s="137"/>
      <c r="E267" s="98"/>
      <c r="F267" s="98"/>
      <c r="H267" s="98"/>
      <c r="I267" s="56"/>
      <c r="J267" s="56"/>
      <c r="K267" s="56"/>
      <c r="L267" s="33" t="e">
        <f>+VLOOKUP(A267,COMISIONES!$C$2:$AS$33,43,0)</f>
        <v>#N/A</v>
      </c>
      <c r="M267" s="7" t="e">
        <f>+VLOOKUP(A267,COMISIONES!$C$2:$C$33,1,0)</f>
        <v>#N/A</v>
      </c>
    </row>
    <row r="268" spans="1:13">
      <c r="A268" s="98"/>
      <c r="B268" s="133"/>
      <c r="C268" s="98"/>
      <c r="D268" s="137"/>
      <c r="E268" s="98"/>
      <c r="F268" s="98"/>
      <c r="H268" s="98"/>
      <c r="I268" s="56"/>
      <c r="J268" s="56"/>
      <c r="K268" s="56"/>
      <c r="L268" s="33" t="e">
        <f>+VLOOKUP(A268,COMISIONES!$C$2:$AS$33,43,0)</f>
        <v>#N/A</v>
      </c>
      <c r="M268" s="7" t="e">
        <f>+VLOOKUP(A268,COMISIONES!$C$2:$C$33,1,0)</f>
        <v>#N/A</v>
      </c>
    </row>
    <row r="269" spans="1:13">
      <c r="A269" s="98"/>
      <c r="B269" s="133"/>
      <c r="C269" s="98"/>
      <c r="D269" s="137"/>
      <c r="E269" s="98"/>
      <c r="F269" s="98"/>
      <c r="H269" s="98"/>
      <c r="I269" s="56"/>
      <c r="J269" s="56"/>
      <c r="K269" s="56"/>
      <c r="L269" s="33" t="e">
        <f>+VLOOKUP(A269,COMISIONES!$C$2:$AS$33,43,0)</f>
        <v>#N/A</v>
      </c>
      <c r="M269" s="7" t="e">
        <f>+VLOOKUP(A269,COMISIONES!$C$2:$C$33,1,0)</f>
        <v>#N/A</v>
      </c>
    </row>
    <row r="270" spans="1:13">
      <c r="A270" s="83"/>
      <c r="B270" s="124"/>
      <c r="C270" s="98"/>
      <c r="D270" s="137"/>
      <c r="E270" s="98"/>
      <c r="F270" s="114"/>
      <c r="G270" s="196"/>
      <c r="H270" s="98"/>
      <c r="I270" s="133"/>
      <c r="J270" s="133"/>
      <c r="K270" s="133"/>
      <c r="L270" s="33" t="e">
        <f>+VLOOKUP(A270,COMISIONES!$C$2:$AS$33,43,0)</f>
        <v>#N/A</v>
      </c>
      <c r="M270" s="7" t="e">
        <f>+VLOOKUP(A270,COMISIONES!$C$2:$C$33,1,0)</f>
        <v>#N/A</v>
      </c>
    </row>
    <row r="271" spans="1:13">
      <c r="A271" s="83"/>
      <c r="B271" s="124"/>
      <c r="C271" s="98"/>
      <c r="D271" s="137"/>
      <c r="E271" s="98"/>
      <c r="F271" s="114"/>
      <c r="G271" s="196"/>
      <c r="H271" s="98"/>
      <c r="I271" s="133"/>
      <c r="J271" s="133"/>
      <c r="K271" s="133"/>
      <c r="L271" s="33" t="e">
        <f>+VLOOKUP(A271,COMISIONES!$C$2:$AS$33,43,0)</f>
        <v>#N/A</v>
      </c>
      <c r="M271" s="7" t="e">
        <f>+VLOOKUP(A271,COMISIONES!$C$2:$C$33,1,0)</f>
        <v>#N/A</v>
      </c>
    </row>
    <row r="272" spans="1:13">
      <c r="A272" s="83"/>
      <c r="B272" s="124"/>
      <c r="C272" s="98"/>
      <c r="D272" s="137"/>
      <c r="E272" s="98"/>
      <c r="F272" s="114"/>
      <c r="G272" s="196"/>
      <c r="H272" s="98"/>
      <c r="I272" s="133"/>
      <c r="J272" s="133"/>
      <c r="K272" s="133"/>
      <c r="L272" s="33" t="e">
        <f>+VLOOKUP(A272,COMISIONES!$C$2:$AS$33,43,0)</f>
        <v>#N/A</v>
      </c>
      <c r="M272" s="7" t="e">
        <f>+VLOOKUP(A272,COMISIONES!$C$2:$C$33,1,0)</f>
        <v>#N/A</v>
      </c>
    </row>
    <row r="273" spans="1:13">
      <c r="A273" s="83"/>
      <c r="B273" s="124"/>
      <c r="C273" s="98"/>
      <c r="D273" s="137"/>
      <c r="E273" s="98"/>
      <c r="F273" s="114"/>
      <c r="G273" s="196"/>
      <c r="H273" s="98"/>
      <c r="I273" s="133"/>
      <c r="J273" s="133"/>
      <c r="K273" s="133"/>
      <c r="L273" s="33" t="e">
        <f>+VLOOKUP(A273,COMISIONES!$C$2:$AS$33,43,0)</f>
        <v>#N/A</v>
      </c>
      <c r="M273" s="7" t="e">
        <f>+VLOOKUP(A273,COMISIONES!$C$2:$C$33,1,0)</f>
        <v>#N/A</v>
      </c>
    </row>
    <row r="274" spans="1:13">
      <c r="A274" s="83"/>
      <c r="B274" s="124"/>
      <c r="C274" s="98"/>
      <c r="D274" s="137"/>
      <c r="E274" s="98"/>
      <c r="F274" s="114"/>
      <c r="G274" s="196"/>
      <c r="H274" s="98"/>
      <c r="I274" s="133"/>
      <c r="J274" s="133"/>
      <c r="K274" s="133"/>
      <c r="L274" s="33" t="e">
        <f>+VLOOKUP(A274,COMISIONES!$C$2:$AS$33,43,0)</f>
        <v>#N/A</v>
      </c>
      <c r="M274" s="7" t="e">
        <f>+VLOOKUP(A274,COMISIONES!$C$2:$C$33,1,0)</f>
        <v>#N/A</v>
      </c>
    </row>
    <row r="275" spans="1:13">
      <c r="A275" s="83"/>
      <c r="B275" s="124"/>
      <c r="C275" s="98"/>
      <c r="D275" s="137"/>
      <c r="E275" s="98"/>
      <c r="F275" s="114"/>
      <c r="G275" s="196"/>
      <c r="H275" s="98"/>
      <c r="I275" s="133"/>
      <c r="J275" s="133"/>
      <c r="K275" s="133"/>
      <c r="L275" s="33" t="e">
        <f>+VLOOKUP(A275,COMISIONES!$C$2:$AS$33,43,0)</f>
        <v>#N/A</v>
      </c>
      <c r="M275" s="7" t="e">
        <f>+VLOOKUP(A275,COMISIONES!$C$2:$C$33,1,0)</f>
        <v>#N/A</v>
      </c>
    </row>
    <row r="276" spans="1:13">
      <c r="A276" s="83"/>
      <c r="B276" s="124"/>
      <c r="C276" s="98"/>
      <c r="D276" s="137"/>
      <c r="E276" s="98"/>
      <c r="F276" s="114"/>
      <c r="G276" s="196"/>
      <c r="H276" s="98"/>
      <c r="I276" s="133"/>
      <c r="J276" s="133"/>
      <c r="K276" s="133"/>
      <c r="L276" s="33" t="e">
        <f>+VLOOKUP(A276,COMISIONES!$C$2:$AS$33,43,0)</f>
        <v>#N/A</v>
      </c>
      <c r="M276" s="7" t="e">
        <f>+VLOOKUP(A276,COMISIONES!$C$2:$C$33,1,0)</f>
        <v>#N/A</v>
      </c>
    </row>
    <row r="277" spans="1:13">
      <c r="A277" s="83"/>
      <c r="B277" s="124"/>
      <c r="C277" s="98"/>
      <c r="D277" s="137"/>
      <c r="E277" s="98"/>
      <c r="F277" s="114"/>
      <c r="G277" s="196"/>
      <c r="H277" s="98"/>
      <c r="I277" s="133"/>
      <c r="J277" s="133"/>
      <c r="K277" s="133"/>
      <c r="L277" s="33" t="e">
        <f>+VLOOKUP(A277,COMISIONES!$C$2:$AS$33,43,0)</f>
        <v>#N/A</v>
      </c>
      <c r="M277" s="7" t="e">
        <f>+VLOOKUP(A277,COMISIONES!$C$2:$C$33,1,0)</f>
        <v>#N/A</v>
      </c>
    </row>
    <row r="278" spans="1:13">
      <c r="A278" s="83"/>
      <c r="B278" s="124"/>
      <c r="C278" s="98"/>
      <c r="D278" s="137"/>
      <c r="E278" s="98"/>
      <c r="F278" s="114"/>
      <c r="G278" s="196"/>
      <c r="H278" s="98"/>
      <c r="I278" s="133"/>
      <c r="J278" s="133"/>
      <c r="K278" s="133"/>
      <c r="L278" s="33" t="e">
        <f>+VLOOKUP(A278,COMISIONES!$C$2:$AS$33,43,0)</f>
        <v>#N/A</v>
      </c>
      <c r="M278" s="7" t="e">
        <f>+VLOOKUP(A278,COMISIONES!$C$2:$C$33,1,0)</f>
        <v>#N/A</v>
      </c>
    </row>
    <row r="279" spans="1:13">
      <c r="A279" s="83"/>
      <c r="B279" s="124"/>
      <c r="C279" s="98"/>
      <c r="D279" s="137"/>
      <c r="E279" s="98"/>
      <c r="F279" s="114"/>
      <c r="G279" s="196"/>
      <c r="H279" s="98"/>
      <c r="I279" s="133"/>
      <c r="J279" s="133"/>
      <c r="K279" s="133"/>
      <c r="L279" s="33" t="e">
        <f>+VLOOKUP(A279,COMISIONES!$C$2:$AS$33,43,0)</f>
        <v>#N/A</v>
      </c>
      <c r="M279" s="7" t="e">
        <f>+VLOOKUP(A279,COMISIONES!$C$2:$C$33,1,0)</f>
        <v>#N/A</v>
      </c>
    </row>
    <row r="280" spans="1:13">
      <c r="A280" s="83"/>
      <c r="B280" s="124"/>
      <c r="C280" s="98"/>
      <c r="D280" s="137"/>
      <c r="E280" s="98"/>
      <c r="F280" s="114"/>
      <c r="G280" s="196"/>
      <c r="H280" s="98"/>
      <c r="I280" s="133"/>
      <c r="J280" s="133"/>
      <c r="K280" s="133"/>
      <c r="L280" s="33" t="e">
        <f>+VLOOKUP(A280,COMISIONES!$C$2:$AS$33,43,0)</f>
        <v>#N/A</v>
      </c>
      <c r="M280" s="7" t="e">
        <f>+VLOOKUP(A280,COMISIONES!$C$2:$C$33,1,0)</f>
        <v>#N/A</v>
      </c>
    </row>
    <row r="281" spans="1:13">
      <c r="A281" s="83"/>
      <c r="B281" s="124"/>
      <c r="C281" s="98"/>
      <c r="D281" s="137"/>
      <c r="E281" s="98"/>
      <c r="F281" s="114"/>
      <c r="G281" s="196"/>
      <c r="H281" s="98"/>
      <c r="I281" s="133"/>
      <c r="J281" s="133"/>
      <c r="K281" s="133"/>
      <c r="L281" s="33" t="e">
        <f>+VLOOKUP(A281,COMISIONES!$C$2:$AS$33,43,0)</f>
        <v>#N/A</v>
      </c>
      <c r="M281" s="7" t="e">
        <f>+VLOOKUP(A281,COMISIONES!$C$2:$C$33,1,0)</f>
        <v>#N/A</v>
      </c>
    </row>
    <row r="282" spans="1:13">
      <c r="A282" s="83"/>
      <c r="B282" s="124"/>
      <c r="C282" s="98"/>
      <c r="D282" s="137"/>
      <c r="E282" s="98"/>
      <c r="F282" s="114"/>
      <c r="G282" s="196"/>
      <c r="H282" s="98"/>
      <c r="I282" s="133"/>
      <c r="J282" s="133"/>
      <c r="K282" s="133"/>
      <c r="L282" s="33" t="e">
        <f>+VLOOKUP(A282,COMISIONES!$C$2:$AS$33,43,0)</f>
        <v>#N/A</v>
      </c>
      <c r="M282" s="7" t="e">
        <f>+VLOOKUP(A282,COMISIONES!$C$2:$C$33,1,0)</f>
        <v>#N/A</v>
      </c>
    </row>
    <row r="283" spans="1:13">
      <c r="A283" s="83"/>
      <c r="B283" s="124"/>
      <c r="C283" s="98"/>
      <c r="D283" s="137"/>
      <c r="E283" s="98"/>
      <c r="F283" s="114"/>
      <c r="G283" s="196"/>
      <c r="H283" s="98"/>
      <c r="I283" s="133"/>
      <c r="J283" s="133"/>
      <c r="K283" s="133"/>
      <c r="L283" s="33" t="e">
        <f>+VLOOKUP(A283,COMISIONES!$C$2:$AS$33,43,0)</f>
        <v>#N/A</v>
      </c>
      <c r="M283" s="7" t="e">
        <f>+VLOOKUP(A283,COMISIONES!$C$2:$C$33,1,0)</f>
        <v>#N/A</v>
      </c>
    </row>
    <row r="284" spans="1:13">
      <c r="A284" s="83"/>
      <c r="B284" s="124"/>
      <c r="C284" s="98"/>
      <c r="D284" s="137"/>
      <c r="E284" s="98"/>
      <c r="F284" s="114"/>
      <c r="G284" s="196"/>
      <c r="H284" s="98"/>
      <c r="I284" s="133"/>
      <c r="J284" s="133"/>
      <c r="K284" s="133"/>
      <c r="L284" s="33" t="e">
        <f>+VLOOKUP(A284,COMISIONES!$C$2:$AS$33,43,0)</f>
        <v>#N/A</v>
      </c>
      <c r="M284" s="7" t="e">
        <f>+VLOOKUP(A284,COMISIONES!$C$2:$C$33,1,0)</f>
        <v>#N/A</v>
      </c>
    </row>
    <row r="285" spans="1:13">
      <c r="A285" s="83"/>
      <c r="B285" s="124"/>
      <c r="C285" s="98"/>
      <c r="D285" s="137"/>
      <c r="E285" s="98"/>
      <c r="F285" s="114"/>
      <c r="G285" s="196"/>
      <c r="H285" s="98"/>
      <c r="I285" s="133"/>
      <c r="J285" s="133"/>
      <c r="K285" s="133"/>
      <c r="L285" s="33" t="e">
        <f>+VLOOKUP(A285,COMISIONES!$C$2:$AS$33,43,0)</f>
        <v>#N/A</v>
      </c>
      <c r="M285" s="7" t="e">
        <f>+VLOOKUP(A285,COMISIONES!$C$2:$C$33,1,0)</f>
        <v>#N/A</v>
      </c>
    </row>
    <row r="286" spans="1:13">
      <c r="A286" s="83"/>
      <c r="B286" s="124"/>
      <c r="C286" s="98"/>
      <c r="D286" s="137"/>
      <c r="E286" s="98"/>
      <c r="F286" s="114"/>
      <c r="G286" s="196"/>
      <c r="H286" s="98"/>
      <c r="I286" s="133"/>
      <c r="J286" s="133"/>
      <c r="K286" s="133"/>
      <c r="L286" s="33" t="e">
        <f>+VLOOKUP(A286,COMISIONES!$C$2:$AS$33,43,0)</f>
        <v>#N/A</v>
      </c>
      <c r="M286" s="7" t="e">
        <f>+VLOOKUP(A286,COMISIONES!$C$2:$C$33,1,0)</f>
        <v>#N/A</v>
      </c>
    </row>
  </sheetData>
  <autoFilter ref="A1:M286" xr:uid="{00000000-0001-0000-1300-000000000000}"/>
  <conditionalFormatting sqref="B1">
    <cfRule type="duplicateValues" dxfId="27" priority="5"/>
    <cfRule type="duplicateValues" dxfId="26" priority="6"/>
  </conditionalFormatting>
  <conditionalFormatting sqref="C2:C269">
    <cfRule type="duplicateValues" dxfId="25" priority="8355"/>
  </conditionalFormatting>
  <conditionalFormatting sqref="C270:C286">
    <cfRule type="duplicateValues" dxfId="24" priority="10"/>
  </conditionalFormatting>
  <conditionalFormatting sqref="F2:F269">
    <cfRule type="duplicateValues" dxfId="23" priority="8360"/>
    <cfRule type="duplicateValues" dxfId="22" priority="8361"/>
    <cfRule type="duplicateValues" dxfId="21" priority="8362"/>
  </conditionalFormatting>
  <conditionalFormatting sqref="F270:F1048576 F1">
    <cfRule type="duplicateValues" dxfId="20" priority="7"/>
    <cfRule type="duplicateValues" dxfId="19" priority="8"/>
    <cfRule type="duplicateValues" dxfId="18" priority="9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480-56DE-4D22-AB09-CCA7748F3186}">
  <sheetPr>
    <tabColor rgb="FF00B050"/>
  </sheetPr>
  <dimension ref="A1:H137"/>
  <sheetViews>
    <sheetView showGridLines="0" workbookViewId="0">
      <selection activeCell="C1" sqref="C1"/>
    </sheetView>
  </sheetViews>
  <sheetFormatPr baseColWidth="10" defaultRowHeight="15"/>
  <cols>
    <col min="1" max="1" width="21.42578125" bestFit="1" customWidth="1"/>
    <col min="2" max="2" width="10.42578125" bestFit="1" customWidth="1"/>
    <col min="3" max="3" width="31.5703125" bestFit="1" customWidth="1"/>
    <col min="4" max="4" width="31.5703125" customWidth="1"/>
    <col min="5" max="5" width="19.140625" customWidth="1"/>
    <col min="6" max="6" width="16.28515625" bestFit="1" customWidth="1"/>
    <col min="7" max="7" width="23.7109375" bestFit="1" customWidth="1"/>
  </cols>
  <sheetData>
    <row r="1" spans="1:8">
      <c r="A1" s="205" t="s">
        <v>238</v>
      </c>
      <c r="B1" s="205" t="s">
        <v>60</v>
      </c>
      <c r="C1" s="205" t="s">
        <v>131</v>
      </c>
      <c r="D1" s="205" t="s">
        <v>61</v>
      </c>
      <c r="E1" s="205" t="s">
        <v>239</v>
      </c>
      <c r="F1" s="205" t="s">
        <v>240</v>
      </c>
      <c r="G1" s="206" t="s">
        <v>103</v>
      </c>
      <c r="H1" s="215" t="s">
        <v>192</v>
      </c>
    </row>
    <row r="2" spans="1:8">
      <c r="A2" s="267">
        <v>20008439</v>
      </c>
      <c r="B2" t="s">
        <v>40</v>
      </c>
      <c r="C2" t="str">
        <f>+VLOOKUP(A2,COMISIONES!$C$2:$D$33,2,0)</f>
        <v>ROBIN ESLEYDER PAREDES OXLAJ</v>
      </c>
      <c r="D2" t="str">
        <f>+VLOOKUP(A2,COMISIONES!$C$2:$F$33,4,0)</f>
        <v>EDDY HAROLDO PEREZ GIRON</v>
      </c>
      <c r="E2" s="267" t="s">
        <v>3925</v>
      </c>
      <c r="F2" s="280">
        <v>45140</v>
      </c>
      <c r="G2" t="s">
        <v>241</v>
      </c>
      <c r="H2" s="216">
        <f>+VLOOKUP(A2,COMISIONES!$C$2:$C$33,1,0)</f>
        <v>20008439</v>
      </c>
    </row>
    <row r="3" spans="1:8">
      <c r="A3" s="239">
        <v>20009269</v>
      </c>
      <c r="B3" t="s">
        <v>40</v>
      </c>
      <c r="C3" t="str">
        <f>+VLOOKUP(A3,COMISIONES!$C$2:$D$33,2,0)</f>
        <v>ALEXSANDRO AVILIO RAMOS LOPEZ</v>
      </c>
      <c r="D3" t="str">
        <f>+VLOOKUP(A3,COMISIONES!$C$2:$F$33,4,0)</f>
        <v>BENEDICTO OLIVA RIVAS</v>
      </c>
      <c r="E3" s="239" t="s">
        <v>3926</v>
      </c>
      <c r="F3" s="214">
        <v>45139</v>
      </c>
      <c r="G3" t="s">
        <v>241</v>
      </c>
      <c r="H3" s="216">
        <f>+VLOOKUP(A3,COMISIONES!$C$2:$C$33,1,0)</f>
        <v>20009269</v>
      </c>
    </row>
    <row r="4" spans="1:8">
      <c r="A4" s="266">
        <v>20007726</v>
      </c>
      <c r="B4" t="s">
        <v>40</v>
      </c>
      <c r="C4" t="str">
        <f>+VLOOKUP(A4,COMISIONES!$C$2:$D$33,2,0)</f>
        <v>GLENDA SULEYMA RAMIREZ PEREZ</v>
      </c>
      <c r="D4" t="str">
        <f>+VLOOKUP(A4,COMISIONES!$C$2:$F$33,4,0)</f>
        <v>BENEDICTO OLIVA RIVAS</v>
      </c>
      <c r="E4" s="267" t="s">
        <v>3927</v>
      </c>
      <c r="F4" s="276">
        <v>45143</v>
      </c>
      <c r="G4" t="s">
        <v>241</v>
      </c>
      <c r="H4" s="216">
        <f>+VLOOKUP(A4,COMISIONES!$C$2:$C$33,1,0)</f>
        <v>20007726</v>
      </c>
    </row>
    <row r="5" spans="1:8">
      <c r="A5" s="238">
        <v>20008625</v>
      </c>
      <c r="B5" t="s">
        <v>40</v>
      </c>
      <c r="C5" t="str">
        <f>+VLOOKUP(A5,COMISIONES!$C$2:$D$33,2,0)</f>
        <v>MOISES HERNAN MEJIA LOPEZ</v>
      </c>
      <c r="D5" t="str">
        <f>+VLOOKUP(A5,COMISIONES!$C$2:$F$33,4,0)</f>
        <v>BENEDICTO OLIVA RIVAS</v>
      </c>
      <c r="E5" s="239" t="s">
        <v>3928</v>
      </c>
      <c r="F5" s="277">
        <v>45144</v>
      </c>
      <c r="G5" t="s">
        <v>241</v>
      </c>
      <c r="H5" s="216">
        <f>+VLOOKUP(A5,COMISIONES!$C$2:$C$33,1,0)</f>
        <v>20008625</v>
      </c>
    </row>
    <row r="6" spans="1:8">
      <c r="A6" s="266">
        <v>20000661</v>
      </c>
      <c r="B6" t="s">
        <v>40</v>
      </c>
      <c r="C6" t="str">
        <f>+VLOOKUP(A6,COMISIONES!$C$2:$D$33,2,0)</f>
        <v>TANYA ESMERALDA AGUSTIN</v>
      </c>
      <c r="D6" t="str">
        <f>+VLOOKUP(A6,COMISIONES!$C$2:$F$33,4,0)</f>
        <v>SERGIO ARNOLDO VELASQUEZ GONZALEZ</v>
      </c>
      <c r="E6" s="267" t="s">
        <v>3929</v>
      </c>
      <c r="F6" s="276">
        <v>45144</v>
      </c>
      <c r="G6" t="s">
        <v>241</v>
      </c>
      <c r="H6" s="216">
        <f>+VLOOKUP(A6,COMISIONES!$C$2:$C$33,1,0)</f>
        <v>20000661</v>
      </c>
    </row>
    <row r="7" spans="1:8">
      <c r="A7" s="239">
        <v>20007726</v>
      </c>
      <c r="B7" t="s">
        <v>40</v>
      </c>
      <c r="C7" t="str">
        <f>+VLOOKUP(A7,COMISIONES!$C$2:$D$33,2,0)</f>
        <v>GLENDA SULEYMA RAMIREZ PEREZ</v>
      </c>
      <c r="D7" t="str">
        <f>+VLOOKUP(A7,COMISIONES!$C$2:$F$33,4,0)</f>
        <v>BENEDICTO OLIVA RIVAS</v>
      </c>
      <c r="E7" s="239" t="s">
        <v>3930</v>
      </c>
      <c r="F7" s="277">
        <v>45146</v>
      </c>
      <c r="G7" t="s">
        <v>241</v>
      </c>
      <c r="H7" s="216">
        <f>+VLOOKUP(A7,COMISIONES!$C$2:$C$33,1,0)</f>
        <v>20007726</v>
      </c>
    </row>
    <row r="8" spans="1:8">
      <c r="A8" s="267">
        <v>20010101</v>
      </c>
      <c r="B8" t="s">
        <v>40</v>
      </c>
      <c r="C8" t="str">
        <f>+VLOOKUP(A8,COMISIONES!$C$2:$D$33,2,0)</f>
        <v>ANDREA ALEJANDRA ZETINO CAMEY</v>
      </c>
      <c r="D8" t="str">
        <f>+VLOOKUP(A8,COMISIONES!$C$2:$F$33,4,0)</f>
        <v>BENEDICTO OLIVA RIVAS</v>
      </c>
      <c r="E8" s="267" t="s">
        <v>3931</v>
      </c>
      <c r="F8" s="276">
        <v>45149</v>
      </c>
      <c r="G8" t="s">
        <v>241</v>
      </c>
      <c r="H8" s="216">
        <f>+VLOOKUP(A8,COMISIONES!$C$2:$C$33,1,0)</f>
        <v>20010101</v>
      </c>
    </row>
    <row r="9" spans="1:8">
      <c r="A9" s="267">
        <v>20007726</v>
      </c>
      <c r="B9" t="s">
        <v>40</v>
      </c>
      <c r="C9" t="str">
        <f>+VLOOKUP(A9,COMISIONES!$C$2:$D$33,2,0)</f>
        <v>GLENDA SULEYMA RAMIREZ PEREZ</v>
      </c>
      <c r="D9" t="str">
        <f>+VLOOKUP(A9,COMISIONES!$C$2:$F$33,4,0)</f>
        <v>BENEDICTO OLIVA RIVAS</v>
      </c>
      <c r="E9" s="267" t="s">
        <v>3932</v>
      </c>
      <c r="F9" s="276">
        <v>45149</v>
      </c>
      <c r="G9" t="s">
        <v>241</v>
      </c>
      <c r="H9" s="216">
        <f>+VLOOKUP(A9,COMISIONES!$C$2:$C$33,1,0)</f>
        <v>20007726</v>
      </c>
    </row>
    <row r="10" spans="1:8">
      <c r="A10" s="239">
        <v>20008439</v>
      </c>
      <c r="B10" t="s">
        <v>40</v>
      </c>
      <c r="C10" t="str">
        <f>+VLOOKUP(A10,COMISIONES!$C$2:$D$33,2,0)</f>
        <v>ROBIN ESLEYDER PAREDES OXLAJ</v>
      </c>
      <c r="D10" t="str">
        <f>+VLOOKUP(A10,COMISIONES!$C$2:$F$33,4,0)</f>
        <v>EDDY HAROLDO PEREZ GIRON</v>
      </c>
      <c r="E10" s="239" t="s">
        <v>3933</v>
      </c>
      <c r="F10" s="277">
        <v>45150</v>
      </c>
      <c r="G10" t="s">
        <v>241</v>
      </c>
      <c r="H10" s="216">
        <f>+VLOOKUP(A10,COMISIONES!$C$2:$C$33,1,0)</f>
        <v>20008439</v>
      </c>
    </row>
    <row r="11" spans="1:8">
      <c r="A11" s="267">
        <v>20006162</v>
      </c>
      <c r="B11" t="s">
        <v>40</v>
      </c>
      <c r="C11" t="str">
        <f>+VLOOKUP(A11,COMISIONES!$C$2:$D$33,2,0)</f>
        <v>EDGAR DANIEL MARROQUIN VICENTE</v>
      </c>
      <c r="D11" t="str">
        <f>+VLOOKUP(A11,COMISIONES!$C$2:$F$33,4,0)</f>
        <v>EDDY HAROLDO PEREZ GIRON</v>
      </c>
      <c r="E11" s="267" t="s">
        <v>3934</v>
      </c>
      <c r="F11" s="276">
        <v>45151</v>
      </c>
      <c r="G11" t="s">
        <v>241</v>
      </c>
      <c r="H11" s="216">
        <f>+VLOOKUP(A11,COMISIONES!$C$2:$C$33,1,0)</f>
        <v>20006162</v>
      </c>
    </row>
    <row r="12" spans="1:8">
      <c r="A12" s="239">
        <v>20010101</v>
      </c>
      <c r="B12" t="s">
        <v>40</v>
      </c>
      <c r="C12" t="str">
        <f>+VLOOKUP(A12,COMISIONES!$C$2:$D$33,2,0)</f>
        <v>ANDREA ALEJANDRA ZETINO CAMEY</v>
      </c>
      <c r="D12" t="str">
        <f>+VLOOKUP(A12,COMISIONES!$C$2:$F$33,4,0)</f>
        <v>BENEDICTO OLIVA RIVAS</v>
      </c>
      <c r="E12" s="239" t="s">
        <v>3935</v>
      </c>
      <c r="F12" s="277">
        <v>45149</v>
      </c>
      <c r="G12" t="s">
        <v>241</v>
      </c>
      <c r="H12" s="216">
        <f>+VLOOKUP(A12,COMISIONES!$C$2:$C$33,1,0)</f>
        <v>20010101</v>
      </c>
    </row>
    <row r="13" spans="1:8">
      <c r="A13" s="267">
        <v>20010617</v>
      </c>
      <c r="B13" t="s">
        <v>40</v>
      </c>
      <c r="C13" t="str">
        <f>+VLOOKUP(A13,COMISIONES!$C$2:$D$33,2,0)</f>
        <v>HUGO DAVID MORALES CIFUENTES</v>
      </c>
      <c r="D13" t="str">
        <f>+VLOOKUP(A13,COMISIONES!$C$2:$F$33,4,0)</f>
        <v>BENEDICTO OLIVA RIVAS</v>
      </c>
      <c r="E13" s="267" t="s">
        <v>3936</v>
      </c>
      <c r="F13" s="276">
        <v>45152</v>
      </c>
      <c r="G13" t="s">
        <v>241</v>
      </c>
      <c r="H13" s="216">
        <f>+VLOOKUP(A13,COMISIONES!$C$2:$C$33,1,0)</f>
        <v>20010617</v>
      </c>
    </row>
    <row r="14" spans="1:8">
      <c r="A14" s="239">
        <v>20006162</v>
      </c>
      <c r="B14" t="s">
        <v>40</v>
      </c>
      <c r="C14" t="str">
        <f>+VLOOKUP(A14,COMISIONES!$C$2:$D$33,2,0)</f>
        <v>EDGAR DANIEL MARROQUIN VICENTE</v>
      </c>
      <c r="D14" t="str">
        <f>+VLOOKUP(A14,COMISIONES!$C$2:$F$33,4,0)</f>
        <v>EDDY HAROLDO PEREZ GIRON</v>
      </c>
      <c r="E14" s="239" t="s">
        <v>3937</v>
      </c>
      <c r="F14" s="277">
        <v>45152</v>
      </c>
      <c r="G14" t="s">
        <v>241</v>
      </c>
      <c r="H14" s="216">
        <f>+VLOOKUP(A14,COMISIONES!$C$2:$C$33,1,0)</f>
        <v>20006162</v>
      </c>
    </row>
    <row r="15" spans="1:8">
      <c r="A15" s="267">
        <v>20007726</v>
      </c>
      <c r="B15" t="s">
        <v>40</v>
      </c>
      <c r="C15" t="str">
        <f>+VLOOKUP(A15,COMISIONES!$C$2:$D$33,2,0)</f>
        <v>GLENDA SULEYMA RAMIREZ PEREZ</v>
      </c>
      <c r="D15" t="str">
        <f>+VLOOKUP(A15,COMISIONES!$C$2:$F$33,4,0)</f>
        <v>BENEDICTO OLIVA RIVAS</v>
      </c>
      <c r="E15" s="267" t="s">
        <v>3938</v>
      </c>
      <c r="F15" s="276">
        <v>45153</v>
      </c>
      <c r="G15" t="s">
        <v>241</v>
      </c>
      <c r="H15" s="216">
        <f>+VLOOKUP(A15,COMISIONES!$C$2:$C$33,1,0)</f>
        <v>20007726</v>
      </c>
    </row>
    <row r="16" spans="1:8">
      <c r="A16" s="239">
        <v>20004161</v>
      </c>
      <c r="B16" t="s">
        <v>40</v>
      </c>
      <c r="C16" t="str">
        <f>+VLOOKUP(A16,COMISIONES!$C$2:$D$33,2,0)</f>
        <v>HEYDI ISABEL CUYUCH SIGUANTAY</v>
      </c>
      <c r="D16" t="str">
        <f>+VLOOKUP(A16,COMISIONES!$C$2:$F$33,4,0)</f>
        <v>BENEDICTO OLIVA RIVAS</v>
      </c>
      <c r="E16" s="239" t="s">
        <v>3939</v>
      </c>
      <c r="F16" s="277">
        <v>45153</v>
      </c>
      <c r="G16" t="s">
        <v>241</v>
      </c>
      <c r="H16" s="216">
        <f>+VLOOKUP(A16,COMISIONES!$C$2:$C$33,1,0)</f>
        <v>20004161</v>
      </c>
    </row>
    <row r="17" spans="1:8">
      <c r="A17" s="267">
        <v>20008439</v>
      </c>
      <c r="B17" t="s">
        <v>40</v>
      </c>
      <c r="C17" t="str">
        <f>+VLOOKUP(A17,COMISIONES!$C$2:$D$33,2,0)</f>
        <v>ROBIN ESLEYDER PAREDES OXLAJ</v>
      </c>
      <c r="D17" t="str">
        <f>+VLOOKUP(A17,COMISIONES!$C$2:$F$33,4,0)</f>
        <v>EDDY HAROLDO PEREZ GIRON</v>
      </c>
      <c r="E17" s="267" t="s">
        <v>3940</v>
      </c>
      <c r="F17" s="276">
        <v>45153</v>
      </c>
      <c r="G17" t="s">
        <v>241</v>
      </c>
      <c r="H17" s="216">
        <f>+VLOOKUP(A17,COMISIONES!$C$2:$C$33,1,0)</f>
        <v>20008439</v>
      </c>
    </row>
    <row r="18" spans="1:8">
      <c r="A18" s="239">
        <v>20007726</v>
      </c>
      <c r="B18" t="s">
        <v>40</v>
      </c>
      <c r="C18" t="str">
        <f>+VLOOKUP(A18,COMISIONES!$C$2:$D$33,2,0)</f>
        <v>GLENDA SULEYMA RAMIREZ PEREZ</v>
      </c>
      <c r="D18" t="str">
        <f>+VLOOKUP(A18,COMISIONES!$C$2:$F$33,4,0)</f>
        <v>BENEDICTO OLIVA RIVAS</v>
      </c>
      <c r="E18" s="239" t="s">
        <v>3941</v>
      </c>
      <c r="F18" s="277">
        <v>45153</v>
      </c>
      <c r="G18" t="s">
        <v>241</v>
      </c>
      <c r="H18" s="216">
        <f>+VLOOKUP(A18,COMISIONES!$C$2:$C$33,1,0)</f>
        <v>20007726</v>
      </c>
    </row>
    <row r="19" spans="1:8">
      <c r="A19" s="267">
        <v>20004161</v>
      </c>
      <c r="B19" t="s">
        <v>40</v>
      </c>
      <c r="C19" t="str">
        <f>+VLOOKUP(A19,COMISIONES!$C$2:$D$33,2,0)</f>
        <v>HEYDI ISABEL CUYUCH SIGUANTAY</v>
      </c>
      <c r="D19" t="str">
        <f>+VLOOKUP(A19,COMISIONES!$C$2:$F$33,4,0)</f>
        <v>BENEDICTO OLIVA RIVAS</v>
      </c>
      <c r="E19" s="267" t="s">
        <v>3942</v>
      </c>
      <c r="F19" s="276">
        <v>45154</v>
      </c>
      <c r="G19" t="s">
        <v>241</v>
      </c>
      <c r="H19" s="216">
        <f>+VLOOKUP(A19,COMISIONES!$C$2:$C$33,1,0)</f>
        <v>20004161</v>
      </c>
    </row>
    <row r="20" spans="1:8">
      <c r="A20" s="239">
        <v>20006360</v>
      </c>
      <c r="B20" t="s">
        <v>40</v>
      </c>
      <c r="C20" t="str">
        <f>+VLOOKUP(A20,COMISIONES!$C$2:$D$33,2,0)</f>
        <v>ANDREA GUADALUPE AREVALO RAMIREZ</v>
      </c>
      <c r="D20" t="str">
        <f>+VLOOKUP(A20,COMISIONES!$C$2:$F$33,4,0)</f>
        <v>EDDY HAROLDO PEREZ GIRON</v>
      </c>
      <c r="E20" s="239" t="s">
        <v>3943</v>
      </c>
      <c r="F20" s="277">
        <v>45154</v>
      </c>
      <c r="G20" t="s">
        <v>241</v>
      </c>
      <c r="H20" s="216">
        <f>+VLOOKUP(A20,COMISIONES!$C$2:$C$33,1,0)</f>
        <v>20006360</v>
      </c>
    </row>
    <row r="21" spans="1:8">
      <c r="A21" s="267">
        <v>20004161</v>
      </c>
      <c r="B21" t="s">
        <v>40</v>
      </c>
      <c r="C21" t="str">
        <f>+VLOOKUP(A21,COMISIONES!$C$2:$D$33,2,0)</f>
        <v>HEYDI ISABEL CUYUCH SIGUANTAY</v>
      </c>
      <c r="D21" t="str">
        <f>+VLOOKUP(A21,COMISIONES!$C$2:$F$33,4,0)</f>
        <v>BENEDICTO OLIVA RIVAS</v>
      </c>
      <c r="E21" s="267" t="s">
        <v>3944</v>
      </c>
      <c r="F21" s="276">
        <v>45158</v>
      </c>
      <c r="G21" t="s">
        <v>241</v>
      </c>
      <c r="H21" s="216">
        <f>+VLOOKUP(A21,COMISIONES!$C$2:$C$33,1,0)</f>
        <v>20004161</v>
      </c>
    </row>
    <row r="22" spans="1:8">
      <c r="A22" s="239">
        <v>20007726</v>
      </c>
      <c r="B22" t="s">
        <v>40</v>
      </c>
      <c r="C22" t="str">
        <f>+VLOOKUP(A22,COMISIONES!$C$2:$D$33,2,0)</f>
        <v>GLENDA SULEYMA RAMIREZ PEREZ</v>
      </c>
      <c r="D22" t="str">
        <f>+VLOOKUP(A22,COMISIONES!$C$2:$F$33,4,0)</f>
        <v>BENEDICTO OLIVA RIVAS</v>
      </c>
      <c r="E22" s="239" t="s">
        <v>3945</v>
      </c>
      <c r="F22" s="277">
        <v>45158</v>
      </c>
      <c r="G22" t="s">
        <v>241</v>
      </c>
      <c r="H22" s="216">
        <f>+VLOOKUP(A22,COMISIONES!$C$2:$C$33,1,0)</f>
        <v>20007726</v>
      </c>
    </row>
    <row r="23" spans="1:8">
      <c r="A23" s="267">
        <v>20004161</v>
      </c>
      <c r="B23" t="s">
        <v>40</v>
      </c>
      <c r="C23" t="str">
        <f>+VLOOKUP(A23,COMISIONES!$C$2:$D$33,2,0)</f>
        <v>HEYDI ISABEL CUYUCH SIGUANTAY</v>
      </c>
      <c r="D23" t="str">
        <f>+VLOOKUP(A23,COMISIONES!$C$2:$F$33,4,0)</f>
        <v>BENEDICTO OLIVA RIVAS</v>
      </c>
      <c r="E23" s="267" t="s">
        <v>3946</v>
      </c>
      <c r="F23" s="276">
        <v>45157</v>
      </c>
      <c r="G23" t="s">
        <v>241</v>
      </c>
      <c r="H23" s="216">
        <f>+VLOOKUP(A23,COMISIONES!$C$2:$C$33,1,0)</f>
        <v>20004161</v>
      </c>
    </row>
    <row r="24" spans="1:8">
      <c r="A24" s="239">
        <v>20008439</v>
      </c>
      <c r="B24" t="s">
        <v>40</v>
      </c>
      <c r="C24" t="str">
        <f>+VLOOKUP(A24,COMISIONES!$C$2:$D$33,2,0)</f>
        <v>ROBIN ESLEYDER PAREDES OXLAJ</v>
      </c>
      <c r="D24" t="str">
        <f>+VLOOKUP(A24,COMISIONES!$C$2:$F$33,4,0)</f>
        <v>EDDY HAROLDO PEREZ GIRON</v>
      </c>
      <c r="E24" s="239" t="s">
        <v>3947</v>
      </c>
      <c r="F24" s="277">
        <v>45162</v>
      </c>
      <c r="G24" t="s">
        <v>241</v>
      </c>
      <c r="H24" s="216">
        <f>+VLOOKUP(A24,COMISIONES!$C$2:$C$33,1,0)</f>
        <v>20008439</v>
      </c>
    </row>
    <row r="25" spans="1:8">
      <c r="A25" s="239">
        <v>20004161</v>
      </c>
      <c r="B25" t="s">
        <v>40</v>
      </c>
      <c r="C25" t="str">
        <f>+VLOOKUP(A25,COMISIONES!$C$2:$D$33,2,0)</f>
        <v>HEYDI ISABEL CUYUCH SIGUANTAY</v>
      </c>
      <c r="D25" t="str">
        <f>+VLOOKUP(A25,COMISIONES!$C$2:$F$33,4,0)</f>
        <v>BENEDICTO OLIVA RIVAS</v>
      </c>
      <c r="E25" s="239" t="s">
        <v>3948</v>
      </c>
      <c r="F25" s="277">
        <v>45165</v>
      </c>
      <c r="G25" t="s">
        <v>241</v>
      </c>
      <c r="H25" s="216">
        <f>+VLOOKUP(A25,COMISIONES!$C$2:$C$33,1,0)</f>
        <v>20004161</v>
      </c>
    </row>
    <row r="26" spans="1:8">
      <c r="A26" s="239">
        <v>20010101</v>
      </c>
      <c r="B26" t="s">
        <v>40</v>
      </c>
      <c r="C26" t="str">
        <f>+VLOOKUP(A26,COMISIONES!$C$2:$D$33,2,0)</f>
        <v>ANDREA ALEJANDRA ZETINO CAMEY</v>
      </c>
      <c r="D26" t="str">
        <f>+VLOOKUP(A26,COMISIONES!$C$2:$F$33,4,0)</f>
        <v>BENEDICTO OLIVA RIVAS</v>
      </c>
      <c r="E26" s="239" t="s">
        <v>3949</v>
      </c>
      <c r="F26" s="277">
        <v>45166</v>
      </c>
      <c r="G26" t="s">
        <v>241</v>
      </c>
      <c r="H26" s="216">
        <f>+VLOOKUP(A26,COMISIONES!$C$2:$C$33,1,0)</f>
        <v>20010101</v>
      </c>
    </row>
    <row r="27" spans="1:8">
      <c r="A27" s="267">
        <v>20007726</v>
      </c>
      <c r="B27" t="s">
        <v>40</v>
      </c>
      <c r="C27" t="str">
        <f>+VLOOKUP(A27,COMISIONES!$C$2:$D$33,2,0)</f>
        <v>GLENDA SULEYMA RAMIREZ PEREZ</v>
      </c>
      <c r="D27" t="str">
        <f>+VLOOKUP(A27,COMISIONES!$C$2:$F$33,4,0)</f>
        <v>BENEDICTO OLIVA RIVAS</v>
      </c>
      <c r="E27" s="267" t="s">
        <v>3950</v>
      </c>
      <c r="F27" s="276">
        <v>45167</v>
      </c>
      <c r="G27" t="s">
        <v>241</v>
      </c>
      <c r="H27" s="216">
        <f>+VLOOKUP(A27,COMISIONES!$C$2:$C$33,1,0)</f>
        <v>20007726</v>
      </c>
    </row>
    <row r="28" spans="1:8">
      <c r="A28" s="239">
        <v>20010101</v>
      </c>
      <c r="B28" t="s">
        <v>40</v>
      </c>
      <c r="C28" t="str">
        <f>+VLOOKUP(A28,COMISIONES!$C$2:$D$33,2,0)</f>
        <v>ANDREA ALEJANDRA ZETINO CAMEY</v>
      </c>
      <c r="D28" t="str">
        <f>+VLOOKUP(A28,COMISIONES!$C$2:$F$33,4,0)</f>
        <v>BENEDICTO OLIVA RIVAS</v>
      </c>
      <c r="E28" s="239" t="s">
        <v>3951</v>
      </c>
      <c r="F28" s="277">
        <v>45167</v>
      </c>
      <c r="G28" t="s">
        <v>241</v>
      </c>
      <c r="H28" s="216">
        <f>+VLOOKUP(A28,COMISIONES!$C$2:$C$33,1,0)</f>
        <v>20010101</v>
      </c>
    </row>
    <row r="29" spans="1:8">
      <c r="A29" s="267">
        <v>20004161</v>
      </c>
      <c r="B29" t="s">
        <v>40</v>
      </c>
      <c r="C29" t="str">
        <f>+VLOOKUP(A29,COMISIONES!$C$2:$D$33,2,0)</f>
        <v>HEYDI ISABEL CUYUCH SIGUANTAY</v>
      </c>
      <c r="D29" t="str">
        <f>+VLOOKUP(A29,COMISIONES!$C$2:$F$33,4,0)</f>
        <v>BENEDICTO OLIVA RIVAS</v>
      </c>
      <c r="E29" s="267" t="s">
        <v>3952</v>
      </c>
      <c r="F29" s="276">
        <v>45168</v>
      </c>
      <c r="G29" t="s">
        <v>241</v>
      </c>
      <c r="H29" s="216">
        <f>+VLOOKUP(A29,COMISIONES!$C$2:$C$33,1,0)</f>
        <v>20004161</v>
      </c>
    </row>
    <row r="30" spans="1:8">
      <c r="A30" s="239">
        <v>20010101</v>
      </c>
      <c r="B30" t="s">
        <v>40</v>
      </c>
      <c r="C30" t="str">
        <f>+VLOOKUP(A30,COMISIONES!$C$2:$D$33,2,0)</f>
        <v>ANDREA ALEJANDRA ZETINO CAMEY</v>
      </c>
      <c r="D30" t="str">
        <f>+VLOOKUP(A30,COMISIONES!$C$2:$F$33,4,0)</f>
        <v>BENEDICTO OLIVA RIVAS</v>
      </c>
      <c r="E30" s="239" t="s">
        <v>3953</v>
      </c>
      <c r="F30" s="277">
        <v>45169</v>
      </c>
      <c r="G30" t="s">
        <v>241</v>
      </c>
      <c r="H30" s="216">
        <f>+VLOOKUP(A30,COMISIONES!$C$2:$C$33,1,0)</f>
        <v>20010101</v>
      </c>
    </row>
    <row r="31" spans="1:8">
      <c r="A31" s="267">
        <v>20004161</v>
      </c>
      <c r="B31" t="s">
        <v>40</v>
      </c>
      <c r="C31" t="str">
        <f>+VLOOKUP(A31,COMISIONES!$C$2:$D$33,2,0)</f>
        <v>HEYDI ISABEL CUYUCH SIGUANTAY</v>
      </c>
      <c r="D31" t="str">
        <f>+VLOOKUP(A31,COMISIONES!$C$2:$F$33,4,0)</f>
        <v>BENEDICTO OLIVA RIVAS</v>
      </c>
      <c r="E31" s="267" t="s">
        <v>3954</v>
      </c>
      <c r="F31" s="276">
        <v>45169</v>
      </c>
      <c r="G31" t="s">
        <v>241</v>
      </c>
      <c r="H31" s="216">
        <f>+VLOOKUP(A31,COMISIONES!$C$2:$C$33,1,0)</f>
        <v>20004161</v>
      </c>
    </row>
    <row r="32" spans="1:8">
      <c r="A32" s="239">
        <v>20010101</v>
      </c>
      <c r="B32" t="s">
        <v>40</v>
      </c>
      <c r="C32" t="str">
        <f>+VLOOKUP(A32,COMISIONES!$C$2:$D$33,2,0)</f>
        <v>ANDREA ALEJANDRA ZETINO CAMEY</v>
      </c>
      <c r="D32" t="str">
        <f>+VLOOKUP(A32,COMISIONES!$C$2:$F$33,4,0)</f>
        <v>BENEDICTO OLIVA RIVAS</v>
      </c>
      <c r="E32" s="239" t="s">
        <v>3955</v>
      </c>
      <c r="F32" s="277">
        <v>45169</v>
      </c>
      <c r="G32" t="s">
        <v>241</v>
      </c>
      <c r="H32" s="216">
        <f>+VLOOKUP(A32,COMISIONES!$C$2:$C$33,1,0)</f>
        <v>20010101</v>
      </c>
    </row>
    <row r="33" spans="1:8">
      <c r="A33" s="239">
        <v>20010101</v>
      </c>
      <c r="B33" t="s">
        <v>40</v>
      </c>
      <c r="C33" t="str">
        <f>+VLOOKUP(A33,COMISIONES!$C$2:$D$33,2,0)</f>
        <v>ANDREA ALEJANDRA ZETINO CAMEY</v>
      </c>
      <c r="D33" t="str">
        <f>+VLOOKUP(A33,COMISIONES!$C$2:$F$33,4,0)</f>
        <v>BENEDICTO OLIVA RIVAS</v>
      </c>
      <c r="E33" s="239" t="s">
        <v>3956</v>
      </c>
      <c r="F33" s="277">
        <v>45169</v>
      </c>
      <c r="G33" t="s">
        <v>241</v>
      </c>
      <c r="H33" s="216">
        <f>+VLOOKUP(A33,COMISIONES!$C$2:$C$33,1,0)</f>
        <v>20010101</v>
      </c>
    </row>
    <row r="34" spans="1:8">
      <c r="A34" s="267">
        <v>20009690</v>
      </c>
      <c r="B34" t="s">
        <v>40</v>
      </c>
      <c r="C34" t="str">
        <f>+VLOOKUP(A34,COMISIONES!$C$2:$D$33,2,0)</f>
        <v>JOSUE SANCHEZ ROBLEDO</v>
      </c>
      <c r="D34" t="str">
        <f>+VLOOKUP(A34,COMISIONES!$C$2:$F$33,4,0)</f>
        <v>BENEDICTO OLIVA RIVAS</v>
      </c>
      <c r="E34" s="267" t="s">
        <v>3957</v>
      </c>
      <c r="F34" s="276">
        <v>45169</v>
      </c>
      <c r="G34" t="s">
        <v>241</v>
      </c>
      <c r="H34" s="216">
        <f>+VLOOKUP(A34,COMISIONES!$C$2:$C$33,1,0)</f>
        <v>20009690</v>
      </c>
    </row>
    <row r="35" spans="1:8">
      <c r="A35" s="239">
        <v>20009690</v>
      </c>
      <c r="B35" t="s">
        <v>40</v>
      </c>
      <c r="C35" t="str">
        <f>+VLOOKUP(A35,COMISIONES!$C$2:$D$33,2,0)</f>
        <v>JOSUE SANCHEZ ROBLEDO</v>
      </c>
      <c r="D35" t="str">
        <f>+VLOOKUP(A35,COMISIONES!$C$2:$F$33,4,0)</f>
        <v>BENEDICTO OLIVA RIVAS</v>
      </c>
      <c r="E35" s="239" t="s">
        <v>3958</v>
      </c>
      <c r="F35" s="277">
        <v>45169</v>
      </c>
      <c r="G35" t="s">
        <v>241</v>
      </c>
      <c r="H35" s="216">
        <f>+VLOOKUP(A35,COMISIONES!$C$2:$C$33,1,0)</f>
        <v>20009690</v>
      </c>
    </row>
    <row r="36" spans="1:8">
      <c r="A36" s="267">
        <v>20009690</v>
      </c>
      <c r="B36" t="s">
        <v>40</v>
      </c>
      <c r="C36" t="str">
        <f>+VLOOKUP(A36,COMISIONES!$C$2:$D$33,2,0)</f>
        <v>JOSUE SANCHEZ ROBLEDO</v>
      </c>
      <c r="D36" t="str">
        <f>+VLOOKUP(A36,COMISIONES!$C$2:$F$33,4,0)</f>
        <v>BENEDICTO OLIVA RIVAS</v>
      </c>
      <c r="E36" s="267" t="s">
        <v>3959</v>
      </c>
      <c r="F36" s="276">
        <v>45169</v>
      </c>
      <c r="G36" t="s">
        <v>241</v>
      </c>
      <c r="H36" s="216">
        <f>+VLOOKUP(A36,COMISIONES!$C$2:$C$33,1,0)</f>
        <v>20009690</v>
      </c>
    </row>
    <row r="37" spans="1:8">
      <c r="A37" s="239">
        <v>20009690</v>
      </c>
      <c r="B37" t="s">
        <v>40</v>
      </c>
      <c r="C37" t="str">
        <f>+VLOOKUP(A37,COMISIONES!$C$2:$D$33,2,0)</f>
        <v>JOSUE SANCHEZ ROBLEDO</v>
      </c>
      <c r="D37" t="str">
        <f>+VLOOKUP(A37,COMISIONES!$C$2:$F$33,4,0)</f>
        <v>BENEDICTO OLIVA RIVAS</v>
      </c>
      <c r="E37" s="239" t="s">
        <v>3960</v>
      </c>
      <c r="F37" s="277">
        <v>45169</v>
      </c>
      <c r="G37" t="s">
        <v>241</v>
      </c>
      <c r="H37" s="216">
        <f>+VLOOKUP(A37,COMISIONES!$C$2:$C$33,1,0)</f>
        <v>20009690</v>
      </c>
    </row>
    <row r="38" spans="1:8">
      <c r="A38" s="267">
        <v>20009690</v>
      </c>
      <c r="B38" t="s">
        <v>40</v>
      </c>
      <c r="C38" t="str">
        <f>+VLOOKUP(A38,COMISIONES!$C$2:$D$33,2,0)</f>
        <v>JOSUE SANCHEZ ROBLEDO</v>
      </c>
      <c r="D38" t="str">
        <f>+VLOOKUP(A38,COMISIONES!$C$2:$F$33,4,0)</f>
        <v>BENEDICTO OLIVA RIVAS</v>
      </c>
      <c r="E38" s="267" t="s">
        <v>3961</v>
      </c>
      <c r="F38" s="276">
        <v>45169</v>
      </c>
      <c r="G38" t="s">
        <v>241</v>
      </c>
      <c r="H38" s="216">
        <f>+VLOOKUP(A38,COMISIONES!$C$2:$C$33,1,0)</f>
        <v>20009690</v>
      </c>
    </row>
    <row r="39" spans="1:8">
      <c r="A39" s="267"/>
      <c r="E39" s="239"/>
      <c r="F39" s="214"/>
      <c r="H39" s="216"/>
    </row>
    <row r="40" spans="1:8">
      <c r="A40" s="267"/>
      <c r="E40" s="239"/>
      <c r="F40" s="214"/>
      <c r="H40" s="216"/>
    </row>
    <row r="41" spans="1:8">
      <c r="A41" s="267"/>
      <c r="E41" s="239"/>
      <c r="F41" s="214"/>
      <c r="H41" s="216"/>
    </row>
    <row r="42" spans="1:8">
      <c r="A42" s="239"/>
      <c r="E42" s="239"/>
      <c r="F42" s="214"/>
      <c r="H42" s="216"/>
    </row>
    <row r="43" spans="1:8">
      <c r="A43" s="267"/>
      <c r="E43" s="239"/>
      <c r="F43" s="214"/>
      <c r="H43" s="216"/>
    </row>
    <row r="44" spans="1:8">
      <c r="A44" s="267"/>
      <c r="E44" s="239"/>
      <c r="F44" s="214"/>
      <c r="H44" s="216"/>
    </row>
    <row r="45" spans="1:8">
      <c r="A45" s="239"/>
      <c r="E45" s="239"/>
      <c r="F45" s="214"/>
      <c r="H45" s="216"/>
    </row>
    <row r="46" spans="1:8">
      <c r="A46" s="267"/>
      <c r="E46" s="239"/>
      <c r="F46" s="214"/>
      <c r="H46" s="216"/>
    </row>
    <row r="47" spans="1:8">
      <c r="A47" s="267"/>
      <c r="E47" s="239"/>
      <c r="F47" s="214"/>
      <c r="H47" s="216"/>
    </row>
    <row r="48" spans="1:8">
      <c r="A48" s="239"/>
      <c r="E48" s="239"/>
      <c r="F48" s="214"/>
      <c r="H48" s="216"/>
    </row>
    <row r="49" spans="1:8">
      <c r="A49" s="267"/>
      <c r="E49" s="239"/>
      <c r="F49" s="214"/>
      <c r="H49" s="216"/>
    </row>
    <row r="50" spans="1:8">
      <c r="A50" s="238"/>
      <c r="E50" s="239"/>
      <c r="F50" s="214"/>
      <c r="H50" s="216"/>
    </row>
    <row r="51" spans="1:8">
      <c r="A51" s="266"/>
      <c r="E51" s="239"/>
      <c r="F51" s="214"/>
      <c r="H51" s="216"/>
    </row>
    <row r="52" spans="1:8">
      <c r="A52" s="266"/>
      <c r="E52" s="239"/>
      <c r="F52" s="214"/>
      <c r="H52" s="216"/>
    </row>
    <row r="53" spans="1:8">
      <c r="A53" s="238"/>
      <c r="E53" s="239"/>
      <c r="F53" s="214"/>
      <c r="H53" s="216"/>
    </row>
    <row r="54" spans="1:8">
      <c r="A54" s="266"/>
      <c r="E54" s="239"/>
      <c r="F54" s="214"/>
      <c r="H54" s="216"/>
    </row>
    <row r="55" spans="1:8">
      <c r="A55" s="238"/>
      <c r="E55" s="239"/>
      <c r="F55" s="214"/>
      <c r="H55" s="216"/>
    </row>
    <row r="56" spans="1:8">
      <c r="A56" s="266"/>
      <c r="E56" s="239"/>
      <c r="F56" s="214"/>
      <c r="H56" s="216"/>
    </row>
    <row r="57" spans="1:8">
      <c r="A57" s="266"/>
      <c r="E57" s="239"/>
      <c r="F57" s="214"/>
      <c r="H57" s="216"/>
    </row>
    <row r="58" spans="1:8">
      <c r="A58" s="266"/>
      <c r="E58" s="239"/>
      <c r="F58" s="214"/>
      <c r="H58" s="216"/>
    </row>
    <row r="59" spans="1:8">
      <c r="A59" s="267"/>
      <c r="E59" s="239"/>
      <c r="F59" s="214"/>
      <c r="H59" s="216"/>
    </row>
    <row r="60" spans="1:8">
      <c r="A60" s="267"/>
      <c r="E60" s="239"/>
      <c r="F60" s="214"/>
      <c r="H60" s="216"/>
    </row>
    <row r="61" spans="1:8">
      <c r="A61" s="239"/>
      <c r="E61" s="239"/>
      <c r="F61" s="214"/>
      <c r="H61" s="216"/>
    </row>
    <row r="62" spans="1:8">
      <c r="A62" s="267"/>
      <c r="E62" s="239"/>
      <c r="F62" s="214"/>
      <c r="H62" s="216"/>
    </row>
    <row r="63" spans="1:8">
      <c r="A63" s="239"/>
      <c r="E63" s="239"/>
      <c r="F63" s="214"/>
      <c r="H63" s="216"/>
    </row>
    <row r="64" spans="1:8">
      <c r="A64" s="267"/>
      <c r="E64" s="239"/>
      <c r="F64" s="214"/>
      <c r="H64" s="216"/>
    </row>
    <row r="65" spans="1:8">
      <c r="A65" s="239"/>
      <c r="E65" s="239"/>
      <c r="F65" s="214"/>
      <c r="H65" s="216"/>
    </row>
    <row r="66" spans="1:8">
      <c r="A66" s="239"/>
      <c r="E66" s="239"/>
      <c r="F66" s="214"/>
      <c r="H66" s="216"/>
    </row>
    <row r="67" spans="1:8">
      <c r="A67" s="267"/>
      <c r="E67" s="239"/>
      <c r="F67" s="214"/>
      <c r="H67" s="216"/>
    </row>
    <row r="68" spans="1:8">
      <c r="A68" s="239"/>
      <c r="E68" s="239"/>
      <c r="F68" s="214"/>
      <c r="H68" s="216"/>
    </row>
    <row r="69" spans="1:8">
      <c r="A69" s="239"/>
      <c r="E69" s="239"/>
      <c r="F69" s="214"/>
      <c r="H69" s="216"/>
    </row>
    <row r="70" spans="1:8">
      <c r="A70" s="239"/>
      <c r="E70" s="239"/>
      <c r="F70" s="214"/>
      <c r="H70" s="216"/>
    </row>
    <row r="71" spans="1:8">
      <c r="A71" s="267"/>
      <c r="E71" s="239"/>
      <c r="F71" s="214"/>
      <c r="H71" s="216"/>
    </row>
    <row r="72" spans="1:8">
      <c r="A72" s="239"/>
      <c r="E72" s="239"/>
      <c r="F72" s="214"/>
      <c r="H72" s="216"/>
    </row>
    <row r="73" spans="1:8">
      <c r="A73" s="267"/>
      <c r="E73" s="239"/>
      <c r="F73" s="214"/>
      <c r="H73" s="216"/>
    </row>
    <row r="74" spans="1:8">
      <c r="A74" s="267"/>
      <c r="E74" s="239"/>
      <c r="F74" s="214"/>
      <c r="H74" s="216"/>
    </row>
    <row r="75" spans="1:8">
      <c r="A75" s="239"/>
      <c r="E75" s="239"/>
      <c r="F75" s="214"/>
      <c r="H75" s="216"/>
    </row>
    <row r="76" spans="1:8">
      <c r="A76" s="266"/>
      <c r="E76" s="239"/>
      <c r="F76" s="214"/>
      <c r="H76" s="216"/>
    </row>
    <row r="77" spans="1:8">
      <c r="A77" s="238"/>
      <c r="E77" s="239"/>
      <c r="F77" s="214"/>
      <c r="H77" s="216"/>
    </row>
    <row r="78" spans="1:8">
      <c r="A78" s="266"/>
      <c r="E78" s="239"/>
      <c r="F78" s="214"/>
      <c r="H78" s="216"/>
    </row>
    <row r="79" spans="1:8">
      <c r="A79" s="238"/>
      <c r="E79" s="239"/>
      <c r="F79" s="214"/>
      <c r="H79" s="216"/>
    </row>
    <row r="80" spans="1:8">
      <c r="A80" s="266"/>
      <c r="E80" s="239"/>
      <c r="F80" s="214"/>
      <c r="H80" s="216"/>
    </row>
    <row r="81" spans="1:8">
      <c r="A81" s="238"/>
      <c r="E81" s="239"/>
      <c r="F81" s="214"/>
      <c r="H81" s="216"/>
    </row>
    <row r="82" spans="1:8">
      <c r="A82" s="238"/>
      <c r="E82" s="239"/>
      <c r="F82" s="214"/>
      <c r="H82" s="216"/>
    </row>
    <row r="83" spans="1:8">
      <c r="A83" s="266"/>
      <c r="E83" s="239"/>
      <c r="F83" s="214"/>
      <c r="H83" s="216"/>
    </row>
    <row r="84" spans="1:8">
      <c r="A84" s="238"/>
      <c r="E84" s="239"/>
      <c r="F84" s="214"/>
      <c r="H84" s="216"/>
    </row>
    <row r="85" spans="1:8">
      <c r="A85" s="266"/>
      <c r="E85" s="239"/>
      <c r="F85" s="214"/>
      <c r="H85" s="216"/>
    </row>
    <row r="86" spans="1:8">
      <c r="A86" s="266"/>
      <c r="E86" s="239"/>
      <c r="F86" s="214"/>
      <c r="H86" s="216"/>
    </row>
    <row r="87" spans="1:8">
      <c r="A87" s="238"/>
      <c r="E87" s="239"/>
      <c r="F87" s="214"/>
      <c r="H87" s="216"/>
    </row>
    <row r="88" spans="1:8">
      <c r="A88" s="238"/>
      <c r="E88" s="239"/>
      <c r="F88" s="214"/>
      <c r="H88" s="216"/>
    </row>
    <row r="89" spans="1:8">
      <c r="A89" s="266"/>
      <c r="E89" s="239"/>
      <c r="F89" s="214"/>
      <c r="H89" s="216"/>
    </row>
    <row r="90" spans="1:8">
      <c r="A90" s="238"/>
      <c r="E90" s="239"/>
      <c r="F90" s="214"/>
      <c r="H90" s="216"/>
    </row>
    <row r="91" spans="1:8">
      <c r="A91" s="267"/>
      <c r="E91" s="239"/>
      <c r="F91" s="214"/>
      <c r="H91" s="216"/>
    </row>
    <row r="92" spans="1:8">
      <c r="A92" s="239"/>
      <c r="E92" s="239"/>
      <c r="F92" s="214"/>
      <c r="H92" s="216"/>
    </row>
    <row r="93" spans="1:8">
      <c r="A93" s="239"/>
      <c r="E93" s="239"/>
      <c r="F93" s="214"/>
      <c r="H93" s="216"/>
    </row>
    <row r="94" spans="1:8">
      <c r="A94" s="267"/>
      <c r="E94" s="239"/>
      <c r="F94" s="214"/>
      <c r="H94" s="216"/>
    </row>
    <row r="95" spans="1:8">
      <c r="A95" s="267"/>
      <c r="E95" s="239"/>
      <c r="F95" s="214"/>
      <c r="H95" s="216"/>
    </row>
    <row r="96" spans="1:8">
      <c r="A96" s="266"/>
      <c r="E96" s="239"/>
      <c r="F96" s="214"/>
      <c r="H96" s="216"/>
    </row>
    <row r="97" spans="1:8">
      <c r="A97" s="238"/>
      <c r="E97" s="239"/>
      <c r="F97" s="214"/>
      <c r="H97" s="216"/>
    </row>
    <row r="98" spans="1:8">
      <c r="A98" s="266"/>
      <c r="E98" s="239"/>
      <c r="F98" s="214"/>
      <c r="H98" s="216"/>
    </row>
    <row r="99" spans="1:8">
      <c r="A99" s="238"/>
      <c r="E99" s="239"/>
      <c r="F99" s="214"/>
      <c r="H99" s="216"/>
    </row>
    <row r="100" spans="1:8">
      <c r="A100" s="266"/>
      <c r="E100" s="239"/>
      <c r="F100" s="214"/>
      <c r="H100" s="216"/>
    </row>
    <row r="101" spans="1:8">
      <c r="A101" s="266"/>
      <c r="E101" s="239"/>
      <c r="F101" s="214"/>
      <c r="H101" s="216"/>
    </row>
    <row r="102" spans="1:8">
      <c r="A102" s="238"/>
      <c r="E102" s="239"/>
      <c r="F102" s="214"/>
      <c r="H102" s="216"/>
    </row>
    <row r="103" spans="1:8">
      <c r="A103" s="266"/>
      <c r="E103" s="239"/>
      <c r="F103" s="214"/>
      <c r="H103" s="216"/>
    </row>
    <row r="104" spans="1:8">
      <c r="A104" s="266"/>
      <c r="E104" s="239"/>
      <c r="F104" s="214"/>
      <c r="H104" s="216"/>
    </row>
    <row r="105" spans="1:8">
      <c r="A105" s="238"/>
      <c r="E105" s="239"/>
      <c r="F105" s="214"/>
      <c r="H105" s="216"/>
    </row>
    <row r="106" spans="1:8">
      <c r="A106" s="266"/>
      <c r="E106" s="239"/>
      <c r="F106" s="214"/>
      <c r="H106" s="216"/>
    </row>
    <row r="107" spans="1:8">
      <c r="A107" s="238"/>
      <c r="E107" s="239"/>
      <c r="F107" s="214"/>
      <c r="H107" s="216"/>
    </row>
    <row r="108" spans="1:8">
      <c r="A108" s="266"/>
      <c r="E108" s="239"/>
      <c r="F108" s="214"/>
      <c r="H108" s="216"/>
    </row>
    <row r="109" spans="1:8">
      <c r="A109" s="266"/>
      <c r="E109" s="239"/>
      <c r="F109" s="214"/>
      <c r="H109" s="216"/>
    </row>
    <row r="110" spans="1:8">
      <c r="A110" s="238"/>
      <c r="E110" s="239"/>
      <c r="F110" s="214"/>
      <c r="H110" s="216"/>
    </row>
    <row r="111" spans="1:8">
      <c r="A111" s="266"/>
      <c r="E111" s="239"/>
      <c r="F111" s="214"/>
      <c r="H111" s="216"/>
    </row>
    <row r="112" spans="1:8">
      <c r="A112" s="238"/>
      <c r="E112" s="239"/>
      <c r="F112" s="214"/>
      <c r="H112" s="216"/>
    </row>
    <row r="113" spans="1:8">
      <c r="A113" s="266"/>
      <c r="E113" s="239"/>
      <c r="F113" s="214"/>
      <c r="H113" s="216"/>
    </row>
    <row r="114" spans="1:8">
      <c r="A114" s="238"/>
      <c r="E114" s="239"/>
      <c r="F114" s="214"/>
      <c r="H114" s="216"/>
    </row>
    <row r="115" spans="1:8">
      <c r="A115" s="239"/>
      <c r="E115" s="239"/>
      <c r="F115" s="214"/>
      <c r="H115" s="216" t="e">
        <f>+VLOOKUP(A115,COMISIONES!$C$2:$C$33,1,0)</f>
        <v>#N/A</v>
      </c>
    </row>
    <row r="116" spans="1:8">
      <c r="A116" s="267"/>
      <c r="E116" s="239"/>
      <c r="F116" s="214"/>
      <c r="H116" s="216" t="e">
        <f>+VLOOKUP(A116,COMISIONES!$C$2:$C$33,1,0)</f>
        <v>#N/A</v>
      </c>
    </row>
    <row r="117" spans="1:8">
      <c r="A117" s="266"/>
      <c r="E117" s="239"/>
      <c r="F117" s="214"/>
      <c r="H117" s="216" t="e">
        <f>+VLOOKUP(A117,COMISIONES!$C$2:$C$33,1,0)</f>
        <v>#N/A</v>
      </c>
    </row>
    <row r="118" spans="1:8">
      <c r="A118" s="238"/>
      <c r="E118" s="239"/>
      <c r="F118" s="214"/>
      <c r="H118" s="216" t="e">
        <f>+VLOOKUP(A118,COMISIONES!$C$2:$C$33,1,0)</f>
        <v>#N/A</v>
      </c>
    </row>
    <row r="119" spans="1:8">
      <c r="A119" s="266"/>
      <c r="E119" s="239"/>
      <c r="F119" s="214"/>
      <c r="H119" s="216" t="e">
        <f>+VLOOKUP(A119,COMISIONES!$C$2:$C$33,1,0)</f>
        <v>#N/A</v>
      </c>
    </row>
    <row r="120" spans="1:8">
      <c r="A120" s="238"/>
      <c r="E120" s="239"/>
      <c r="F120" s="214"/>
      <c r="H120" s="216" t="e">
        <f>+VLOOKUP(A120,COMISIONES!$C$2:$C$33,1,0)</f>
        <v>#N/A</v>
      </c>
    </row>
    <row r="121" spans="1:8">
      <c r="A121" s="266"/>
      <c r="E121" s="239"/>
      <c r="F121" s="214"/>
      <c r="H121" s="216" t="e">
        <f>+VLOOKUP(A121,COMISIONES!$C$2:$C$33,1,0)</f>
        <v>#N/A</v>
      </c>
    </row>
    <row r="122" spans="1:8">
      <c r="A122" s="266"/>
      <c r="E122" s="239"/>
      <c r="F122" s="214"/>
      <c r="H122" s="216" t="e">
        <f>+VLOOKUP(A122,COMISIONES!$C$2:$C$33,1,0)</f>
        <v>#N/A</v>
      </c>
    </row>
    <row r="123" spans="1:8">
      <c r="A123" s="238"/>
      <c r="E123" s="239"/>
      <c r="F123" s="214"/>
      <c r="H123" s="216" t="e">
        <f>+VLOOKUP(A123,COMISIONES!$C$2:$C$33,1,0)</f>
        <v>#N/A</v>
      </c>
    </row>
    <row r="124" spans="1:8">
      <c r="A124" s="266"/>
      <c r="E124" s="239"/>
      <c r="F124" s="214"/>
      <c r="H124" s="216" t="e">
        <f>+VLOOKUP(A124,COMISIONES!$C$2:$C$33,1,0)</f>
        <v>#N/A</v>
      </c>
    </row>
    <row r="125" spans="1:8">
      <c r="A125" s="238"/>
      <c r="E125" s="239"/>
      <c r="F125" s="214"/>
      <c r="H125" s="216" t="e">
        <f>+VLOOKUP(A125,COMISIONES!$C$2:$C$33,1,0)</f>
        <v>#N/A</v>
      </c>
    </row>
    <row r="126" spans="1:8">
      <c r="A126" s="266"/>
      <c r="E126" s="239"/>
      <c r="F126" s="214"/>
      <c r="H126" s="216" t="e">
        <f>+VLOOKUP(A126,COMISIONES!$C$2:$C$33,1,0)</f>
        <v>#N/A</v>
      </c>
    </row>
    <row r="127" spans="1:8">
      <c r="A127" s="238"/>
      <c r="E127" s="239"/>
      <c r="F127" s="214"/>
      <c r="H127" s="216" t="e">
        <f>+VLOOKUP(A127,COMISIONES!$C$2:$C$33,1,0)</f>
        <v>#N/A</v>
      </c>
    </row>
    <row r="128" spans="1:8">
      <c r="A128" s="266"/>
      <c r="E128" s="239"/>
      <c r="F128" s="214"/>
      <c r="H128" s="216" t="e">
        <f>+VLOOKUP(A128,COMISIONES!$C$2:$C$33,1,0)</f>
        <v>#N/A</v>
      </c>
    </row>
    <row r="129" spans="1:8">
      <c r="A129" s="266"/>
      <c r="E129" s="239"/>
      <c r="F129" s="214"/>
      <c r="H129" s="216" t="e">
        <f>+VLOOKUP(A129,COMISIONES!$C$2:$C$33,1,0)</f>
        <v>#N/A</v>
      </c>
    </row>
    <row r="130" spans="1:8">
      <c r="A130" s="238"/>
      <c r="E130" s="239"/>
      <c r="F130" s="214"/>
      <c r="H130" s="216" t="e">
        <f>+VLOOKUP(A130,COMISIONES!$C$2:$C$33,1,0)</f>
        <v>#N/A</v>
      </c>
    </row>
    <row r="131" spans="1:8">
      <c r="A131" s="266"/>
      <c r="E131" s="239"/>
      <c r="F131" s="214"/>
      <c r="H131" s="216" t="e">
        <f>+VLOOKUP(A131,COMISIONES!$C$2:$C$33,1,0)</f>
        <v>#N/A</v>
      </c>
    </row>
    <row r="132" spans="1:8">
      <c r="A132" s="266"/>
      <c r="E132" s="239"/>
      <c r="F132" s="214"/>
      <c r="H132" s="216" t="e">
        <f>+VLOOKUP(A132,COMISIONES!$C$2:$C$33,1,0)</f>
        <v>#N/A</v>
      </c>
    </row>
    <row r="133" spans="1:8">
      <c r="A133" s="238"/>
      <c r="E133" s="239"/>
      <c r="F133" s="214"/>
      <c r="H133" s="216" t="e">
        <f>+VLOOKUP(A133,COMISIONES!$C$2:$C$33,1,0)</f>
        <v>#N/A</v>
      </c>
    </row>
    <row r="134" spans="1:8">
      <c r="A134" s="266"/>
      <c r="E134" s="239"/>
      <c r="F134" s="214"/>
      <c r="H134" s="216" t="e">
        <f>+VLOOKUP(A134,COMISIONES!$C$2:$C$33,1,0)</f>
        <v>#N/A</v>
      </c>
    </row>
    <row r="135" spans="1:8">
      <c r="A135" s="238"/>
      <c r="E135" s="239"/>
      <c r="F135" s="214"/>
      <c r="H135" s="216" t="e">
        <f>+VLOOKUP(A135,COMISIONES!$C$2:$C$33,1,0)</f>
        <v>#N/A</v>
      </c>
    </row>
    <row r="136" spans="1:8">
      <c r="A136" s="266"/>
      <c r="E136" s="239"/>
      <c r="F136" s="214"/>
      <c r="H136" s="216" t="e">
        <f>+VLOOKUP(A136,COMISIONES!$C$2:$C$33,1,0)</f>
        <v>#N/A</v>
      </c>
    </row>
    <row r="137" spans="1:8">
      <c r="A137" s="238"/>
      <c r="E137" s="239"/>
      <c r="F137" s="214"/>
      <c r="H137" s="216" t="e">
        <f>+VLOOKUP(A137,COMISIONES!$C$2:$C$33,1,0)</f>
        <v>#N/A</v>
      </c>
    </row>
  </sheetData>
  <autoFilter ref="A1:H137" xr:uid="{A8638480-56DE-4D22-AB09-CCA7748F3186}"/>
  <conditionalFormatting sqref="C1:D1">
    <cfRule type="duplicateValues" dxfId="17" priority="56"/>
    <cfRule type="duplicateValues" dxfId="16" priority="57"/>
  </conditionalFormatting>
  <conditionalFormatting sqref="E1">
    <cfRule type="duplicateValues" dxfId="15" priority="52"/>
  </conditionalFormatting>
  <conditionalFormatting sqref="E2:E38">
    <cfRule type="duplicateValues" dxfId="14" priority="8464"/>
  </conditionalFormatting>
  <conditionalFormatting sqref="E39:E114">
    <cfRule type="duplicateValues" dxfId="13" priority="4"/>
  </conditionalFormatting>
  <conditionalFormatting sqref="E115:E137">
    <cfRule type="duplicateValues" dxfId="12" priority="5670"/>
    <cfRule type="duplicateValues" dxfId="11" priority="5671"/>
    <cfRule type="duplicateValues" dxfId="10" priority="5672"/>
    <cfRule type="duplicateValues" dxfId="9" priority="567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W25"/>
  <sheetViews>
    <sheetView showGridLines="0" zoomScale="69" zoomScaleNormal="60" workbookViewId="0">
      <selection activeCell="A2" sqref="A2"/>
    </sheetView>
  </sheetViews>
  <sheetFormatPr baseColWidth="10" defaultColWidth="21.140625" defaultRowHeight="15"/>
  <cols>
    <col min="1" max="1" width="23.7109375" style="7" bestFit="1" customWidth="1"/>
    <col min="2" max="3" width="12.28515625" style="42" bestFit="1" customWidth="1"/>
    <col min="4" max="4" width="7.5703125" style="7" customWidth="1"/>
    <col min="5" max="5" width="21.28515625" style="7" bestFit="1" customWidth="1"/>
    <col min="6" max="6" width="23.28515625" style="34" bestFit="1" customWidth="1"/>
    <col min="7" max="7" width="18.140625" style="7" bestFit="1" customWidth="1"/>
    <col min="8" max="8" width="17" style="7" bestFit="1" customWidth="1"/>
    <col min="9" max="9" width="20.85546875" style="61" bestFit="1" customWidth="1"/>
    <col min="10" max="10" width="20.85546875" style="61" customWidth="1"/>
    <col min="11" max="11" width="8.42578125" style="7" bestFit="1" customWidth="1"/>
    <col min="12" max="12" width="29.140625" style="7" bestFit="1" customWidth="1"/>
    <col min="13" max="13" width="9.42578125" style="7" bestFit="1" customWidth="1"/>
    <col min="14" max="14" width="13.140625" style="7" bestFit="1" customWidth="1"/>
    <col min="15" max="15" width="23.42578125" style="7" bestFit="1" customWidth="1"/>
    <col min="16" max="16" width="9.7109375" style="7" bestFit="1" customWidth="1"/>
    <col min="17" max="17" width="15.5703125" style="7" bestFit="1" customWidth="1"/>
    <col min="18" max="18" width="37.140625" style="7" bestFit="1" customWidth="1"/>
    <col min="19" max="19" width="42" style="7" bestFit="1" customWidth="1"/>
    <col min="20" max="20" width="17" style="7" bestFit="1" customWidth="1"/>
    <col min="21" max="21" width="15.85546875" style="7" bestFit="1" customWidth="1"/>
    <col min="22" max="22" width="21.28515625" style="7" bestFit="1" customWidth="1"/>
    <col min="23" max="16384" width="21.140625" style="7"/>
  </cols>
  <sheetData>
    <row r="1" spans="1:23">
      <c r="A1" s="108" t="s">
        <v>96</v>
      </c>
      <c r="B1" s="109" t="s">
        <v>102</v>
      </c>
      <c r="C1" s="109" t="s">
        <v>101</v>
      </c>
      <c r="D1" s="108" t="s">
        <v>82</v>
      </c>
      <c r="E1" s="108" t="s">
        <v>99</v>
      </c>
      <c r="F1" s="110" t="s">
        <v>83</v>
      </c>
      <c r="G1" s="108" t="s">
        <v>84</v>
      </c>
      <c r="H1" s="108" t="s">
        <v>85</v>
      </c>
      <c r="I1" s="111" t="s">
        <v>86</v>
      </c>
      <c r="J1" s="111" t="s">
        <v>87</v>
      </c>
      <c r="K1" s="108" t="s">
        <v>88</v>
      </c>
      <c r="L1" s="108" t="s">
        <v>89</v>
      </c>
      <c r="M1" s="108" t="s">
        <v>90</v>
      </c>
      <c r="N1" s="108" t="s">
        <v>91</v>
      </c>
      <c r="O1" s="108" t="s">
        <v>92</v>
      </c>
      <c r="P1" s="108" t="s">
        <v>93</v>
      </c>
      <c r="Q1" s="108" t="s">
        <v>94</v>
      </c>
      <c r="R1" s="108" t="s">
        <v>0</v>
      </c>
      <c r="S1" s="108" t="s">
        <v>81</v>
      </c>
      <c r="T1" s="108" t="s">
        <v>95</v>
      </c>
      <c r="U1" s="108" t="s">
        <v>97</v>
      </c>
      <c r="V1" s="108" t="s">
        <v>100</v>
      </c>
      <c r="W1" s="7" t="s">
        <v>244</v>
      </c>
    </row>
    <row r="2" spans="1:23">
      <c r="A2">
        <v>20000033</v>
      </c>
      <c r="B2" s="241">
        <v>420</v>
      </c>
      <c r="C2" s="241">
        <v>60</v>
      </c>
      <c r="D2" s="117" t="s">
        <v>2984</v>
      </c>
      <c r="E2" s="117" t="s">
        <v>149</v>
      </c>
      <c r="F2" s="138">
        <v>45093</v>
      </c>
      <c r="G2" s="117" t="s">
        <v>2985</v>
      </c>
      <c r="H2" s="117" t="s">
        <v>2986</v>
      </c>
      <c r="I2" s="117" t="s">
        <v>2987</v>
      </c>
      <c r="J2" s="117"/>
      <c r="K2" s="117" t="s">
        <v>45</v>
      </c>
      <c r="L2" s="117" t="s">
        <v>1</v>
      </c>
      <c r="M2">
        <v>2.0099999999999998</v>
      </c>
      <c r="N2"/>
      <c r="O2" s="117" t="s">
        <v>105</v>
      </c>
      <c r="P2">
        <v>7</v>
      </c>
      <c r="Q2" s="117" t="s">
        <v>255</v>
      </c>
      <c r="R2" s="117" t="s">
        <v>4</v>
      </c>
      <c r="S2" s="117" t="s">
        <v>51</v>
      </c>
      <c r="T2" s="117" t="s">
        <v>40</v>
      </c>
      <c r="U2" s="117" t="s">
        <v>78</v>
      </c>
      <c r="V2" s="117" t="s">
        <v>109</v>
      </c>
      <c r="W2">
        <f>+VLOOKUP(A2,COMISIONES!$C$2:$C$33,1,0)</f>
        <v>20000033</v>
      </c>
    </row>
    <row r="3" spans="1:23">
      <c r="A3">
        <v>20001487</v>
      </c>
      <c r="B3" s="241">
        <v>325</v>
      </c>
      <c r="C3" s="241">
        <v>65</v>
      </c>
      <c r="D3" s="117" t="s">
        <v>2984</v>
      </c>
      <c r="E3" s="117" t="s">
        <v>149</v>
      </c>
      <c r="F3" s="138">
        <v>45092</v>
      </c>
      <c r="G3" s="117" t="s">
        <v>2988</v>
      </c>
      <c r="H3" s="117" t="s">
        <v>2989</v>
      </c>
      <c r="I3" s="117" t="s">
        <v>2990</v>
      </c>
      <c r="J3" s="117"/>
      <c r="K3" s="117" t="s">
        <v>44</v>
      </c>
      <c r="L3" s="117" t="s">
        <v>1</v>
      </c>
      <c r="M3">
        <v>2.02</v>
      </c>
      <c r="N3"/>
      <c r="O3" s="117" t="s">
        <v>105</v>
      </c>
      <c r="P3">
        <v>5</v>
      </c>
      <c r="Q3" s="117" t="s">
        <v>115</v>
      </c>
      <c r="R3" s="117" t="s">
        <v>6</v>
      </c>
      <c r="S3" s="117" t="s">
        <v>51</v>
      </c>
      <c r="T3" s="117" t="s">
        <v>40</v>
      </c>
      <c r="U3" s="117" t="s">
        <v>78</v>
      </c>
      <c r="V3" s="117" t="s">
        <v>109</v>
      </c>
      <c r="W3">
        <f>+VLOOKUP(A3,COMISIONES!$C$2:$C$33,1,0)</f>
        <v>20001487</v>
      </c>
    </row>
    <row r="4" spans="1:23">
      <c r="A4">
        <v>20001487</v>
      </c>
      <c r="B4" s="241">
        <v>325</v>
      </c>
      <c r="C4" s="241">
        <v>65</v>
      </c>
      <c r="D4" s="117" t="s">
        <v>2984</v>
      </c>
      <c r="E4" s="117" t="s">
        <v>149</v>
      </c>
      <c r="F4" s="138">
        <v>45093</v>
      </c>
      <c r="G4" s="117" t="s">
        <v>2991</v>
      </c>
      <c r="H4" s="117" t="s">
        <v>2992</v>
      </c>
      <c r="I4" s="117" t="s">
        <v>2993</v>
      </c>
      <c r="J4" s="117"/>
      <c r="K4" s="117" t="s">
        <v>44</v>
      </c>
      <c r="L4" s="117" t="s">
        <v>1</v>
      </c>
      <c r="M4">
        <v>1.02</v>
      </c>
      <c r="N4"/>
      <c r="O4" s="117" t="s">
        <v>105</v>
      </c>
      <c r="P4">
        <v>5</v>
      </c>
      <c r="Q4" s="117" t="s">
        <v>115</v>
      </c>
      <c r="R4" s="117" t="s">
        <v>6</v>
      </c>
      <c r="S4" s="117" t="s">
        <v>51</v>
      </c>
      <c r="T4" s="117" t="s">
        <v>40</v>
      </c>
      <c r="U4" s="117" t="s">
        <v>78</v>
      </c>
      <c r="V4" s="117" t="s">
        <v>109</v>
      </c>
      <c r="W4">
        <f>+VLOOKUP(A4,COMISIONES!$C$2:$C$33,1,0)</f>
        <v>20001487</v>
      </c>
    </row>
    <row r="5" spans="1:23">
      <c r="A5">
        <v>20001487</v>
      </c>
      <c r="B5" s="241">
        <v>420</v>
      </c>
      <c r="C5" s="241">
        <v>60</v>
      </c>
      <c r="D5" s="117" t="s">
        <v>818</v>
      </c>
      <c r="E5" s="117" t="s">
        <v>149</v>
      </c>
      <c r="F5" s="138">
        <v>45049</v>
      </c>
      <c r="G5" s="117" t="s">
        <v>2994</v>
      </c>
      <c r="H5" s="117" t="s">
        <v>2995</v>
      </c>
      <c r="I5" s="117" t="s">
        <v>2996</v>
      </c>
      <c r="J5" s="117"/>
      <c r="K5" s="117" t="s">
        <v>45</v>
      </c>
      <c r="L5" s="117" t="s">
        <v>1</v>
      </c>
      <c r="M5"/>
      <c r="N5"/>
      <c r="O5" s="117" t="s">
        <v>105</v>
      </c>
      <c r="P5">
        <v>7</v>
      </c>
      <c r="Q5" s="117" t="s">
        <v>115</v>
      </c>
      <c r="R5" s="117" t="s">
        <v>6</v>
      </c>
      <c r="S5" s="117" t="s">
        <v>51</v>
      </c>
      <c r="T5" s="117" t="s">
        <v>40</v>
      </c>
      <c r="U5" s="117" t="s">
        <v>78</v>
      </c>
      <c r="V5" s="117" t="s">
        <v>109</v>
      </c>
      <c r="W5">
        <f>+VLOOKUP(A5,COMISIONES!$C$2:$C$33,1,0)</f>
        <v>20001487</v>
      </c>
    </row>
    <row r="6" spans="1:23">
      <c r="A6">
        <v>20004161</v>
      </c>
      <c r="B6" s="241">
        <v>325</v>
      </c>
      <c r="C6" s="241">
        <v>65</v>
      </c>
      <c r="D6" s="117" t="s">
        <v>2984</v>
      </c>
      <c r="E6" s="117" t="s">
        <v>149</v>
      </c>
      <c r="F6" s="138">
        <v>45096</v>
      </c>
      <c r="G6" s="117" t="s">
        <v>2997</v>
      </c>
      <c r="H6" s="117" t="s">
        <v>315</v>
      </c>
      <c r="I6" s="117" t="s">
        <v>2998</v>
      </c>
      <c r="J6" s="117"/>
      <c r="K6" s="117" t="s">
        <v>44</v>
      </c>
      <c r="L6" s="117" t="s">
        <v>1</v>
      </c>
      <c r="M6"/>
      <c r="N6"/>
      <c r="O6" s="117" t="s">
        <v>105</v>
      </c>
      <c r="P6">
        <v>5</v>
      </c>
      <c r="Q6" s="117" t="s">
        <v>121</v>
      </c>
      <c r="R6" s="117" t="s">
        <v>3</v>
      </c>
      <c r="S6" s="117" t="s">
        <v>49</v>
      </c>
      <c r="T6" s="117" t="s">
        <v>40</v>
      </c>
      <c r="U6" s="117" t="s">
        <v>78</v>
      </c>
      <c r="V6" s="117" t="s">
        <v>109</v>
      </c>
      <c r="W6">
        <f>+VLOOKUP(A6,COMISIONES!$C$2:$C$33,1,0)</f>
        <v>20004161</v>
      </c>
    </row>
    <row r="7" spans="1:23">
      <c r="A7">
        <v>20004235</v>
      </c>
      <c r="B7" s="241">
        <v>90</v>
      </c>
      <c r="C7" s="241">
        <v>18</v>
      </c>
      <c r="D7" s="117" t="s">
        <v>2984</v>
      </c>
      <c r="E7" s="117" t="s">
        <v>149</v>
      </c>
      <c r="F7" s="138">
        <v>45103</v>
      </c>
      <c r="G7" s="117" t="s">
        <v>2999</v>
      </c>
      <c r="H7" s="117" t="s">
        <v>3000</v>
      </c>
      <c r="I7" s="117" t="s">
        <v>3001</v>
      </c>
      <c r="J7" s="117"/>
      <c r="K7" s="117" t="s">
        <v>44</v>
      </c>
      <c r="L7" s="117" t="s">
        <v>1</v>
      </c>
      <c r="M7">
        <v>1.02</v>
      </c>
      <c r="N7"/>
      <c r="O7" s="117" t="s">
        <v>105</v>
      </c>
      <c r="P7">
        <v>5</v>
      </c>
      <c r="Q7" s="117" t="s">
        <v>126</v>
      </c>
      <c r="R7" s="117" t="s">
        <v>11</v>
      </c>
      <c r="S7" s="117" t="s">
        <v>49</v>
      </c>
      <c r="T7" s="117" t="s">
        <v>40</v>
      </c>
      <c r="U7" s="117" t="s">
        <v>78</v>
      </c>
      <c r="V7" s="117" t="s">
        <v>109</v>
      </c>
      <c r="W7">
        <f>+VLOOKUP(A7,COMISIONES!$C$2:$C$33,1,0)</f>
        <v>20004235</v>
      </c>
    </row>
    <row r="8" spans="1:23">
      <c r="A8">
        <v>20004566</v>
      </c>
      <c r="B8" s="241">
        <v>325</v>
      </c>
      <c r="C8" s="241">
        <v>65</v>
      </c>
      <c r="D8" s="117" t="s">
        <v>2984</v>
      </c>
      <c r="E8" s="117" t="s">
        <v>149</v>
      </c>
      <c r="F8" s="138">
        <v>45083</v>
      </c>
      <c r="G8" s="117" t="s">
        <v>3002</v>
      </c>
      <c r="H8" s="117" t="s">
        <v>3003</v>
      </c>
      <c r="I8" s="117" t="s">
        <v>3004</v>
      </c>
      <c r="J8" s="117"/>
      <c r="K8" s="117" t="s">
        <v>44</v>
      </c>
      <c r="L8" s="117" t="s">
        <v>1</v>
      </c>
      <c r="M8">
        <v>1.02</v>
      </c>
      <c r="N8"/>
      <c r="O8" s="117" t="s">
        <v>105</v>
      </c>
      <c r="P8">
        <v>5</v>
      </c>
      <c r="Q8" s="117" t="s">
        <v>122</v>
      </c>
      <c r="R8" s="117" t="s">
        <v>5</v>
      </c>
      <c r="S8" s="117" t="s">
        <v>50</v>
      </c>
      <c r="T8" s="117" t="s">
        <v>40</v>
      </c>
      <c r="U8" s="117" t="s">
        <v>78</v>
      </c>
      <c r="V8" s="117" t="s">
        <v>109</v>
      </c>
      <c r="W8">
        <f>+VLOOKUP(A8,COMISIONES!$C$2:$C$33,1,0)</f>
        <v>20004566</v>
      </c>
    </row>
    <row r="9" spans="1:23">
      <c r="A9">
        <v>20006162</v>
      </c>
      <c r="B9" s="241">
        <v>120</v>
      </c>
      <c r="C9" s="241">
        <v>60</v>
      </c>
      <c r="D9" s="117" t="s">
        <v>818</v>
      </c>
      <c r="E9" s="117" t="s">
        <v>149</v>
      </c>
      <c r="F9" s="138">
        <v>45072</v>
      </c>
      <c r="G9" s="117" t="s">
        <v>3005</v>
      </c>
      <c r="H9" s="117" t="s">
        <v>3006</v>
      </c>
      <c r="I9" s="117" t="s">
        <v>3007</v>
      </c>
      <c r="J9" s="117"/>
      <c r="K9" s="117" t="s">
        <v>45</v>
      </c>
      <c r="L9" s="117" t="s">
        <v>2</v>
      </c>
      <c r="M9"/>
      <c r="N9"/>
      <c r="O9" s="117" t="s">
        <v>105</v>
      </c>
      <c r="P9">
        <v>2</v>
      </c>
      <c r="Q9" s="117" t="s">
        <v>161</v>
      </c>
      <c r="R9" s="117" t="s">
        <v>158</v>
      </c>
      <c r="S9" s="117" t="s">
        <v>50</v>
      </c>
      <c r="T9" s="117" t="s">
        <v>40</v>
      </c>
      <c r="U9" s="117" t="s">
        <v>78</v>
      </c>
      <c r="V9" s="117" t="s">
        <v>109</v>
      </c>
      <c r="W9">
        <f>+VLOOKUP(A9,COMISIONES!$C$2:$C$33,1,0)</f>
        <v>20006162</v>
      </c>
    </row>
    <row r="10" spans="1:23">
      <c r="A10">
        <v>20006162</v>
      </c>
      <c r="B10" s="241">
        <v>195</v>
      </c>
      <c r="C10" s="241">
        <v>65</v>
      </c>
      <c r="D10" s="117" t="s">
        <v>2984</v>
      </c>
      <c r="E10" s="117" t="s">
        <v>149</v>
      </c>
      <c r="F10" s="138">
        <v>45094</v>
      </c>
      <c r="G10" s="117" t="s">
        <v>3008</v>
      </c>
      <c r="H10" s="117" t="s">
        <v>3009</v>
      </c>
      <c r="I10" s="117" t="s">
        <v>3010</v>
      </c>
      <c r="J10" s="117"/>
      <c r="K10" s="117" t="s">
        <v>43</v>
      </c>
      <c r="L10" s="117" t="s">
        <v>1</v>
      </c>
      <c r="M10">
        <v>1.02</v>
      </c>
      <c r="N10"/>
      <c r="O10" s="117" t="s">
        <v>105</v>
      </c>
      <c r="P10">
        <v>3</v>
      </c>
      <c r="Q10" s="117" t="s">
        <v>161</v>
      </c>
      <c r="R10" s="117" t="s">
        <v>158</v>
      </c>
      <c r="S10" s="117" t="s">
        <v>50</v>
      </c>
      <c r="T10" s="117" t="s">
        <v>40</v>
      </c>
      <c r="U10" s="117" t="s">
        <v>78</v>
      </c>
      <c r="V10" s="117" t="s">
        <v>109</v>
      </c>
      <c r="W10">
        <f>+VLOOKUP(A10,COMISIONES!$C$2:$C$33,1,0)</f>
        <v>20006162</v>
      </c>
    </row>
    <row r="11" spans="1:23">
      <c r="A11">
        <v>20007726</v>
      </c>
      <c r="B11" s="241">
        <v>200</v>
      </c>
      <c r="C11" s="241">
        <v>40</v>
      </c>
      <c r="D11" s="117" t="s">
        <v>2984</v>
      </c>
      <c r="E11" s="117" t="s">
        <v>819</v>
      </c>
      <c r="F11" s="138">
        <v>45079</v>
      </c>
      <c r="G11" s="117" t="s">
        <v>3011</v>
      </c>
      <c r="H11" s="117" t="s">
        <v>3012</v>
      </c>
      <c r="I11" s="117" t="s">
        <v>3013</v>
      </c>
      <c r="J11" s="117" t="s">
        <v>3014</v>
      </c>
      <c r="K11" s="117" t="s">
        <v>44</v>
      </c>
      <c r="L11" s="117" t="s">
        <v>1</v>
      </c>
      <c r="M11">
        <v>2.02</v>
      </c>
      <c r="N11"/>
      <c r="O11" s="117" t="s">
        <v>105</v>
      </c>
      <c r="P11">
        <v>5</v>
      </c>
      <c r="Q11" s="117" t="s">
        <v>113</v>
      </c>
      <c r="R11" s="117" t="s">
        <v>12</v>
      </c>
      <c r="S11" s="117" t="s">
        <v>49</v>
      </c>
      <c r="T11" s="117" t="s">
        <v>40</v>
      </c>
      <c r="U11" s="117" t="s">
        <v>78</v>
      </c>
      <c r="V11" s="117" t="s">
        <v>109</v>
      </c>
      <c r="W11">
        <f>+VLOOKUP(A11,COMISIONES!$C$2:$C$33,1,0)</f>
        <v>20007726</v>
      </c>
    </row>
    <row r="12" spans="1:23">
      <c r="A12">
        <v>20008625</v>
      </c>
      <c r="B12" s="241">
        <v>280</v>
      </c>
      <c r="C12" s="241">
        <v>40</v>
      </c>
      <c r="D12" s="117" t="s">
        <v>2984</v>
      </c>
      <c r="E12" s="117" t="s">
        <v>149</v>
      </c>
      <c r="F12" s="138">
        <v>45090</v>
      </c>
      <c r="G12" s="117" t="s">
        <v>3015</v>
      </c>
      <c r="H12" s="117" t="s">
        <v>3016</v>
      </c>
      <c r="I12" s="117" t="s">
        <v>3017</v>
      </c>
      <c r="J12" s="117"/>
      <c r="K12" s="117" t="s">
        <v>45</v>
      </c>
      <c r="L12" s="117" t="s">
        <v>1</v>
      </c>
      <c r="M12"/>
      <c r="N12"/>
      <c r="O12" s="117" t="s">
        <v>105</v>
      </c>
      <c r="P12">
        <v>7</v>
      </c>
      <c r="Q12" s="117" t="s">
        <v>114</v>
      </c>
      <c r="R12" s="117" t="s">
        <v>19</v>
      </c>
      <c r="S12" s="117" t="s">
        <v>49</v>
      </c>
      <c r="T12" s="117" t="s">
        <v>40</v>
      </c>
      <c r="U12" s="117" t="s">
        <v>78</v>
      </c>
      <c r="V12" s="117" t="s">
        <v>109</v>
      </c>
      <c r="W12">
        <f>+VLOOKUP(A12,COMISIONES!$C$2:$C$33,1,0)</f>
        <v>20008625</v>
      </c>
    </row>
    <row r="13" spans="1:23">
      <c r="A13">
        <v>20008700</v>
      </c>
      <c r="B13" s="241">
        <v>60</v>
      </c>
      <c r="C13" s="241">
        <v>60</v>
      </c>
      <c r="D13" s="117" t="s">
        <v>2984</v>
      </c>
      <c r="E13" s="117" t="s">
        <v>149</v>
      </c>
      <c r="F13" s="138">
        <v>45095</v>
      </c>
      <c r="G13" s="117" t="s">
        <v>3018</v>
      </c>
      <c r="H13" s="117" t="s">
        <v>3019</v>
      </c>
      <c r="I13" s="117" t="s">
        <v>3020</v>
      </c>
      <c r="J13" s="117"/>
      <c r="K13" s="117" t="s">
        <v>43</v>
      </c>
      <c r="L13" s="117" t="s">
        <v>2</v>
      </c>
      <c r="M13">
        <v>1.02</v>
      </c>
      <c r="N13"/>
      <c r="O13" s="117" t="s">
        <v>105</v>
      </c>
      <c r="P13">
        <v>1</v>
      </c>
      <c r="Q13" s="117" t="s">
        <v>259</v>
      </c>
      <c r="R13" s="117" t="s">
        <v>20</v>
      </c>
      <c r="S13" s="117" t="s">
        <v>50</v>
      </c>
      <c r="T13" s="117" t="s">
        <v>40</v>
      </c>
      <c r="U13" s="117" t="s">
        <v>78</v>
      </c>
      <c r="V13" s="117" t="s">
        <v>109</v>
      </c>
      <c r="W13">
        <f>+VLOOKUP(A13,COMISIONES!$C$2:$C$33,1,0)</f>
        <v>20008700</v>
      </c>
    </row>
    <row r="14" spans="1:23">
      <c r="A14">
        <v>20009592</v>
      </c>
      <c r="B14" s="241">
        <v>60</v>
      </c>
      <c r="C14" s="241">
        <v>60</v>
      </c>
      <c r="D14" s="117" t="s">
        <v>818</v>
      </c>
      <c r="E14" s="117" t="s">
        <v>149</v>
      </c>
      <c r="F14" s="138">
        <v>45050</v>
      </c>
      <c r="G14" s="117" t="s">
        <v>3021</v>
      </c>
      <c r="H14" s="117" t="s">
        <v>3022</v>
      </c>
      <c r="I14" s="117" t="s">
        <v>3023</v>
      </c>
      <c r="J14" s="117"/>
      <c r="K14" s="117" t="s">
        <v>44</v>
      </c>
      <c r="L14" s="117" t="s">
        <v>2</v>
      </c>
      <c r="M14"/>
      <c r="N14"/>
      <c r="O14" s="117" t="s">
        <v>105</v>
      </c>
      <c r="P14">
        <v>1</v>
      </c>
      <c r="Q14" s="117" t="s">
        <v>270</v>
      </c>
      <c r="R14" s="117" t="s">
        <v>271</v>
      </c>
      <c r="S14" s="117" t="s">
        <v>52</v>
      </c>
      <c r="T14" s="117" t="s">
        <v>40</v>
      </c>
      <c r="U14" s="117" t="s">
        <v>78</v>
      </c>
      <c r="V14" s="117" t="s">
        <v>109</v>
      </c>
      <c r="W14">
        <f>+VLOOKUP(A14,COMISIONES!$C$2:$C$33,1,0)</f>
        <v>20009592</v>
      </c>
    </row>
    <row r="15" spans="1:23">
      <c r="A15">
        <v>20009688</v>
      </c>
      <c r="B15" s="241">
        <v>80</v>
      </c>
      <c r="C15" s="241">
        <v>40</v>
      </c>
      <c r="D15" s="117" t="s">
        <v>818</v>
      </c>
      <c r="E15" s="117" t="s">
        <v>149</v>
      </c>
      <c r="F15" s="138">
        <v>45074</v>
      </c>
      <c r="G15" s="117" t="s">
        <v>3024</v>
      </c>
      <c r="H15" s="117" t="s">
        <v>3025</v>
      </c>
      <c r="I15" s="117" t="s">
        <v>3026</v>
      </c>
      <c r="J15" s="117"/>
      <c r="K15" s="117" t="s">
        <v>45</v>
      </c>
      <c r="L15" s="117" t="s">
        <v>2</v>
      </c>
      <c r="M15"/>
      <c r="N15"/>
      <c r="O15" s="117" t="s">
        <v>105</v>
      </c>
      <c r="P15">
        <v>2</v>
      </c>
      <c r="Q15" s="117" t="s">
        <v>272</v>
      </c>
      <c r="R15" s="117" t="s">
        <v>275</v>
      </c>
      <c r="S15" s="117" t="s">
        <v>52</v>
      </c>
      <c r="T15" s="117" t="s">
        <v>40</v>
      </c>
      <c r="U15" s="117"/>
      <c r="V15" s="117" t="s">
        <v>109</v>
      </c>
      <c r="W15">
        <f>+VLOOKUP(A15,COMISIONES!$C$2:$C$33,1,0)</f>
        <v>20009688</v>
      </c>
    </row>
    <row r="16" spans="1:23">
      <c r="A16">
        <v>20009690</v>
      </c>
      <c r="B16" s="241">
        <v>65</v>
      </c>
      <c r="C16" s="241">
        <v>65</v>
      </c>
      <c r="D16" s="117" t="s">
        <v>818</v>
      </c>
      <c r="E16" s="117" t="s">
        <v>277</v>
      </c>
      <c r="F16" s="138">
        <v>45070</v>
      </c>
      <c r="G16" s="117" t="s">
        <v>3027</v>
      </c>
      <c r="H16" s="117" t="s">
        <v>3028</v>
      </c>
      <c r="I16" s="117" t="s">
        <v>3029</v>
      </c>
      <c r="J16" s="117"/>
      <c r="K16" s="117" t="s">
        <v>43</v>
      </c>
      <c r="L16" s="117" t="s">
        <v>2</v>
      </c>
      <c r="M16"/>
      <c r="N16"/>
      <c r="O16" s="117" t="s">
        <v>105</v>
      </c>
      <c r="P16">
        <v>1</v>
      </c>
      <c r="Q16" s="117" t="s">
        <v>159</v>
      </c>
      <c r="R16" s="117" t="s">
        <v>227</v>
      </c>
      <c r="S16" s="117" t="s">
        <v>49</v>
      </c>
      <c r="T16" s="117" t="s">
        <v>40</v>
      </c>
      <c r="U16" s="117" t="s">
        <v>78</v>
      </c>
      <c r="V16" s="117" t="s">
        <v>109</v>
      </c>
      <c r="W16">
        <f>+VLOOKUP(A16,COMISIONES!$C$2:$C$33,1,0)</f>
        <v>20009690</v>
      </c>
    </row>
    <row r="17" spans="1:23">
      <c r="A17">
        <v>20009690</v>
      </c>
      <c r="B17" s="241">
        <v>130</v>
      </c>
      <c r="C17" s="241">
        <v>65</v>
      </c>
      <c r="D17" s="117" t="s">
        <v>2984</v>
      </c>
      <c r="E17" s="117" t="s">
        <v>277</v>
      </c>
      <c r="F17" s="138">
        <v>45103</v>
      </c>
      <c r="G17" s="117" t="s">
        <v>3030</v>
      </c>
      <c r="H17" s="117" t="s">
        <v>3031</v>
      </c>
      <c r="I17" s="117" t="s">
        <v>3032</v>
      </c>
      <c r="J17" s="117"/>
      <c r="K17" s="117" t="s">
        <v>45</v>
      </c>
      <c r="L17" s="117" t="s">
        <v>2</v>
      </c>
      <c r="M17">
        <v>2.0099999999999998</v>
      </c>
      <c r="N17"/>
      <c r="O17" s="117" t="s">
        <v>242</v>
      </c>
      <c r="P17">
        <v>2</v>
      </c>
      <c r="Q17" s="117" t="s">
        <v>159</v>
      </c>
      <c r="R17" s="117" t="s">
        <v>227</v>
      </c>
      <c r="S17" s="117" t="s">
        <v>49</v>
      </c>
      <c r="T17" s="117" t="s">
        <v>40</v>
      </c>
      <c r="U17" s="117" t="s">
        <v>78</v>
      </c>
      <c r="V17" s="117" t="s">
        <v>109</v>
      </c>
      <c r="W17">
        <f>+VLOOKUP(A17,COMISIONES!$C$2:$C$33,1,0)</f>
        <v>20009690</v>
      </c>
    </row>
    <row r="18" spans="1:23">
      <c r="A18">
        <v>20009690</v>
      </c>
      <c r="B18" s="241">
        <v>455</v>
      </c>
      <c r="C18" s="241">
        <v>65</v>
      </c>
      <c r="D18" s="117" t="s">
        <v>2984</v>
      </c>
      <c r="E18" s="117" t="s">
        <v>277</v>
      </c>
      <c r="F18" s="138">
        <v>45103</v>
      </c>
      <c r="G18" s="117" t="s">
        <v>3033</v>
      </c>
      <c r="H18" s="117" t="s">
        <v>3031</v>
      </c>
      <c r="I18" s="117" t="s">
        <v>3034</v>
      </c>
      <c r="J18" s="117"/>
      <c r="K18" s="117" t="s">
        <v>45</v>
      </c>
      <c r="L18" s="117" t="s">
        <v>1</v>
      </c>
      <c r="M18">
        <v>2.0099999999999998</v>
      </c>
      <c r="N18"/>
      <c r="O18" s="117" t="s">
        <v>105</v>
      </c>
      <c r="P18">
        <v>7</v>
      </c>
      <c r="Q18" s="117" t="s">
        <v>159</v>
      </c>
      <c r="R18" s="117" t="s">
        <v>227</v>
      </c>
      <c r="S18" s="117" t="s">
        <v>49</v>
      </c>
      <c r="T18" s="117" t="s">
        <v>40</v>
      </c>
      <c r="U18" s="117" t="s">
        <v>78</v>
      </c>
      <c r="V18" s="117" t="s">
        <v>109</v>
      </c>
      <c r="W18">
        <f>+VLOOKUP(A18,COMISIONES!$C$2:$C$33,1,0)</f>
        <v>20009690</v>
      </c>
    </row>
    <row r="19" spans="1:23">
      <c r="A19">
        <v>20010086</v>
      </c>
      <c r="B19" s="241">
        <v>126</v>
      </c>
      <c r="C19" s="241">
        <v>18</v>
      </c>
      <c r="D19" s="117" t="s">
        <v>2984</v>
      </c>
      <c r="E19" s="117" t="s">
        <v>149</v>
      </c>
      <c r="F19" s="138">
        <v>45078</v>
      </c>
      <c r="G19" s="117" t="s">
        <v>3035</v>
      </c>
      <c r="H19" s="117" t="s">
        <v>3036</v>
      </c>
      <c r="I19" s="117" t="s">
        <v>3037</v>
      </c>
      <c r="J19" s="117"/>
      <c r="K19" s="117" t="s">
        <v>45</v>
      </c>
      <c r="L19" s="117" t="s">
        <v>1</v>
      </c>
      <c r="M19">
        <v>1.02</v>
      </c>
      <c r="N19"/>
      <c r="O19" s="117" t="s">
        <v>105</v>
      </c>
      <c r="P19">
        <v>7</v>
      </c>
      <c r="Q19" s="117" t="s">
        <v>3038</v>
      </c>
      <c r="R19" s="117" t="s">
        <v>3039</v>
      </c>
      <c r="S19" s="117" t="s">
        <v>51</v>
      </c>
      <c r="T19" s="117" t="s">
        <v>40</v>
      </c>
      <c r="U19" s="117" t="s">
        <v>78</v>
      </c>
      <c r="V19" s="117" t="s">
        <v>109</v>
      </c>
      <c r="W19" t="s">
        <v>3040</v>
      </c>
    </row>
    <row r="20" spans="1:23">
      <c r="A20"/>
      <c r="B20" s="241"/>
      <c r="C20" s="241"/>
      <c r="D20" s="117"/>
      <c r="E20" s="117"/>
      <c r="F20" s="242"/>
      <c r="G20" s="117"/>
      <c r="H20" s="117"/>
      <c r="I20" s="117"/>
      <c r="J20" s="117"/>
      <c r="K20" s="117"/>
      <c r="L20" s="117"/>
      <c r="M20"/>
      <c r="N20"/>
      <c r="O20" s="117"/>
      <c r="P20"/>
      <c r="Q20" s="117"/>
      <c r="R20" s="117"/>
      <c r="S20" s="117"/>
      <c r="T20" s="117"/>
      <c r="U20" s="117"/>
      <c r="V20" s="117"/>
      <c r="W20"/>
    </row>
    <row r="21" spans="1:23">
      <c r="A21"/>
      <c r="B21" s="241"/>
      <c r="C21" s="241"/>
      <c r="D21" s="117"/>
      <c r="E21" s="117"/>
      <c r="F21" s="242"/>
      <c r="G21" s="117"/>
      <c r="H21" s="117"/>
      <c r="I21" s="117"/>
      <c r="J21" s="117"/>
      <c r="K21" s="117"/>
      <c r="L21" s="117"/>
      <c r="M21"/>
      <c r="N21"/>
      <c r="O21" s="117"/>
      <c r="P21"/>
      <c r="Q21" s="117"/>
      <c r="R21" s="117"/>
      <c r="S21" s="117"/>
      <c r="T21" s="117"/>
      <c r="U21" s="117"/>
      <c r="V21" s="117"/>
      <c r="W21"/>
    </row>
    <row r="22" spans="1:23">
      <c r="A22"/>
      <c r="B22" s="241"/>
      <c r="C22" s="241"/>
      <c r="D22" s="117"/>
      <c r="E22" s="117"/>
      <c r="F22" s="242"/>
      <c r="G22" s="117"/>
      <c r="H22" s="117"/>
      <c r="I22" s="117"/>
      <c r="J22" s="117"/>
      <c r="K22" s="117"/>
      <c r="L22" s="117"/>
      <c r="M22"/>
      <c r="N22"/>
      <c r="O22" s="117"/>
      <c r="P22"/>
      <c r="Q22" s="117"/>
      <c r="R22" s="117"/>
      <c r="S22" s="117"/>
      <c r="T22" s="117"/>
      <c r="U22" s="117"/>
      <c r="V22" s="117"/>
      <c r="W22"/>
    </row>
    <row r="23" spans="1:23">
      <c r="A23"/>
      <c r="B23" s="241"/>
      <c r="C23" s="241"/>
      <c r="D23" s="117"/>
      <c r="E23" s="117"/>
      <c r="F23" s="242"/>
      <c r="G23" s="117"/>
      <c r="H23" s="117"/>
      <c r="I23" s="117"/>
      <c r="J23" s="117"/>
      <c r="K23" s="117"/>
      <c r="L23" s="117"/>
      <c r="M23"/>
      <c r="N23"/>
      <c r="O23" s="117"/>
      <c r="P23"/>
      <c r="Q23" s="117"/>
      <c r="R23" s="117"/>
      <c r="S23" s="117"/>
      <c r="T23" s="117"/>
      <c r="U23" s="117"/>
      <c r="V23" s="117"/>
      <c r="W23"/>
    </row>
    <row r="24" spans="1:23">
      <c r="A24"/>
      <c r="B24" s="241"/>
      <c r="C24" s="241"/>
      <c r="D24" s="117"/>
      <c r="E24" s="117"/>
      <c r="F24" s="242"/>
      <c r="G24" s="117"/>
      <c r="H24" s="117"/>
      <c r="I24" s="117"/>
      <c r="J24" s="117"/>
      <c r="K24" s="117"/>
      <c r="L24" s="117"/>
      <c r="M24"/>
      <c r="N24"/>
      <c r="O24" s="117"/>
      <c r="P24"/>
      <c r="Q24" s="117"/>
      <c r="R24" s="117"/>
      <c r="S24" s="117"/>
      <c r="T24" s="117"/>
      <c r="U24" s="117"/>
      <c r="V24" s="117"/>
      <c r="W24"/>
    </row>
    <row r="25" spans="1:23">
      <c r="A25"/>
      <c r="B25" s="241"/>
      <c r="C25" s="241"/>
      <c r="D25" s="117"/>
      <c r="E25" s="117"/>
      <c r="F25" s="242"/>
      <c r="G25" s="117"/>
      <c r="H25" s="117"/>
      <c r="I25" s="117"/>
      <c r="J25" s="117"/>
      <c r="K25" s="117"/>
      <c r="L25" s="117"/>
      <c r="M25"/>
      <c r="N25"/>
      <c r="O25" s="117"/>
      <c r="P25"/>
      <c r="Q25" s="117"/>
      <c r="R25" s="117"/>
      <c r="S25" s="117"/>
      <c r="T25" s="117"/>
      <c r="U25" s="117"/>
      <c r="V25" s="117"/>
      <c r="W25"/>
    </row>
  </sheetData>
  <conditionalFormatting sqref="H1">
    <cfRule type="duplicateValues" dxfId="8" priority="3"/>
    <cfRule type="duplicateValues" dxfId="7" priority="4"/>
    <cfRule type="duplicateValues" dxfId="6" priority="5"/>
  </conditionalFormatting>
  <conditionalFormatting sqref="I1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N9"/>
  <sheetViews>
    <sheetView showGridLines="0" workbookViewId="0">
      <selection activeCell="F10" sqref="F10"/>
    </sheetView>
  </sheetViews>
  <sheetFormatPr baseColWidth="10" defaultColWidth="10.85546875" defaultRowHeight="15"/>
  <cols>
    <col min="1" max="1" width="8.85546875" style="14" bestFit="1" customWidth="1"/>
    <col min="2" max="2" width="16.5703125" style="14" bestFit="1" customWidth="1"/>
    <col min="3" max="3" width="20.140625" style="14" bestFit="1" customWidth="1"/>
    <col min="4" max="4" width="10.28515625" style="14" bestFit="1" customWidth="1"/>
    <col min="5" max="5" width="9.42578125" style="14" bestFit="1" customWidth="1"/>
    <col min="6" max="6" width="18.85546875" style="14" bestFit="1" customWidth="1"/>
    <col min="7" max="7" width="13.5703125" style="14" bestFit="1" customWidth="1"/>
    <col min="8" max="8" width="11.85546875" style="47" bestFit="1" customWidth="1"/>
    <col min="9" max="9" width="16.5703125" style="47" bestFit="1" customWidth="1"/>
    <col min="10" max="10" width="8.5703125" style="14" bestFit="1" customWidth="1"/>
    <col min="11" max="11" width="40.5703125" style="14" bestFit="1" customWidth="1"/>
    <col min="12" max="12" width="12.28515625" style="14" bestFit="1" customWidth="1"/>
    <col min="13" max="13" width="15" style="14" bestFit="1" customWidth="1"/>
    <col min="14" max="16384" width="10.85546875" style="14"/>
  </cols>
  <sheetData>
    <row r="1" spans="1:14" ht="25.5">
      <c r="A1" s="118" t="s">
        <v>133</v>
      </c>
      <c r="B1" s="118" t="s">
        <v>150</v>
      </c>
      <c r="C1" s="118" t="s">
        <v>99</v>
      </c>
      <c r="D1" s="119" t="s">
        <v>151</v>
      </c>
      <c r="E1" s="119" t="s">
        <v>152</v>
      </c>
      <c r="F1" s="120" t="s">
        <v>153</v>
      </c>
      <c r="G1" s="120" t="s">
        <v>137</v>
      </c>
      <c r="H1" s="121" t="s">
        <v>86</v>
      </c>
      <c r="I1" s="122" t="s">
        <v>154</v>
      </c>
      <c r="J1" s="119" t="s">
        <v>155</v>
      </c>
      <c r="K1" s="123" t="s">
        <v>81</v>
      </c>
      <c r="L1" s="123" t="s">
        <v>60</v>
      </c>
      <c r="M1" s="123" t="s">
        <v>156</v>
      </c>
      <c r="N1" s="240" t="s">
        <v>244</v>
      </c>
    </row>
    <row r="2" spans="1:14">
      <c r="A2" s="139">
        <v>20004566</v>
      </c>
      <c r="B2" s="131">
        <v>60</v>
      </c>
      <c r="C2" s="131">
        <v>60</v>
      </c>
      <c r="D2" s="131">
        <v>60</v>
      </c>
      <c r="E2">
        <v>997232</v>
      </c>
      <c r="F2" s="117" t="s">
        <v>820</v>
      </c>
      <c r="G2" s="117" t="s">
        <v>3041</v>
      </c>
      <c r="H2" s="117" t="s">
        <v>3044</v>
      </c>
      <c r="I2" s="117"/>
      <c r="J2" s="117" t="s">
        <v>122</v>
      </c>
      <c r="K2" s="117" t="s">
        <v>50</v>
      </c>
      <c r="L2" s="117" t="s">
        <v>40</v>
      </c>
      <c r="M2" s="117" t="s">
        <v>3047</v>
      </c>
      <c r="N2" s="14">
        <f>+VLOOKUP(A2,COMISIONES!$C$2:$C$33,1,0)</f>
        <v>20004566</v>
      </c>
    </row>
    <row r="3" spans="1:14">
      <c r="A3" s="139">
        <v>20008711</v>
      </c>
      <c r="B3" s="131">
        <v>20</v>
      </c>
      <c r="C3" s="131">
        <v>20</v>
      </c>
      <c r="D3" s="131">
        <v>20</v>
      </c>
      <c r="E3">
        <v>349121</v>
      </c>
      <c r="F3" s="117" t="s">
        <v>820</v>
      </c>
      <c r="G3" s="117" t="s">
        <v>3042</v>
      </c>
      <c r="H3" s="117" t="s">
        <v>3045</v>
      </c>
      <c r="I3" s="117"/>
      <c r="J3" s="117" t="s">
        <v>120</v>
      </c>
      <c r="K3" s="117" t="s">
        <v>50</v>
      </c>
      <c r="L3" s="117" t="s">
        <v>40</v>
      </c>
      <c r="M3" s="117" t="s">
        <v>3048</v>
      </c>
      <c r="N3" s="14">
        <f>+VLOOKUP(A3,COMISIONES!$C$2:$C$33,1,0)</f>
        <v>20008711</v>
      </c>
    </row>
    <row r="4" spans="1:14">
      <c r="A4" s="139">
        <v>20009174</v>
      </c>
      <c r="B4" s="131">
        <v>40</v>
      </c>
      <c r="C4" s="131">
        <v>40</v>
      </c>
      <c r="D4" s="131">
        <v>40</v>
      </c>
      <c r="E4">
        <v>198757</v>
      </c>
      <c r="F4" s="117" t="s">
        <v>820</v>
      </c>
      <c r="G4" s="117" t="s">
        <v>3043</v>
      </c>
      <c r="H4" s="117" t="s">
        <v>3046</v>
      </c>
      <c r="I4" s="117"/>
      <c r="J4" s="117" t="s">
        <v>119</v>
      </c>
      <c r="K4" s="117" t="s">
        <v>52</v>
      </c>
      <c r="L4" s="117" t="s">
        <v>40</v>
      </c>
      <c r="M4" s="117" t="s">
        <v>3049</v>
      </c>
      <c r="N4" s="14">
        <f>+VLOOKUP(A4,COMISIONES!$C$2:$C$33,1,0)</f>
        <v>20009174</v>
      </c>
    </row>
    <row r="5" spans="1:14">
      <c r="A5" s="139"/>
      <c r="B5" s="131"/>
      <c r="C5" s="117"/>
      <c r="D5" s="131"/>
      <c r="E5"/>
      <c r="F5" s="117"/>
      <c r="G5" s="117"/>
      <c r="H5" s="117"/>
      <c r="I5" s="117"/>
      <c r="J5" s="117"/>
      <c r="K5" s="117"/>
      <c r="L5" s="117"/>
      <c r="M5" s="117"/>
      <c r="N5" s="14" t="e">
        <f>+VLOOKUP(A5,COMISIONES!$C$2:$C$33,1,0)</f>
        <v>#N/A</v>
      </c>
    </row>
    <row r="6" spans="1:14">
      <c r="A6" s="139"/>
      <c r="B6" s="131"/>
      <c r="C6" s="117"/>
      <c r="D6" s="131"/>
      <c r="E6"/>
      <c r="F6" s="117"/>
      <c r="G6" s="117"/>
      <c r="H6" s="117"/>
      <c r="I6" s="117"/>
      <c r="J6" s="117"/>
      <c r="K6" s="117"/>
      <c r="L6" s="117"/>
      <c r="M6" s="117"/>
      <c r="N6" s="14" t="e">
        <f>+VLOOKUP(A6,COMISIONES!$C$2:$C$33,1,0)</f>
        <v>#N/A</v>
      </c>
    </row>
    <row r="7" spans="1:14">
      <c r="A7" s="139"/>
      <c r="B7" s="131"/>
      <c r="C7" s="117"/>
      <c r="D7" s="131"/>
      <c r="E7"/>
      <c r="F7" s="117"/>
      <c r="G7" s="117"/>
      <c r="H7" s="117"/>
      <c r="I7" s="117"/>
      <c r="J7" s="117"/>
      <c r="K7" s="117"/>
      <c r="L7" s="117"/>
      <c r="M7" s="117"/>
      <c r="N7" s="14" t="e">
        <f>+VLOOKUP(A7,COMISIONES!$C$2:$C$33,1,0)</f>
        <v>#N/A</v>
      </c>
    </row>
    <row r="8" spans="1:14">
      <c r="A8" s="139"/>
      <c r="B8" s="131"/>
      <c r="C8" s="117"/>
      <c r="D8" s="131"/>
      <c r="E8"/>
      <c r="F8" s="117"/>
      <c r="G8" s="117"/>
      <c r="H8" s="117"/>
      <c r="J8" s="117"/>
      <c r="K8" s="117"/>
      <c r="L8" s="117"/>
      <c r="M8" s="117"/>
      <c r="N8" s="14" t="e">
        <f>+VLOOKUP(A8,COMISIONES!$C$2:$C$33,1,0)</f>
        <v>#N/A</v>
      </c>
    </row>
    <row r="9" spans="1:14">
      <c r="A9" s="139"/>
      <c r="B9" s="131"/>
      <c r="C9" s="117"/>
      <c r="D9" s="131"/>
      <c r="E9"/>
      <c r="F9" s="117"/>
      <c r="G9" s="117"/>
      <c r="H9" s="117"/>
      <c r="J9" s="117"/>
      <c r="K9" s="117"/>
      <c r="L9" s="117"/>
      <c r="M9" s="117"/>
      <c r="N9" s="14" t="e">
        <f>+VLOOKUP(A9,COMISIONES!$C$2:$C$33,1,0)</f>
        <v>#N/A</v>
      </c>
    </row>
  </sheetData>
  <conditionalFormatting sqref="M2">
    <cfRule type="duplicateValues" dxfId="4" priority="5963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BE62-CC07-41BA-98D7-260FA36C7B4A}">
  <sheetPr>
    <tabColor rgb="FF00B050"/>
  </sheetPr>
  <dimension ref="A1:K55"/>
  <sheetViews>
    <sheetView workbookViewId="0">
      <selection activeCell="A2" sqref="A2"/>
    </sheetView>
  </sheetViews>
  <sheetFormatPr baseColWidth="10" defaultRowHeight="15"/>
  <cols>
    <col min="1" max="2" width="11.42578125" style="8"/>
    <col min="3" max="3" width="12.5703125" style="8" customWidth="1"/>
    <col min="4" max="11" width="11.42578125" style="8"/>
  </cols>
  <sheetData>
    <row r="1" spans="1:11" ht="30">
      <c r="A1" s="254" t="s">
        <v>133</v>
      </c>
      <c r="B1" s="254" t="s">
        <v>280</v>
      </c>
      <c r="C1" s="254" t="s">
        <v>281</v>
      </c>
      <c r="D1" s="254" t="s">
        <v>137</v>
      </c>
      <c r="E1" s="254" t="s">
        <v>138</v>
      </c>
      <c r="F1" s="254" t="s">
        <v>145</v>
      </c>
      <c r="G1" s="254" t="s">
        <v>141</v>
      </c>
      <c r="H1" s="254" t="s">
        <v>146</v>
      </c>
      <c r="I1" s="254" t="s">
        <v>147</v>
      </c>
      <c r="J1" s="254" t="s">
        <v>282</v>
      </c>
      <c r="K1" s="255" t="s">
        <v>244</v>
      </c>
    </row>
    <row r="2" spans="1:11">
      <c r="A2" s="116"/>
      <c r="B2" s="268"/>
      <c r="C2" s="269"/>
      <c r="D2" s="268"/>
      <c r="E2" s="270"/>
      <c r="F2" s="268"/>
      <c r="G2" s="268"/>
      <c r="H2" s="268"/>
      <c r="I2" s="268"/>
      <c r="J2" s="271"/>
      <c r="K2" s="8" t="e">
        <f>+VLOOKUP(A2,COMISIONES!$C$2:$C$33,1,0)</f>
        <v>#N/A</v>
      </c>
    </row>
    <row r="3" spans="1:11">
      <c r="K3" s="8" t="e">
        <f>+VLOOKUP(A3,COMISIONES!$C$2:$C$33,1,0)</f>
        <v>#N/A</v>
      </c>
    </row>
    <row r="4" spans="1:11">
      <c r="K4" s="8" t="e">
        <f>+VLOOKUP(A4,COMISIONES!$C$2:$C$33,1,0)</f>
        <v>#N/A</v>
      </c>
    </row>
    <row r="5" spans="1:11">
      <c r="K5" s="8" t="e">
        <f>+VLOOKUP(A5,COMISIONES!$C$2:$C$33,1,0)</f>
        <v>#N/A</v>
      </c>
    </row>
    <row r="6" spans="1:11">
      <c r="K6" s="8" t="e">
        <f>+VLOOKUP(A6,COMISIONES!$C$2:$C$33,1,0)</f>
        <v>#N/A</v>
      </c>
    </row>
    <row r="7" spans="1:11">
      <c r="K7" s="8" t="e">
        <f>+VLOOKUP(A7,COMISIONES!$C$2:$C$33,1,0)</f>
        <v>#N/A</v>
      </c>
    </row>
    <row r="8" spans="1:11">
      <c r="K8" s="8" t="e">
        <f>+VLOOKUP(A8,COMISIONES!$C$2:$C$33,1,0)</f>
        <v>#N/A</v>
      </c>
    </row>
    <row r="9" spans="1:11">
      <c r="K9" s="8" t="e">
        <f>+VLOOKUP(A9,COMISIONES!$C$2:$C$33,1,0)</f>
        <v>#N/A</v>
      </c>
    </row>
    <row r="10" spans="1:11">
      <c r="K10" s="8" t="e">
        <f>+VLOOKUP(A10,COMISIONES!$C$2:$C$33,1,0)</f>
        <v>#N/A</v>
      </c>
    </row>
    <row r="11" spans="1:11">
      <c r="K11" s="8" t="e">
        <f>+VLOOKUP(A11,COMISIONES!$C$2:$C$33,1,0)</f>
        <v>#N/A</v>
      </c>
    </row>
    <row r="12" spans="1:11">
      <c r="K12" s="8" t="e">
        <f>+VLOOKUP(A12,COMISIONES!$C$2:$C$33,1,0)</f>
        <v>#N/A</v>
      </c>
    </row>
    <row r="13" spans="1:11">
      <c r="K13" s="8" t="e">
        <f>+VLOOKUP(A13,COMISIONES!$C$2:$C$33,1,0)</f>
        <v>#N/A</v>
      </c>
    </row>
    <row r="14" spans="1:11">
      <c r="K14" s="8" t="e">
        <f>+VLOOKUP(A14,COMISIONES!$C$2:$C$33,1,0)</f>
        <v>#N/A</v>
      </c>
    </row>
    <row r="15" spans="1:11">
      <c r="K15" s="8" t="e">
        <f>+VLOOKUP(A15,COMISIONES!$C$2:$C$33,1,0)</f>
        <v>#N/A</v>
      </c>
    </row>
    <row r="16" spans="1:11">
      <c r="K16" s="8" t="e">
        <f>+VLOOKUP(A16,COMISIONES!$C$2:$C$33,1,0)</f>
        <v>#N/A</v>
      </c>
    </row>
    <row r="17" spans="11:11">
      <c r="K17" s="8" t="e">
        <f>+VLOOKUP(A17,COMISIONES!$C$2:$C$33,1,0)</f>
        <v>#N/A</v>
      </c>
    </row>
    <row r="18" spans="11:11">
      <c r="K18" s="8" t="e">
        <f>+VLOOKUP(A18,COMISIONES!$C$2:$C$33,1,0)</f>
        <v>#N/A</v>
      </c>
    </row>
    <row r="19" spans="11:11">
      <c r="K19" s="8" t="e">
        <f>+VLOOKUP(A19,COMISIONES!$C$2:$C$33,1,0)</f>
        <v>#N/A</v>
      </c>
    </row>
    <row r="20" spans="11:11">
      <c r="K20" s="8" t="e">
        <f>+VLOOKUP(A20,COMISIONES!$C$2:$C$33,1,0)</f>
        <v>#N/A</v>
      </c>
    </row>
    <row r="21" spans="11:11">
      <c r="K21" s="8" t="e">
        <f>+VLOOKUP(A21,COMISIONES!$C$2:$C$33,1,0)</f>
        <v>#N/A</v>
      </c>
    </row>
    <row r="22" spans="11:11">
      <c r="K22" s="8" t="e">
        <f>+VLOOKUP(A22,COMISIONES!$C$2:$C$33,1,0)</f>
        <v>#N/A</v>
      </c>
    </row>
    <row r="23" spans="11:11">
      <c r="K23" s="8" t="e">
        <f>+VLOOKUP(A23,COMISIONES!$C$2:$C$33,1,0)</f>
        <v>#N/A</v>
      </c>
    </row>
    <row r="24" spans="11:11">
      <c r="K24" s="8" t="e">
        <f>+VLOOKUP(A24,COMISIONES!$C$2:$C$33,1,0)</f>
        <v>#N/A</v>
      </c>
    </row>
    <row r="25" spans="11:11">
      <c r="K25" s="8" t="e">
        <f>+VLOOKUP(A25,COMISIONES!$C$2:$C$33,1,0)</f>
        <v>#N/A</v>
      </c>
    </row>
    <row r="26" spans="11:11">
      <c r="K26" s="8" t="e">
        <f>+VLOOKUP(A26,COMISIONES!$C$2:$C$33,1,0)</f>
        <v>#N/A</v>
      </c>
    </row>
    <row r="27" spans="11:11">
      <c r="K27" s="8" t="e">
        <f>+VLOOKUP(A27,COMISIONES!$C$2:$C$33,1,0)</f>
        <v>#N/A</v>
      </c>
    </row>
    <row r="28" spans="11:11">
      <c r="K28" s="8" t="e">
        <f>+VLOOKUP(A28,COMISIONES!$C$2:$C$33,1,0)</f>
        <v>#N/A</v>
      </c>
    </row>
    <row r="29" spans="11:11">
      <c r="K29" s="8" t="e">
        <f>+VLOOKUP(A29,COMISIONES!$C$2:$C$33,1,0)</f>
        <v>#N/A</v>
      </c>
    </row>
    <row r="30" spans="11:11">
      <c r="K30" s="8" t="e">
        <f>+VLOOKUP(A30,COMISIONES!$C$2:$C$33,1,0)</f>
        <v>#N/A</v>
      </c>
    </row>
    <row r="31" spans="11:11">
      <c r="K31" s="8" t="e">
        <f>+VLOOKUP(A31,COMISIONES!$C$2:$C$33,1,0)</f>
        <v>#N/A</v>
      </c>
    </row>
    <row r="32" spans="11:11">
      <c r="K32" s="8" t="e">
        <f>+VLOOKUP(A32,COMISIONES!$C$2:$C$33,1,0)</f>
        <v>#N/A</v>
      </c>
    </row>
    <row r="33" spans="11:11">
      <c r="K33" s="8" t="e">
        <f>+VLOOKUP(A33,COMISIONES!$C$2:$C$33,1,0)</f>
        <v>#N/A</v>
      </c>
    </row>
    <row r="34" spans="11:11">
      <c r="K34" s="8" t="e">
        <f>+VLOOKUP(A34,COMISIONES!$C$2:$C$33,1,0)</f>
        <v>#N/A</v>
      </c>
    </row>
    <row r="35" spans="11:11">
      <c r="K35" s="8" t="e">
        <f>+VLOOKUP(A35,COMISIONES!$C$2:$C$33,1,0)</f>
        <v>#N/A</v>
      </c>
    </row>
    <row r="36" spans="11:11">
      <c r="K36" s="8" t="e">
        <f>+VLOOKUP(A36,COMISIONES!$C$2:$C$33,1,0)</f>
        <v>#N/A</v>
      </c>
    </row>
    <row r="37" spans="11:11">
      <c r="K37" s="8" t="e">
        <f>+VLOOKUP(A37,COMISIONES!$C$2:$C$33,1,0)</f>
        <v>#N/A</v>
      </c>
    </row>
    <row r="38" spans="11:11">
      <c r="K38" s="8" t="e">
        <f>+VLOOKUP(A38,COMISIONES!$C$2:$C$33,1,0)</f>
        <v>#N/A</v>
      </c>
    </row>
    <row r="39" spans="11:11">
      <c r="K39" s="8" t="e">
        <f>+VLOOKUP(A39,COMISIONES!$C$2:$C$33,1,0)</f>
        <v>#N/A</v>
      </c>
    </row>
    <row r="40" spans="11:11">
      <c r="K40" s="8" t="e">
        <f>+VLOOKUP(A40,COMISIONES!$C$2:$C$33,1,0)</f>
        <v>#N/A</v>
      </c>
    </row>
    <row r="41" spans="11:11">
      <c r="K41" s="8" t="e">
        <f>+VLOOKUP(A41,COMISIONES!$C$2:$C$33,1,0)</f>
        <v>#N/A</v>
      </c>
    </row>
    <row r="42" spans="11:11">
      <c r="K42" s="8" t="e">
        <f>+VLOOKUP(A42,COMISIONES!$C$2:$C$33,1,0)</f>
        <v>#N/A</v>
      </c>
    </row>
    <row r="43" spans="11:11">
      <c r="K43" s="8" t="e">
        <f>+VLOOKUP(A43,COMISIONES!$C$2:$C$33,1,0)</f>
        <v>#N/A</v>
      </c>
    </row>
    <row r="44" spans="11:11">
      <c r="K44" s="8" t="e">
        <f>+VLOOKUP(A44,COMISIONES!$C$2:$C$33,1,0)</f>
        <v>#N/A</v>
      </c>
    </row>
    <row r="45" spans="11:11">
      <c r="K45" s="8" t="e">
        <f>+VLOOKUP(A45,COMISIONES!$C$2:$C$33,1,0)</f>
        <v>#N/A</v>
      </c>
    </row>
    <row r="46" spans="11:11">
      <c r="K46" s="8" t="e">
        <f>+VLOOKUP(A46,COMISIONES!$C$2:$C$33,1,0)</f>
        <v>#N/A</v>
      </c>
    </row>
    <row r="47" spans="11:11">
      <c r="K47" s="8" t="e">
        <f>+VLOOKUP(A47,COMISIONES!$C$2:$C$33,1,0)</f>
        <v>#N/A</v>
      </c>
    </row>
    <row r="48" spans="11:11">
      <c r="K48" s="8" t="e">
        <f>+VLOOKUP(A48,COMISIONES!$C$2:$C$33,1,0)</f>
        <v>#N/A</v>
      </c>
    </row>
    <row r="49" spans="11:11">
      <c r="K49" s="8" t="e">
        <f>+VLOOKUP(A49,COMISIONES!$C$2:$C$33,1,0)</f>
        <v>#N/A</v>
      </c>
    </row>
    <row r="50" spans="11:11">
      <c r="K50" s="8" t="e">
        <f>+VLOOKUP(A50,COMISIONES!$C$2:$C$33,1,0)</f>
        <v>#N/A</v>
      </c>
    </row>
    <row r="51" spans="11:11">
      <c r="K51" s="8" t="e">
        <f>+VLOOKUP(A51,COMISIONES!$C$2:$C$33,1,0)</f>
        <v>#N/A</v>
      </c>
    </row>
    <row r="52" spans="11:11">
      <c r="K52" s="8" t="e">
        <f>+VLOOKUP(A52,COMISIONES!$C$2:$C$33,1,0)</f>
        <v>#N/A</v>
      </c>
    </row>
    <row r="53" spans="11:11">
      <c r="K53" s="8" t="e">
        <f>+VLOOKUP(A53,COMISIONES!$C$2:$C$33,1,0)</f>
        <v>#N/A</v>
      </c>
    </row>
    <row r="54" spans="11:11">
      <c r="K54" s="8" t="e">
        <f>+VLOOKUP(A54,COMISIONES!$C$2:$C$33,1,0)</f>
        <v>#N/A</v>
      </c>
    </row>
    <row r="55" spans="11:11">
      <c r="K55" s="8" t="e">
        <f>+VLOOKUP(A55,COMISIONES!$C$2:$C$33,1,0)</f>
        <v>#N/A</v>
      </c>
    </row>
  </sheetData>
  <conditionalFormatting sqref="A2">
    <cfRule type="expression" dxfId="3" priority="1" stopIfTrue="1">
      <formula>AND(COUNTIF($A:$B, A2)+COUNTIF($D:$D, A2)&gt;1,NOT(ISBLANK(A2)))</formula>
    </cfRule>
    <cfRule type="duplicateValues" dxfId="2" priority="2" stopIfTrue="1"/>
    <cfRule type="duplicateValues" dxfId="1" priority="3" stopIfTrue="1"/>
  </conditionalFormatting>
  <conditionalFormatting sqref="G2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9FC8-B77E-470F-AAF6-F992515C7184}">
  <sheetPr>
    <tabColor theme="1" tint="4.9989318521683403E-2"/>
  </sheetPr>
  <dimension ref="A1:T19"/>
  <sheetViews>
    <sheetView showGridLines="0" workbookViewId="0">
      <selection activeCell="I9" sqref="I9"/>
    </sheetView>
  </sheetViews>
  <sheetFormatPr baseColWidth="10" defaultRowHeight="15"/>
  <cols>
    <col min="1" max="1" width="33.140625" customWidth="1"/>
    <col min="2" max="2" width="14.28515625" bestFit="1" customWidth="1"/>
    <col min="3" max="3" width="19.85546875" bestFit="1" customWidth="1"/>
    <col min="4" max="4" width="7.5703125" bestFit="1" customWidth="1"/>
    <col min="5" max="6" width="13.85546875" bestFit="1" customWidth="1"/>
    <col min="7" max="7" width="14.5703125" customWidth="1"/>
    <col min="8" max="8" width="15.7109375" bestFit="1" customWidth="1"/>
    <col min="9" max="9" width="15.85546875" bestFit="1" customWidth="1"/>
    <col min="10" max="10" width="9.7109375" customWidth="1"/>
    <col min="11" max="11" width="13.28515625" bestFit="1" customWidth="1"/>
    <col min="12" max="12" width="3.28515625" customWidth="1"/>
    <col min="13" max="13" width="2.42578125" customWidth="1"/>
    <col min="14" max="14" width="20.28515625" bestFit="1" customWidth="1"/>
    <col min="15" max="15" width="11.28515625" bestFit="1" customWidth="1"/>
    <col min="16" max="16" width="13.5703125" bestFit="1" customWidth="1"/>
    <col min="17" max="17" width="22.7109375" bestFit="1" customWidth="1"/>
  </cols>
  <sheetData>
    <row r="1" spans="1:20" ht="18.75">
      <c r="A1" s="151" t="s">
        <v>103</v>
      </c>
      <c r="B1" s="152" t="s">
        <v>195</v>
      </c>
      <c r="C1" s="152" t="s">
        <v>196</v>
      </c>
      <c r="D1" s="153" t="s">
        <v>44</v>
      </c>
      <c r="E1" s="153" t="s">
        <v>45</v>
      </c>
      <c r="F1" s="153" t="s">
        <v>46</v>
      </c>
      <c r="G1" s="154" t="s">
        <v>197</v>
      </c>
      <c r="H1" s="155" t="s">
        <v>198</v>
      </c>
      <c r="I1" s="152" t="s">
        <v>79</v>
      </c>
      <c r="J1" s="152" t="s">
        <v>53</v>
      </c>
      <c r="K1" s="152" t="s">
        <v>199</v>
      </c>
      <c r="L1" s="155"/>
      <c r="M1" s="218"/>
      <c r="N1" s="155" t="s">
        <v>229</v>
      </c>
      <c r="O1" s="155" t="s">
        <v>245</v>
      </c>
      <c r="P1" s="155" t="s">
        <v>246</v>
      </c>
      <c r="Q1" s="155" t="s">
        <v>247</v>
      </c>
      <c r="R1" s="155" t="s">
        <v>79</v>
      </c>
      <c r="S1" s="155" t="s">
        <v>399</v>
      </c>
      <c r="T1" s="155" t="s">
        <v>187</v>
      </c>
    </row>
    <row r="2" spans="1:20" s="56" customFormat="1">
      <c r="A2" s="58" t="s">
        <v>80</v>
      </c>
      <c r="B2" s="98">
        <f>+COUNTIFS(TC!Z:Z,Jefe!A2,TC!AB:AB,"SI")</f>
        <v>719</v>
      </c>
      <c r="C2" s="98">
        <f>+COUNTIFS(TC!Z:Z,Jefe!A2,TC!H:H,"Primera",TC!AB:AB,"SI")</f>
        <v>567</v>
      </c>
      <c r="D2" s="98">
        <f>+COUNTIFS(TC!Z:Z,Jefe!A2,TC!G:G,Jefe!$D$1,TC!AB:AB,"SI")</f>
        <v>240</v>
      </c>
      <c r="E2" s="98">
        <f>+COUNTIFS(TC!Z:Z,Jefe!A2,TC!G:G,Jefe!$E$1,TC!AB:AB,"SI")</f>
        <v>310</v>
      </c>
      <c r="F2" s="98">
        <f>+COUNTIFS(TC!Z:Z,Jefe!A2,TC!G:G,Jefe!$F$1,TC!AB:AB,"SI")</f>
        <v>0</v>
      </c>
      <c r="G2" s="98">
        <f>+SUM(D2:F2)</f>
        <v>550</v>
      </c>
      <c r="H2" s="158">
        <v>0.80420000000000003</v>
      </c>
      <c r="I2" s="98">
        <f>+COUNTIF(ADICIONALES!I:I,Jefe!A2)</f>
        <v>119</v>
      </c>
      <c r="J2" s="98">
        <f>+COUNTIF(PRF!J:J,Jefe!A2)</f>
        <v>253</v>
      </c>
      <c r="K2" s="98">
        <f>+COUNTIF(CUENTAS!J:J,Jefe!A2)</f>
        <v>23</v>
      </c>
      <c r="L2" s="230"/>
      <c r="N2" s="201">
        <v>850</v>
      </c>
      <c r="O2" s="273">
        <v>0.74</v>
      </c>
      <c r="P2" s="273">
        <v>0.6</v>
      </c>
      <c r="Q2" s="273">
        <v>0.82</v>
      </c>
      <c r="R2" s="273">
        <v>0.13</v>
      </c>
      <c r="S2" s="273">
        <v>0.35</v>
      </c>
      <c r="T2" s="273">
        <v>0.05</v>
      </c>
    </row>
    <row r="4" spans="1:20">
      <c r="A4" s="113" t="s">
        <v>132</v>
      </c>
      <c r="G4" s="163" t="s">
        <v>254</v>
      </c>
      <c r="H4" s="231">
        <v>5000</v>
      </c>
    </row>
    <row r="5" spans="1:20" ht="30">
      <c r="A5" s="163" t="s">
        <v>202</v>
      </c>
      <c r="B5" s="165" t="s">
        <v>248</v>
      </c>
      <c r="C5" s="163" t="s">
        <v>204</v>
      </c>
      <c r="D5" s="163" t="s">
        <v>205</v>
      </c>
      <c r="E5" s="219" t="s">
        <v>249</v>
      </c>
      <c r="F5" s="163" t="s">
        <v>206</v>
      </c>
      <c r="G5" s="163" t="s">
        <v>250</v>
      </c>
      <c r="H5" s="166" t="s">
        <v>208</v>
      </c>
    </row>
    <row r="6" spans="1:20">
      <c r="A6" s="167" t="s">
        <v>209</v>
      </c>
      <c r="B6" s="167"/>
      <c r="C6" s="167"/>
      <c r="D6" s="167"/>
      <c r="E6" s="167"/>
      <c r="F6" s="167">
        <f>+SUM(F7:F13)</f>
        <v>0.90000000000000013</v>
      </c>
      <c r="G6" s="167"/>
      <c r="H6" s="168"/>
    </row>
    <row r="7" spans="1:20">
      <c r="A7" s="169" t="s">
        <v>210</v>
      </c>
      <c r="B7" s="220">
        <f>+VLOOKUP($A$4,$A$2:$Q$2,2,0)</f>
        <v>719</v>
      </c>
      <c r="C7" s="198">
        <f>+VLOOKUP($A$4,$A$2:$Q$2,14,0)</f>
        <v>850</v>
      </c>
      <c r="D7" s="220"/>
      <c r="E7" s="221">
        <f t="shared" ref="E7:E13" si="0">+$C7*70%</f>
        <v>595</v>
      </c>
      <c r="F7" s="171">
        <v>0.2</v>
      </c>
      <c r="G7" s="222">
        <f>+B7/C7</f>
        <v>0.84588235294117642</v>
      </c>
      <c r="H7" s="172">
        <f>+G7*F7*$H$4</f>
        <v>845.88235294117646</v>
      </c>
    </row>
    <row r="8" spans="1:20">
      <c r="A8" s="169" t="s">
        <v>211</v>
      </c>
      <c r="B8" s="220">
        <f>+VLOOKUP($A$4,$A$2:$Q$2,3,0)</f>
        <v>567</v>
      </c>
      <c r="C8" s="198">
        <f>+C7*D8</f>
        <v>629</v>
      </c>
      <c r="D8" s="199">
        <f>+VLOOKUP($A$4,$A$2:$Q$2,15,0)</f>
        <v>0.74</v>
      </c>
      <c r="E8" s="221">
        <f t="shared" si="0"/>
        <v>440.29999999999995</v>
      </c>
      <c r="F8" s="171">
        <v>0.1</v>
      </c>
      <c r="G8" s="222">
        <f>+B8/C8</f>
        <v>0.90143084260731321</v>
      </c>
      <c r="H8" s="172">
        <f>+G8*F8*$H$4</f>
        <v>450.71542130365663</v>
      </c>
    </row>
    <row r="9" spans="1:20">
      <c r="A9" s="169" t="s">
        <v>212</v>
      </c>
      <c r="B9" s="220">
        <f>+VLOOKUP($A$4,$A$2:$Q$2,7,0)</f>
        <v>550</v>
      </c>
      <c r="C9" s="198">
        <f>+C7*D9</f>
        <v>510</v>
      </c>
      <c r="D9" s="199">
        <f>+VLOOKUP($A$4,$A$2:$Q$2,16,0)</f>
        <v>0.6</v>
      </c>
      <c r="E9" s="221">
        <f t="shared" si="0"/>
        <v>357</v>
      </c>
      <c r="F9" s="171">
        <v>0.1</v>
      </c>
      <c r="G9" s="222">
        <f>+B9/C9</f>
        <v>1.0784313725490196</v>
      </c>
      <c r="H9" s="172">
        <f>+G9*F9*$H$4</f>
        <v>539.21568627450984</v>
      </c>
    </row>
    <row r="10" spans="1:20">
      <c r="A10" s="169" t="s">
        <v>266</v>
      </c>
      <c r="B10" s="233">
        <f>+VLOOKUP($A$4,$A$2:$Q$2,8,0)</f>
        <v>0.80420000000000003</v>
      </c>
      <c r="C10" s="199">
        <f>+VLOOKUP($A$4,$A$2:$Q$2,17,0)</f>
        <v>0.82</v>
      </c>
      <c r="D10" s="220"/>
      <c r="E10" s="178">
        <v>0.7</v>
      </c>
      <c r="F10" s="171">
        <v>0.2</v>
      </c>
      <c r="G10" s="222">
        <f t="shared" ref="G10:G13" si="1">+IF(B10/C10&gt;1,1,B10/C10)</f>
        <v>0.98073170731707326</v>
      </c>
      <c r="H10" s="172">
        <f>+IF(G10&gt;=70%,G10*F10*$H$4,0)</f>
        <v>980.7317073170733</v>
      </c>
    </row>
    <row r="11" spans="1:20">
      <c r="A11" s="169" t="s">
        <v>251</v>
      </c>
      <c r="B11" s="220">
        <f>+VLOOKUP($A$4,$A$2:$Q$2,9,0)</f>
        <v>119</v>
      </c>
      <c r="C11" s="223">
        <f>+C7*D11</f>
        <v>110.5</v>
      </c>
      <c r="D11" s="199">
        <f>+VLOOKUP(A4,$A$2:$T$2,18,0)</f>
        <v>0.13</v>
      </c>
      <c r="E11" s="221">
        <f t="shared" si="0"/>
        <v>77.349999999999994</v>
      </c>
      <c r="F11" s="171">
        <v>0.1</v>
      </c>
      <c r="G11" s="222">
        <f t="shared" si="1"/>
        <v>1</v>
      </c>
      <c r="H11" s="172">
        <f>+IF(G11&gt;=70%,G11*F11*$H$4,0)</f>
        <v>500</v>
      </c>
    </row>
    <row r="12" spans="1:20">
      <c r="A12" s="169" t="s">
        <v>252</v>
      </c>
      <c r="B12" s="220">
        <f>+VLOOKUP($A$4,$A$2:$Q$2,10,0)</f>
        <v>253</v>
      </c>
      <c r="C12" s="223">
        <f>+C7*D12</f>
        <v>297.5</v>
      </c>
      <c r="D12" s="199">
        <f>+VLOOKUP(A4,$A$2:$T$2,19,0)</f>
        <v>0.35</v>
      </c>
      <c r="E12" s="221">
        <f t="shared" si="0"/>
        <v>208.25</v>
      </c>
      <c r="F12" s="171">
        <v>0.15</v>
      </c>
      <c r="G12" s="278">
        <f t="shared" si="1"/>
        <v>0.85042016806722687</v>
      </c>
      <c r="H12" s="172">
        <f>+IF(G12&gt;=70%,G12*F12*$H$4,0)</f>
        <v>637.81512605042019</v>
      </c>
    </row>
    <row r="13" spans="1:20">
      <c r="A13" s="169" t="s">
        <v>253</v>
      </c>
      <c r="B13" s="220">
        <f>+VLOOKUP($A$4,$A$2:$Q$2,11,0)</f>
        <v>23</v>
      </c>
      <c r="C13" s="224">
        <f>+C7*D13</f>
        <v>42.5</v>
      </c>
      <c r="D13" s="199">
        <f>+VLOOKUP(A4,$A$2:$T$2,20,0)</f>
        <v>0.05</v>
      </c>
      <c r="E13" s="221">
        <f t="shared" si="0"/>
        <v>29.749999999999996</v>
      </c>
      <c r="F13" s="178">
        <v>0.05</v>
      </c>
      <c r="G13" s="222">
        <f t="shared" si="1"/>
        <v>0.54117647058823526</v>
      </c>
      <c r="H13" s="172">
        <f>+IF(G13&gt;=70%,G13*F13*$H$4,0)</f>
        <v>0</v>
      </c>
    </row>
    <row r="14" spans="1:20">
      <c r="A14" s="167" t="s">
        <v>220</v>
      </c>
      <c r="B14" s="167"/>
      <c r="C14" s="167"/>
      <c r="D14" s="167"/>
      <c r="E14" s="167"/>
      <c r="F14" s="167">
        <f>+SUM(F15:F17)</f>
        <v>0.1</v>
      </c>
      <c r="G14" s="225"/>
      <c r="H14" s="168"/>
    </row>
    <row r="15" spans="1:20" ht="30">
      <c r="A15" s="186" t="s">
        <v>221</v>
      </c>
      <c r="B15" s="188">
        <v>1</v>
      </c>
      <c r="C15" s="226">
        <v>1</v>
      </c>
      <c r="D15" s="188"/>
      <c r="E15" s="227"/>
      <c r="F15" s="178">
        <v>0.04</v>
      </c>
      <c r="G15" s="222">
        <f t="shared" ref="G15:G17" si="2">+IF(B15/C15&gt;1,1,B15/C15)</f>
        <v>1</v>
      </c>
      <c r="H15" s="172">
        <f>+IF(G15=100%,G15*F15*$H$4,0)</f>
        <v>200</v>
      </c>
    </row>
    <row r="16" spans="1:20">
      <c r="A16" s="186" t="s">
        <v>265</v>
      </c>
      <c r="B16" s="188">
        <v>0</v>
      </c>
      <c r="C16" s="226">
        <v>1</v>
      </c>
      <c r="D16" s="188"/>
      <c r="E16" s="227"/>
      <c r="F16" s="178">
        <v>0.03</v>
      </c>
      <c r="G16" s="222">
        <f t="shared" si="2"/>
        <v>0</v>
      </c>
      <c r="H16" s="172">
        <f>+IF(G16=100%,G16*F16*$H$4,0)</f>
        <v>0</v>
      </c>
    </row>
    <row r="17" spans="1:8" ht="30">
      <c r="A17" s="186" t="s">
        <v>222</v>
      </c>
      <c r="B17" s="188">
        <v>1</v>
      </c>
      <c r="C17" s="226">
        <v>1</v>
      </c>
      <c r="D17" s="188"/>
      <c r="E17" s="227"/>
      <c r="F17" s="178">
        <v>0.03</v>
      </c>
      <c r="G17" s="222">
        <f t="shared" si="2"/>
        <v>1</v>
      </c>
      <c r="H17" s="172">
        <f>+IF(G17=100%,G17*F17*$H$4,0)</f>
        <v>150</v>
      </c>
    </row>
    <row r="18" spans="1:8" ht="16.5" thickBot="1">
      <c r="C18" s="228"/>
      <c r="H18" s="229">
        <f>SUM(H7:H13,H15:H17)</f>
        <v>4304.3602938868362</v>
      </c>
    </row>
    <row r="19" spans="1:8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EA58-89B3-4F15-94A2-8669CD251510}">
  <sheetPr>
    <tabColor theme="7" tint="0.39997558519241921"/>
  </sheetPr>
  <dimension ref="A3:AH92"/>
  <sheetViews>
    <sheetView showGridLines="0" zoomScale="97" workbookViewId="0">
      <selection activeCell="H8" sqref="H8"/>
    </sheetView>
  </sheetViews>
  <sheetFormatPr baseColWidth="10" defaultRowHeight="15"/>
  <cols>
    <col min="1" max="1" width="37.140625" bestFit="1" customWidth="1"/>
    <col min="2" max="2" width="14.28515625" bestFit="1" customWidth="1"/>
    <col min="3" max="3" width="19.85546875" bestFit="1" customWidth="1"/>
    <col min="4" max="4" width="10.140625" bestFit="1" customWidth="1"/>
    <col min="5" max="5" width="6.85546875" customWidth="1"/>
    <col min="6" max="6" width="5.7109375" bestFit="1" customWidth="1"/>
    <col min="7" max="7" width="10.5703125" bestFit="1" customWidth="1"/>
    <col min="8" max="8" width="15.7109375" bestFit="1" customWidth="1"/>
    <col min="9" max="9" width="14.42578125" bestFit="1" customWidth="1"/>
    <col min="10" max="10" width="6.5703125" bestFit="1" customWidth="1"/>
    <col min="11" max="11" width="13.28515625" bestFit="1" customWidth="1"/>
    <col min="12" max="12" width="11.28515625" bestFit="1" customWidth="1"/>
    <col min="13" max="13" width="6.5703125" bestFit="1" customWidth="1"/>
    <col min="14" max="14" width="7.7109375" bestFit="1" customWidth="1"/>
    <col min="15" max="15" width="2.85546875" customWidth="1"/>
    <col min="16" max="16" width="25.42578125" bestFit="1" customWidth="1"/>
    <col min="18" max="18" width="11.85546875" bestFit="1" customWidth="1"/>
    <col min="19" max="19" width="11.85546875" customWidth="1"/>
    <col min="20" max="20" width="14.42578125" bestFit="1" customWidth="1"/>
    <col min="21" max="21" width="15.85546875" bestFit="1" customWidth="1"/>
    <col min="22" max="22" width="15.85546875" customWidth="1"/>
    <col min="23" max="23" width="15.7109375" bestFit="1" customWidth="1"/>
    <col min="25" max="25" width="20" bestFit="1" customWidth="1"/>
  </cols>
  <sheetData>
    <row r="3" spans="1:34" ht="18.75">
      <c r="A3" s="151" t="s">
        <v>194</v>
      </c>
      <c r="B3" s="152" t="s">
        <v>195</v>
      </c>
      <c r="C3" s="152" t="s">
        <v>196</v>
      </c>
      <c r="D3" s="153" t="s">
        <v>44</v>
      </c>
      <c r="E3" s="153" t="s">
        <v>45</v>
      </c>
      <c r="F3" s="153" t="s">
        <v>46</v>
      </c>
      <c r="G3" s="154" t="s">
        <v>197</v>
      </c>
      <c r="H3" s="155" t="s">
        <v>198</v>
      </c>
      <c r="I3" s="152" t="s">
        <v>79</v>
      </c>
      <c r="J3" s="152" t="s">
        <v>53</v>
      </c>
      <c r="K3" s="152" t="s">
        <v>199</v>
      </c>
      <c r="L3" s="152" t="s">
        <v>56</v>
      </c>
      <c r="M3" s="152" t="s">
        <v>191</v>
      </c>
      <c r="N3" s="289" t="s">
        <v>200</v>
      </c>
      <c r="O3" s="290"/>
      <c r="P3" s="156" t="s">
        <v>201</v>
      </c>
      <c r="Q3" s="154" t="s">
        <v>230</v>
      </c>
      <c r="R3" s="200" t="s">
        <v>231</v>
      </c>
      <c r="S3" s="200" t="s">
        <v>394</v>
      </c>
      <c r="T3" s="202" t="s">
        <v>233</v>
      </c>
      <c r="U3" s="202" t="s">
        <v>234</v>
      </c>
      <c r="V3" s="202" t="s">
        <v>395</v>
      </c>
      <c r="W3" s="200" t="s">
        <v>235</v>
      </c>
      <c r="Y3" s="272" t="s">
        <v>229</v>
      </c>
      <c r="Z3" s="272" t="s">
        <v>396</v>
      </c>
      <c r="AA3" s="272" t="s">
        <v>397</v>
      </c>
      <c r="AB3" s="272" t="s">
        <v>398</v>
      </c>
      <c r="AC3" s="272" t="s">
        <v>104</v>
      </c>
      <c r="AD3" s="272" t="s">
        <v>399</v>
      </c>
      <c r="AE3" s="272" t="s">
        <v>187</v>
      </c>
      <c r="AF3" s="272" t="s">
        <v>56</v>
      </c>
      <c r="AG3" s="272" t="s">
        <v>191</v>
      </c>
      <c r="AH3" s="272" t="s">
        <v>200</v>
      </c>
    </row>
    <row r="4" spans="1:34">
      <c r="A4" s="113" t="s">
        <v>52</v>
      </c>
      <c r="B4" s="98">
        <f>+COUNTIFS(TC!O:O,SUP!A4,TC!AB:AB,"SI")</f>
        <v>140</v>
      </c>
      <c r="C4" s="98">
        <f>+COUNTIFS(TC!O:O,SUP!A4,TC!H:H,"Primera",TC!AB:AB,"SI")</f>
        <v>111</v>
      </c>
      <c r="D4" s="98">
        <f>+COUNTIFS(TC!O:O,SUP!A4,TC!G:G,SUP!$D$3,TC!AB:AB,"SI")</f>
        <v>46</v>
      </c>
      <c r="E4" s="98">
        <f>+COUNTIFS(TC!O:O,SUP!A4,TC!G:G,SUP!$E$3,TC!AB:AB,"SI")</f>
        <v>49</v>
      </c>
      <c r="F4" s="98">
        <f>+COUNTIFS(TC!O:O,SUP!A4,TC!G:G,SUP!$F$3,TC!AB:AB,"SI")</f>
        <v>0</v>
      </c>
      <c r="G4" s="98">
        <f>+SUM(D4:F4)</f>
        <v>95</v>
      </c>
      <c r="H4" s="157">
        <v>0.79920000000000002</v>
      </c>
      <c r="I4" s="98">
        <f>+COUNTIF(ADICIONALES!H:H,SUP!A4)</f>
        <v>33</v>
      </c>
      <c r="J4" s="98">
        <f>+COUNTIF(PRF!I:I,SUP!A4)</f>
        <v>46</v>
      </c>
      <c r="K4" s="98">
        <f>+COUNTIF(CUENTAS!I:I,SUP!A4)</f>
        <v>2</v>
      </c>
      <c r="L4" s="98">
        <f>+COUNTIF(COMPASS!K:K,SUP!A4)</f>
        <v>123</v>
      </c>
      <c r="M4" s="98">
        <f>+COUNTIF(KASH!D:D,SUP!A4)</f>
        <v>0</v>
      </c>
      <c r="N4" s="291"/>
      <c r="O4" s="292"/>
      <c r="P4" s="158">
        <f>+B4/Y4</f>
        <v>0.6588235294117647</v>
      </c>
      <c r="Q4" s="98">
        <f>+COUNTIF('DESC TC'!S:S,SUP!A4)</f>
        <v>2</v>
      </c>
      <c r="R4" s="201">
        <f>+COUNTIF('DESC ADICIONALES'!K:K,SUP!A4)</f>
        <v>1</v>
      </c>
      <c r="S4" s="201">
        <f>+COUNTIF('DESC PRF'!G:G,SUP!A4)</f>
        <v>0</v>
      </c>
      <c r="T4" s="98">
        <f>+B4-Q4</f>
        <v>138</v>
      </c>
      <c r="U4" s="98">
        <f t="shared" ref="U4:V7" si="0">+I4-R4</f>
        <v>32</v>
      </c>
      <c r="V4" s="98">
        <f t="shared" si="0"/>
        <v>46</v>
      </c>
      <c r="W4" s="203">
        <f>+H29</f>
        <v>943.34102588438748</v>
      </c>
      <c r="Y4" s="281">
        <v>212.5</v>
      </c>
      <c r="Z4" s="282">
        <v>147.75</v>
      </c>
      <c r="AA4" s="283">
        <v>0.6</v>
      </c>
      <c r="AB4" s="283">
        <v>0.8</v>
      </c>
      <c r="AC4" s="283">
        <v>0.13</v>
      </c>
      <c r="AD4" s="283">
        <v>0.35</v>
      </c>
      <c r="AE4" s="283">
        <v>0.05</v>
      </c>
      <c r="AF4" s="283">
        <v>0.25</v>
      </c>
      <c r="AG4" s="283">
        <v>0.05</v>
      </c>
      <c r="AH4" s="283">
        <v>0.05</v>
      </c>
    </row>
    <row r="5" spans="1:34">
      <c r="A5" s="113" t="s">
        <v>49</v>
      </c>
      <c r="B5" s="98">
        <f>+COUNTIFS(TC!O:O,SUP!A5,TC!AB:AB,"SI")</f>
        <v>222</v>
      </c>
      <c r="C5" s="98">
        <f>+COUNTIFS(TC!O:O,SUP!A5,TC!H:H,"Primera",TC!AB:AB,"SI")</f>
        <v>174</v>
      </c>
      <c r="D5" s="98">
        <f>+COUNTIFS(TC!O:O,SUP!A5,TC!G:G,SUP!$D$3,TC!AB:AB,"SI")</f>
        <v>74</v>
      </c>
      <c r="E5" s="98">
        <f>+COUNTIFS(TC!O:O,SUP!A5,TC!G:G,SUP!$E$3,TC!AB:AB,"SI")</f>
        <v>95</v>
      </c>
      <c r="F5" s="98">
        <f>+COUNTIFS(TC!O:O,SUP!A5,TC!G:G,SUP!$F$3,TC!AB:AB,"SI")</f>
        <v>0</v>
      </c>
      <c r="G5" s="98">
        <f>+SUM(D5:F5)</f>
        <v>169</v>
      </c>
      <c r="H5" s="157">
        <v>0.80810000000000004</v>
      </c>
      <c r="I5" s="98">
        <f>+COUNTIF(ADICIONALES!H:H,SUP!A5)</f>
        <v>35</v>
      </c>
      <c r="J5" s="98">
        <f>+COUNTIF(PRF!I:I,SUP!A5)</f>
        <v>87</v>
      </c>
      <c r="K5" s="98">
        <f>+COUNTIF(CUENTAS!I:I,SUP!A5)</f>
        <v>9</v>
      </c>
      <c r="L5" s="98">
        <f>+COUNTIF(COMPASS!K:K,SUP!A5)</f>
        <v>156</v>
      </c>
      <c r="M5" s="98">
        <f>+COUNTIF(KASH!D:D,SUP!A5)</f>
        <v>29</v>
      </c>
      <c r="N5" s="291"/>
      <c r="O5" s="292"/>
      <c r="P5" s="158">
        <f>+B5/Y5</f>
        <v>1.0447058823529412</v>
      </c>
      <c r="Q5" s="98">
        <f>+COUNTIF('DESC TC'!S:S,SUP!A5)</f>
        <v>7</v>
      </c>
      <c r="R5" s="201">
        <f>+COUNTIF('DESC ADICIONALES'!K:K,SUP!A5)</f>
        <v>0</v>
      </c>
      <c r="S5" s="201">
        <f>+COUNTIF('DESC PRF'!G:G,SUP!A5)</f>
        <v>0</v>
      </c>
      <c r="T5" s="98">
        <f>+B5-Q5</f>
        <v>215</v>
      </c>
      <c r="U5" s="98">
        <f t="shared" si="0"/>
        <v>35</v>
      </c>
      <c r="V5" s="98">
        <f t="shared" si="0"/>
        <v>87</v>
      </c>
      <c r="W5" s="203">
        <f>+H50</f>
        <v>11112.723814366433</v>
      </c>
      <c r="Y5" s="281">
        <v>212.5</v>
      </c>
      <c r="Z5" s="282">
        <v>147.75</v>
      </c>
      <c r="AA5" s="283">
        <v>0.6</v>
      </c>
      <c r="AB5" s="283">
        <v>0.8</v>
      </c>
      <c r="AC5" s="283">
        <v>0.13</v>
      </c>
      <c r="AD5" s="283">
        <v>0.35</v>
      </c>
      <c r="AE5" s="283">
        <v>0.05</v>
      </c>
      <c r="AF5" s="283">
        <v>0.25</v>
      </c>
      <c r="AG5" s="283">
        <v>0.05</v>
      </c>
      <c r="AH5" s="283">
        <v>0.05</v>
      </c>
    </row>
    <row r="6" spans="1:34">
      <c r="A6" s="113" t="s">
        <v>50</v>
      </c>
      <c r="B6" s="98">
        <f>+COUNTIFS(TC!O:O,SUP!A6,TC!AB:AB,"SI")</f>
        <v>178</v>
      </c>
      <c r="C6" s="98">
        <f>+COUNTIFS(TC!O:O,SUP!A6,TC!H:H,"Primera",TC!AB:AB,"SI")</f>
        <v>144</v>
      </c>
      <c r="D6" s="98">
        <f>+COUNTIFS(TC!O:O,SUP!A6,TC!G:G,SUP!$D$3,TC!AB:AB,"SI")</f>
        <v>64</v>
      </c>
      <c r="E6" s="98">
        <f>+COUNTIFS(TC!O:O,SUP!A6,TC!G:G,SUP!$E$3,TC!AB:AB,"SI")</f>
        <v>82</v>
      </c>
      <c r="F6" s="98">
        <f>+COUNTIFS(TC!O:O,SUP!A6,TC!G:G,SUP!$F$3,TC!AB:AB,"SI")</f>
        <v>0</v>
      </c>
      <c r="G6" s="98">
        <f>+SUM(D6:F6)</f>
        <v>146</v>
      </c>
      <c r="H6" s="157">
        <v>0.78310000000000002</v>
      </c>
      <c r="I6" s="98">
        <f>+COUNTIF(ADICIONALES!H:H,SUP!A6)</f>
        <v>23</v>
      </c>
      <c r="J6" s="98">
        <f>+COUNTIF(PRF!I:I,SUP!A6)</f>
        <v>65</v>
      </c>
      <c r="K6" s="98">
        <f>+COUNTIF(CUENTAS!I:I,SUP!A6)</f>
        <v>4</v>
      </c>
      <c r="L6" s="98">
        <f>+COUNTIF(COMPASS!K:K,SUP!A6)</f>
        <v>136</v>
      </c>
      <c r="M6" s="98">
        <f>+COUNTIF(KASH!D:D,SUP!A6)</f>
        <v>7</v>
      </c>
      <c r="N6" s="291"/>
      <c r="O6" s="292"/>
      <c r="P6" s="158">
        <f>+B6/Y6</f>
        <v>0.83764705882352941</v>
      </c>
      <c r="Q6" s="98">
        <f>+COUNTIF('DESC TC'!S:S,SUP!A6)</f>
        <v>4</v>
      </c>
      <c r="R6" s="201">
        <f>+COUNTIF('DESC ADICIONALES'!K:K,SUP!A6)</f>
        <v>2</v>
      </c>
      <c r="S6" s="201">
        <f>+COUNTIF('DESC PRF'!G:G,SUP!A6)</f>
        <v>0</v>
      </c>
      <c r="T6" s="98">
        <f>+B6-Q6</f>
        <v>174</v>
      </c>
      <c r="U6" s="98">
        <f t="shared" si="0"/>
        <v>21</v>
      </c>
      <c r="V6" s="98">
        <f t="shared" si="0"/>
        <v>65</v>
      </c>
      <c r="W6" s="203">
        <f>+H71</f>
        <v>5115.6718942100551</v>
      </c>
      <c r="Y6" s="281">
        <v>212.5</v>
      </c>
      <c r="Z6" s="282">
        <v>147.75</v>
      </c>
      <c r="AA6" s="283">
        <v>0.6</v>
      </c>
      <c r="AB6" s="283">
        <v>0.8</v>
      </c>
      <c r="AC6" s="283">
        <v>0.13</v>
      </c>
      <c r="AD6" s="283">
        <v>0.35</v>
      </c>
      <c r="AE6" s="283">
        <v>0.05</v>
      </c>
      <c r="AF6" s="283">
        <v>0.25</v>
      </c>
      <c r="AG6" s="283">
        <v>0.05</v>
      </c>
      <c r="AH6" s="283">
        <v>0.05</v>
      </c>
    </row>
    <row r="7" spans="1:34">
      <c r="A7" s="113" t="s">
        <v>51</v>
      </c>
      <c r="B7" s="98">
        <f>+COUNTIFS(TC!O:O,SUP!A7,TC!AB:AB,"SI")</f>
        <v>179</v>
      </c>
      <c r="C7" s="98">
        <f>+COUNTIFS(TC!O:O,SUP!A7,TC!H:H,"Primera",TC!AB:AB,"SI")</f>
        <v>138</v>
      </c>
      <c r="D7" s="98">
        <f>+COUNTIFS(TC!O:O,SUP!A7,TC!G:G,SUP!$D$3,TC!AB:AB,"SI")</f>
        <v>56</v>
      </c>
      <c r="E7" s="98">
        <f>+COUNTIFS(TC!O:O,SUP!A7,TC!G:G,SUP!$E$3,TC!AB:AB,"SI")</f>
        <v>84</v>
      </c>
      <c r="F7" s="98">
        <f>+COUNTIFS(TC!O:O,SUP!A7,TC!G:G,SUP!$F$3,TC!AB:AB,"SI")</f>
        <v>0</v>
      </c>
      <c r="G7" s="98">
        <f>+SUM(D7:F7)</f>
        <v>140</v>
      </c>
      <c r="H7" s="157">
        <v>0.82410000000000005</v>
      </c>
      <c r="I7" s="98">
        <f>+COUNTIF(ADICIONALES!H:H,SUP!A7)</f>
        <v>28</v>
      </c>
      <c r="J7" s="98">
        <f>+COUNTIF(PRF!I:I,SUP!A7)</f>
        <v>55</v>
      </c>
      <c r="K7" s="98">
        <f>+COUNTIF(CUENTAS!I:I,SUP!A7)</f>
        <v>8</v>
      </c>
      <c r="L7" s="98">
        <f>+COUNTIF(COMPASS!K:K,SUP!A7)</f>
        <v>172</v>
      </c>
      <c r="M7" s="98">
        <f>+COUNTIF(KASH!D:D,SUP!A7)</f>
        <v>1</v>
      </c>
      <c r="N7" s="291"/>
      <c r="O7" s="292"/>
      <c r="P7" s="158">
        <f>+B7/Y7</f>
        <v>0.84235294117647064</v>
      </c>
      <c r="Q7" s="98">
        <f>+COUNTIF('DESC TC'!S:S,SUP!A7)</f>
        <v>5</v>
      </c>
      <c r="R7" s="201">
        <f>+COUNTIF('DESC ADICIONALES'!K:K,SUP!A7)</f>
        <v>0</v>
      </c>
      <c r="S7" s="201">
        <f>+COUNTIF('DESC PRF'!G:G,SUP!A7)</f>
        <v>0</v>
      </c>
      <c r="T7" s="98">
        <f>+B7-Q7</f>
        <v>174</v>
      </c>
      <c r="U7" s="98">
        <f t="shared" si="0"/>
        <v>28</v>
      </c>
      <c r="V7" s="98">
        <f t="shared" si="0"/>
        <v>55</v>
      </c>
      <c r="W7" s="203">
        <f>+H92</f>
        <v>5532.8109589725</v>
      </c>
      <c r="Y7" s="281">
        <v>212.5</v>
      </c>
      <c r="Z7" s="282">
        <v>147.75</v>
      </c>
      <c r="AA7" s="283">
        <v>0.6</v>
      </c>
      <c r="AB7" s="283">
        <v>0.8</v>
      </c>
      <c r="AC7" s="283">
        <v>0.13</v>
      </c>
      <c r="AD7" s="283">
        <v>0.35</v>
      </c>
      <c r="AE7" s="283">
        <v>0.05</v>
      </c>
      <c r="AF7" s="283">
        <v>0.25</v>
      </c>
      <c r="AG7" s="283">
        <v>0.05</v>
      </c>
      <c r="AH7" s="283">
        <v>0.05</v>
      </c>
    </row>
    <row r="8" spans="1:34">
      <c r="A8" s="209"/>
      <c r="B8" s="56"/>
      <c r="C8" s="56"/>
      <c r="D8" s="56"/>
      <c r="E8" s="160"/>
      <c r="F8" s="56"/>
      <c r="G8" s="56"/>
      <c r="H8" s="56"/>
      <c r="I8" s="56"/>
      <c r="J8" s="56"/>
      <c r="K8" s="56"/>
      <c r="L8" s="161"/>
      <c r="W8" s="210">
        <f>SUM(W4:W7)</f>
        <v>22704.547693433375</v>
      </c>
    </row>
    <row r="9" spans="1:34">
      <c r="A9" s="159"/>
      <c r="B9" s="56"/>
      <c r="C9" s="56"/>
      <c r="D9" s="56"/>
      <c r="E9" s="160"/>
      <c r="F9" s="56"/>
      <c r="G9" s="56"/>
      <c r="H9" s="56"/>
      <c r="I9" s="56"/>
      <c r="J9" s="56"/>
      <c r="K9" s="56"/>
      <c r="L9" s="161"/>
    </row>
    <row r="10" spans="1:34">
      <c r="A10" s="113" t="s">
        <v>52</v>
      </c>
      <c r="B10" s="162">
        <f>+VLOOKUP(A10,$A$4:$P$7,16,0)</f>
        <v>0.6588235294117647</v>
      </c>
    </row>
    <row r="11" spans="1:34" ht="30">
      <c r="A11" s="163" t="s">
        <v>202</v>
      </c>
      <c r="B11" s="164">
        <f>+VLOOKUP(B10,'Rango-Bono'!$A$2:$C$46,3,1)</f>
        <v>1125</v>
      </c>
      <c r="C11" s="165" t="s">
        <v>203</v>
      </c>
      <c r="D11" s="163" t="s">
        <v>204</v>
      </c>
      <c r="E11" s="163" t="s">
        <v>205</v>
      </c>
      <c r="F11" s="163" t="s">
        <v>206</v>
      </c>
      <c r="G11" s="163" t="s">
        <v>207</v>
      </c>
      <c r="H11" s="166" t="s">
        <v>208</v>
      </c>
    </row>
    <row r="12" spans="1:34">
      <c r="A12" s="167" t="s">
        <v>209</v>
      </c>
      <c r="B12" s="164">
        <f>B11*F12</f>
        <v>1012.5000000000002</v>
      </c>
      <c r="C12" s="167"/>
      <c r="D12" s="167"/>
      <c r="E12" s="167"/>
      <c r="F12" s="167">
        <f>SUM(F13:F22)</f>
        <v>0.90000000000000024</v>
      </c>
      <c r="G12" s="167"/>
      <c r="H12" s="168"/>
    </row>
    <row r="13" spans="1:34">
      <c r="A13" s="169" t="s">
        <v>210</v>
      </c>
      <c r="B13" s="170"/>
      <c r="C13" s="170">
        <f>+VLOOKUP(A10,$A$4:$W$7,20,0)</f>
        <v>138</v>
      </c>
      <c r="D13" s="198">
        <f>+VLOOKUP(A10,$A$4:$AH$7,25,0)</f>
        <v>212.5</v>
      </c>
      <c r="E13" s="171"/>
      <c r="F13" s="171">
        <v>0.2</v>
      </c>
      <c r="G13" s="171">
        <f t="shared" ref="G13:G22" si="1">+C13/D13</f>
        <v>0.64941176470588236</v>
      </c>
      <c r="H13" s="172">
        <f t="shared" ref="H13:H22" si="2">+$B$11*F13*G13</f>
        <v>146.11764705882354</v>
      </c>
    </row>
    <row r="14" spans="1:34">
      <c r="A14" s="169" t="s">
        <v>211</v>
      </c>
      <c r="B14" s="173"/>
      <c r="C14" s="170">
        <f>+VLOOKUP($A$10,$A$4:$O$7,3,0)</f>
        <v>111</v>
      </c>
      <c r="D14" s="198">
        <f>+VLOOKUP(A10,$A$4:$AH$7,26,0)</f>
        <v>147.75</v>
      </c>
      <c r="E14" s="171"/>
      <c r="F14" s="171">
        <v>0.2</v>
      </c>
      <c r="G14" s="171">
        <f t="shared" si="1"/>
        <v>0.75126903553299496</v>
      </c>
      <c r="H14" s="172">
        <f t="shared" si="2"/>
        <v>169.03553299492387</v>
      </c>
    </row>
    <row r="15" spans="1:34">
      <c r="A15" s="169" t="s">
        <v>212</v>
      </c>
      <c r="B15" s="173"/>
      <c r="C15" s="170">
        <f>+VLOOKUP($A$10,$A$4:$O$7,7,0)</f>
        <v>95</v>
      </c>
      <c r="D15" s="174">
        <f>+$D$13*E15</f>
        <v>127.5</v>
      </c>
      <c r="E15" s="199">
        <f>+VLOOKUP(A10,$A$4:$AH$7,27,0)</f>
        <v>0.6</v>
      </c>
      <c r="F15" s="171">
        <v>0.1</v>
      </c>
      <c r="G15" s="171">
        <f t="shared" si="1"/>
        <v>0.74509803921568629</v>
      </c>
      <c r="H15" s="172">
        <f t="shared" si="2"/>
        <v>83.82352941176471</v>
      </c>
      <c r="J15" s="44"/>
    </row>
    <row r="16" spans="1:34">
      <c r="A16" s="169" t="s">
        <v>276</v>
      </c>
      <c r="B16" s="173"/>
      <c r="C16" s="175">
        <f>+VLOOKUP($A$10,$A$4:$O$7,8,0)</f>
        <v>0.79920000000000002</v>
      </c>
      <c r="D16" s="199">
        <f>+VLOOKUP(A10,$A$4:$AH$7,28,0)</f>
        <v>0.8</v>
      </c>
      <c r="F16" s="171">
        <v>0.14000000000000001</v>
      </c>
      <c r="G16" s="171">
        <f t="shared" si="1"/>
        <v>0.999</v>
      </c>
      <c r="H16" s="172">
        <f t="shared" si="2"/>
        <v>157.34250000000003</v>
      </c>
      <c r="I16" s="44"/>
    </row>
    <row r="17" spans="1:8">
      <c r="A17" s="169" t="s">
        <v>213</v>
      </c>
      <c r="B17" s="173"/>
      <c r="C17" s="176">
        <f>+VLOOKUP(A10,$A$4:$W$7,21,0)</f>
        <v>32</v>
      </c>
      <c r="D17" s="174">
        <f t="shared" ref="D17:D22" si="3">+$D$13*E17</f>
        <v>27.625</v>
      </c>
      <c r="E17" s="199">
        <f>+VLOOKUP(A10,$A$4:$AH$7,29,0)</f>
        <v>0.13</v>
      </c>
      <c r="F17" s="171">
        <v>0.05</v>
      </c>
      <c r="G17" s="171">
        <f t="shared" si="1"/>
        <v>1.158371040723982</v>
      </c>
      <c r="H17" s="172">
        <f t="shared" si="2"/>
        <v>65.158371040723992</v>
      </c>
    </row>
    <row r="18" spans="1:8">
      <c r="A18" s="169" t="s">
        <v>214</v>
      </c>
      <c r="B18" s="173"/>
      <c r="C18" s="176">
        <f>+VLOOKUP(A10,$A$4:$V$7,22,0)</f>
        <v>46</v>
      </c>
      <c r="D18" s="174">
        <f t="shared" si="3"/>
        <v>74.375</v>
      </c>
      <c r="E18" s="199">
        <f>+VLOOKUP(A10,$A$4:$AH$7,30,0)</f>
        <v>0.35</v>
      </c>
      <c r="F18" s="171">
        <v>0.05</v>
      </c>
      <c r="G18" s="171">
        <f t="shared" si="1"/>
        <v>0.61848739495798322</v>
      </c>
      <c r="H18" s="172">
        <f t="shared" si="2"/>
        <v>34.789915966386559</v>
      </c>
    </row>
    <row r="19" spans="1:8">
      <c r="A19" s="169" t="s">
        <v>215</v>
      </c>
      <c r="B19" s="177"/>
      <c r="C19" s="176">
        <f>+VLOOKUP($A$10,$A$4:$O$7,11,0)</f>
        <v>2</v>
      </c>
      <c r="D19" s="174">
        <f t="shared" si="3"/>
        <v>10.625</v>
      </c>
      <c r="E19" s="199">
        <f>+VLOOKUP(A10,$A$4:$AH$7,31,0)</f>
        <v>0.05</v>
      </c>
      <c r="F19" s="178">
        <v>0.05</v>
      </c>
      <c r="G19" s="171">
        <f t="shared" si="1"/>
        <v>0.18823529411764706</v>
      </c>
      <c r="H19" s="172">
        <f t="shared" si="2"/>
        <v>10.588235294117647</v>
      </c>
    </row>
    <row r="20" spans="1:8">
      <c r="A20" s="179" t="s">
        <v>216</v>
      </c>
      <c r="B20" s="180"/>
      <c r="C20" s="176">
        <f>+VLOOKUP($A$10,$A$4:$O$7,12,0)</f>
        <v>123</v>
      </c>
      <c r="D20" s="174">
        <f t="shared" si="3"/>
        <v>53.125</v>
      </c>
      <c r="E20" s="199">
        <f>+VLOOKUP(A10,$A$4:$AH$7,32,0)</f>
        <v>0.25</v>
      </c>
      <c r="F20" s="181">
        <v>0.05</v>
      </c>
      <c r="G20" s="171">
        <f t="shared" si="1"/>
        <v>2.3152941176470589</v>
      </c>
      <c r="H20" s="172">
        <f t="shared" si="2"/>
        <v>130.23529411764707</v>
      </c>
    </row>
    <row r="21" spans="1:8">
      <c r="A21" s="169" t="s">
        <v>217</v>
      </c>
      <c r="B21" s="180"/>
      <c r="C21" s="176">
        <f>+VLOOKUP($A$10,$A$4:$O$7,13,0)</f>
        <v>0</v>
      </c>
      <c r="D21" s="174">
        <f t="shared" si="3"/>
        <v>10.625</v>
      </c>
      <c r="E21" s="199">
        <f>+VLOOKUP(A10,$A$4:$AH$7,33,0)</f>
        <v>0.05</v>
      </c>
      <c r="F21" s="181">
        <v>0.03</v>
      </c>
      <c r="G21" s="171">
        <f t="shared" si="1"/>
        <v>0</v>
      </c>
      <c r="H21" s="172">
        <f t="shared" si="2"/>
        <v>0</v>
      </c>
    </row>
    <row r="22" spans="1:8">
      <c r="A22" s="169" t="s">
        <v>218</v>
      </c>
      <c r="B22" s="180"/>
      <c r="C22" s="177">
        <f>+D22</f>
        <v>10.625</v>
      </c>
      <c r="D22" s="174">
        <f t="shared" si="3"/>
        <v>10.625</v>
      </c>
      <c r="E22" s="199">
        <f>+VLOOKUP(A10,$A$4:$AH$7,34,0)</f>
        <v>0.05</v>
      </c>
      <c r="F22" s="181">
        <v>0.03</v>
      </c>
      <c r="G22" s="171">
        <f t="shared" si="1"/>
        <v>1</v>
      </c>
      <c r="H22" s="172">
        <f t="shared" si="2"/>
        <v>33.75</v>
      </c>
    </row>
    <row r="23" spans="1:8">
      <c r="A23" s="182" t="s">
        <v>219</v>
      </c>
      <c r="B23" s="183"/>
      <c r="C23" s="183"/>
      <c r="D23" s="183"/>
      <c r="E23" s="184"/>
      <c r="F23" s="184"/>
      <c r="G23" s="184"/>
      <c r="H23" s="185">
        <f>SUM(H13:H22)</f>
        <v>830.84102588438748</v>
      </c>
    </row>
    <row r="24" spans="1:8">
      <c r="A24" s="167" t="s">
        <v>220</v>
      </c>
      <c r="B24" s="164">
        <f>+B11-B12</f>
        <v>112.49999999999977</v>
      </c>
      <c r="C24" s="167"/>
      <c r="D24" s="167"/>
      <c r="E24" s="167">
        <f>+SUM(E25:E27)</f>
        <v>0.1</v>
      </c>
      <c r="F24" s="167">
        <f>+SUM(F25:F27)</f>
        <v>0.1</v>
      </c>
      <c r="G24" s="167"/>
      <c r="H24" s="168"/>
    </row>
    <row r="25" spans="1:8" ht="30">
      <c r="A25" s="186" t="s">
        <v>221</v>
      </c>
      <c r="B25" s="187"/>
      <c r="C25" s="188">
        <v>1</v>
      </c>
      <c r="D25" s="188">
        <f>+C25</f>
        <v>1</v>
      </c>
      <c r="E25" s="178">
        <v>0.04</v>
      </c>
      <c r="F25" s="178">
        <v>0.04</v>
      </c>
      <c r="G25" s="178"/>
      <c r="H25" s="172">
        <f>+F25*$B$11</f>
        <v>45</v>
      </c>
    </row>
    <row r="26" spans="1:8">
      <c r="A26" s="186" t="s">
        <v>222</v>
      </c>
      <c r="B26" s="187"/>
      <c r="C26" s="188">
        <v>1</v>
      </c>
      <c r="D26" s="188">
        <f>+C26</f>
        <v>1</v>
      </c>
      <c r="E26" s="178">
        <v>0.03</v>
      </c>
      <c r="F26" s="178">
        <v>0.03</v>
      </c>
      <c r="G26" s="178"/>
      <c r="H26" s="172">
        <f>+F26*$B$11</f>
        <v>33.75</v>
      </c>
    </row>
    <row r="27" spans="1:8" ht="30">
      <c r="A27" s="186" t="s">
        <v>223</v>
      </c>
      <c r="B27" s="188"/>
      <c r="C27" s="188">
        <v>1</v>
      </c>
      <c r="D27" s="188">
        <f>+C27</f>
        <v>1</v>
      </c>
      <c r="E27" s="178">
        <v>0.03</v>
      </c>
      <c r="F27" s="178">
        <v>0.03</v>
      </c>
      <c r="G27" s="178"/>
      <c r="H27" s="172">
        <f>+F27*$B$11</f>
        <v>33.75</v>
      </c>
    </row>
    <row r="28" spans="1:8">
      <c r="A28" s="182" t="s">
        <v>219</v>
      </c>
      <c r="B28" s="183"/>
      <c r="C28" s="183"/>
      <c r="D28" s="183"/>
      <c r="E28" s="184"/>
      <c r="F28" s="184"/>
      <c r="G28" s="184"/>
      <c r="H28" s="185">
        <f>SUM(H25:H27)</f>
        <v>112.5</v>
      </c>
    </row>
    <row r="29" spans="1:8" ht="15.75">
      <c r="A29" s="182" t="s">
        <v>224</v>
      </c>
      <c r="B29" s="183"/>
      <c r="C29" s="183"/>
      <c r="D29" s="183"/>
      <c r="E29" s="184"/>
      <c r="F29" s="184"/>
      <c r="G29" s="184"/>
      <c r="H29" s="189">
        <f>+H28+H23</f>
        <v>943.34102588438748</v>
      </c>
    </row>
    <row r="31" spans="1:8">
      <c r="A31" s="113" t="s">
        <v>49</v>
      </c>
      <c r="B31" s="162">
        <f>+VLOOKUP(A31,$A$4:$P$7,16,0)</f>
        <v>1.0447058823529412</v>
      </c>
    </row>
    <row r="32" spans="1:8" ht="30">
      <c r="A32" s="163" t="s">
        <v>202</v>
      </c>
      <c r="B32" s="164">
        <f>+VLOOKUP(B31,'Rango-Bono'!$A$2:$C$46,3,1)</f>
        <v>9000</v>
      </c>
      <c r="C32" s="165" t="s">
        <v>203</v>
      </c>
      <c r="D32" s="163" t="s">
        <v>204</v>
      </c>
      <c r="E32" s="163" t="s">
        <v>205</v>
      </c>
      <c r="F32" s="163" t="s">
        <v>206</v>
      </c>
      <c r="G32" s="163" t="s">
        <v>207</v>
      </c>
      <c r="H32" s="166" t="s">
        <v>208</v>
      </c>
    </row>
    <row r="33" spans="1:10">
      <c r="A33" s="167" t="s">
        <v>209</v>
      </c>
      <c r="B33" s="164">
        <f>B32*F33</f>
        <v>8100.0000000000018</v>
      </c>
      <c r="C33" s="167"/>
      <c r="D33" s="167"/>
      <c r="E33" s="167"/>
      <c r="F33" s="167">
        <f>SUM(F34:F43)</f>
        <v>0.90000000000000024</v>
      </c>
      <c r="G33" s="167"/>
      <c r="H33" s="168"/>
    </row>
    <row r="34" spans="1:10">
      <c r="A34" s="169" t="s">
        <v>210</v>
      </c>
      <c r="B34" s="170"/>
      <c r="C34" s="170">
        <f>+VLOOKUP(A31,$A$4:$W$7,20,0)</f>
        <v>215</v>
      </c>
      <c r="D34" s="198">
        <f>+VLOOKUP(A31,$A$4:$AH$7,25,0)</f>
        <v>212.5</v>
      </c>
      <c r="E34" s="171"/>
      <c r="F34" s="171">
        <v>0.2</v>
      </c>
      <c r="G34" s="171">
        <f t="shared" ref="G34:G43" si="4">+C34/D34</f>
        <v>1.0117647058823529</v>
      </c>
      <c r="H34" s="172">
        <f t="shared" ref="H34:H43" si="5">+$B$32*F34*G34</f>
        <v>1821.1764705882351</v>
      </c>
    </row>
    <row r="35" spans="1:10">
      <c r="A35" s="169" t="s">
        <v>211</v>
      </c>
      <c r="B35" s="173"/>
      <c r="C35" s="170">
        <f>+VLOOKUP(A31,$A$4:$W$7,3,0)</f>
        <v>174</v>
      </c>
      <c r="D35" s="198">
        <f>+VLOOKUP(A31,$A$4:$AH$7,26,0)</f>
        <v>147.75</v>
      </c>
      <c r="E35" s="171"/>
      <c r="F35" s="171">
        <v>0.2</v>
      </c>
      <c r="G35" s="171">
        <f t="shared" si="4"/>
        <v>1.1776649746192893</v>
      </c>
      <c r="H35" s="172">
        <f t="shared" si="5"/>
        <v>2119.7969543147206</v>
      </c>
    </row>
    <row r="36" spans="1:10">
      <c r="A36" s="169" t="s">
        <v>212</v>
      </c>
      <c r="B36" s="173"/>
      <c r="C36" s="170">
        <f>+VLOOKUP(A31,$A$4:$W$7,7,0)</f>
        <v>169</v>
      </c>
      <c r="D36" s="174">
        <f>+$D$34*E36</f>
        <v>127.5</v>
      </c>
      <c r="E36" s="199">
        <f>+VLOOKUP(A31,$A$4:$AH$7,27,0)</f>
        <v>0.6</v>
      </c>
      <c r="F36" s="171">
        <v>0.1</v>
      </c>
      <c r="G36" s="171">
        <f t="shared" si="4"/>
        <v>1.3254901960784313</v>
      </c>
      <c r="H36" s="172">
        <f t="shared" si="5"/>
        <v>1192.9411764705883</v>
      </c>
      <c r="J36" s="44"/>
    </row>
    <row r="37" spans="1:10">
      <c r="A37" s="169" t="s">
        <v>276</v>
      </c>
      <c r="B37" s="173"/>
      <c r="C37" s="175">
        <f>+VLOOKUP($A$31,$A$4:$O$7,8,0)</f>
        <v>0.80810000000000004</v>
      </c>
      <c r="D37" s="199">
        <f>+VLOOKUP(A31,$A$4:$AH$7,28,0)</f>
        <v>0.8</v>
      </c>
      <c r="F37" s="171">
        <v>0.14000000000000001</v>
      </c>
      <c r="G37" s="171">
        <f t="shared" si="4"/>
        <v>1.0101249999999999</v>
      </c>
      <c r="H37" s="172">
        <f t="shared" si="5"/>
        <v>1272.7575000000002</v>
      </c>
      <c r="I37" s="44"/>
    </row>
    <row r="38" spans="1:10">
      <c r="A38" s="169" t="s">
        <v>213</v>
      </c>
      <c r="B38" s="173"/>
      <c r="C38" s="176">
        <f>+VLOOKUP(A31,$A$4:$W$7,21,0)</f>
        <v>35</v>
      </c>
      <c r="D38" s="174">
        <f t="shared" ref="D38:D43" si="6">+$D$34*E38</f>
        <v>27.625</v>
      </c>
      <c r="E38" s="199">
        <f>+VLOOKUP(A31,$A$4:$AH$7,29,0)</f>
        <v>0.13</v>
      </c>
      <c r="F38" s="171">
        <v>0.05</v>
      </c>
      <c r="G38" s="171">
        <f t="shared" si="4"/>
        <v>1.2669683257918551</v>
      </c>
      <c r="H38" s="172">
        <f t="shared" si="5"/>
        <v>570.13574660633481</v>
      </c>
    </row>
    <row r="39" spans="1:10">
      <c r="A39" s="169" t="s">
        <v>214</v>
      </c>
      <c r="B39" s="173"/>
      <c r="C39" s="176">
        <f>+VLOOKUP(A31,$A$4:$W$7,22,0)</f>
        <v>87</v>
      </c>
      <c r="D39" s="174">
        <f t="shared" si="6"/>
        <v>74.375</v>
      </c>
      <c r="E39" s="199">
        <f>+VLOOKUP(A31,$A$4:$AH$7,30,0)</f>
        <v>0.35</v>
      </c>
      <c r="F39" s="171">
        <v>0.05</v>
      </c>
      <c r="G39" s="171">
        <f t="shared" si="4"/>
        <v>1.1697478991596639</v>
      </c>
      <c r="H39" s="172">
        <f t="shared" si="5"/>
        <v>526.38655462184875</v>
      </c>
    </row>
    <row r="40" spans="1:10">
      <c r="A40" s="169" t="s">
        <v>215</v>
      </c>
      <c r="B40" s="177"/>
      <c r="C40" s="176">
        <f>+VLOOKUP($A$31,$A$4:$O$7,11,0)</f>
        <v>9</v>
      </c>
      <c r="D40" s="174">
        <f t="shared" si="6"/>
        <v>10.625</v>
      </c>
      <c r="E40" s="199">
        <f>+VLOOKUP(A31,$A$4:$AH$7,31,0)</f>
        <v>0.05</v>
      </c>
      <c r="F40" s="178">
        <v>0.05</v>
      </c>
      <c r="G40" s="171">
        <f t="shared" si="4"/>
        <v>0.84705882352941175</v>
      </c>
      <c r="H40" s="172">
        <f t="shared" si="5"/>
        <v>381.1764705882353</v>
      </c>
    </row>
    <row r="41" spans="1:10">
      <c r="A41" s="179" t="s">
        <v>216</v>
      </c>
      <c r="B41" s="180"/>
      <c r="C41" s="176">
        <f>+VLOOKUP($A$31,$A$4:$O$7,12,0)</f>
        <v>156</v>
      </c>
      <c r="D41" s="174">
        <f t="shared" si="6"/>
        <v>53.125</v>
      </c>
      <c r="E41" s="199">
        <f>+VLOOKUP(A31,$A$4:$AH$7,32,0)</f>
        <v>0.25</v>
      </c>
      <c r="F41" s="181">
        <v>0.05</v>
      </c>
      <c r="G41" s="171">
        <f t="shared" si="4"/>
        <v>2.9364705882352942</v>
      </c>
      <c r="H41" s="172">
        <f t="shared" si="5"/>
        <v>1321.4117647058824</v>
      </c>
    </row>
    <row r="42" spans="1:10">
      <c r="A42" s="169" t="s">
        <v>217</v>
      </c>
      <c r="B42" s="180"/>
      <c r="C42" s="176">
        <f>+VLOOKUP($A$31,$A$4:$O$7,13,0)</f>
        <v>29</v>
      </c>
      <c r="D42" s="174">
        <f t="shared" si="6"/>
        <v>10.625</v>
      </c>
      <c r="E42" s="199">
        <f>+VLOOKUP(A31,$A$4:$AH$7,33,0)</f>
        <v>0.05</v>
      </c>
      <c r="F42" s="181">
        <v>0.03</v>
      </c>
      <c r="G42" s="171">
        <f t="shared" si="4"/>
        <v>2.7294117647058824</v>
      </c>
      <c r="H42" s="172">
        <f t="shared" si="5"/>
        <v>736.94117647058829</v>
      </c>
    </row>
    <row r="43" spans="1:10">
      <c r="A43" s="169" t="s">
        <v>218</v>
      </c>
      <c r="B43" s="180"/>
      <c r="C43" s="208">
        <f>+D43</f>
        <v>10.625</v>
      </c>
      <c r="D43" s="174">
        <f t="shared" si="6"/>
        <v>10.625</v>
      </c>
      <c r="E43" s="199">
        <f>+VLOOKUP(A31,$A$4:$AH$7,34,0)</f>
        <v>0.05</v>
      </c>
      <c r="F43" s="181">
        <v>0.03</v>
      </c>
      <c r="G43" s="171">
        <f t="shared" si="4"/>
        <v>1</v>
      </c>
      <c r="H43" s="172">
        <f t="shared" si="5"/>
        <v>270</v>
      </c>
    </row>
    <row r="44" spans="1:10">
      <c r="A44" s="182" t="s">
        <v>219</v>
      </c>
      <c r="B44" s="183"/>
      <c r="C44" s="183"/>
      <c r="D44" s="183"/>
      <c r="E44" s="184"/>
      <c r="F44" s="184"/>
      <c r="G44" s="184"/>
      <c r="H44" s="185">
        <f>SUM(H34:H43)</f>
        <v>10212.723814366433</v>
      </c>
    </row>
    <row r="45" spans="1:10">
      <c r="A45" s="167" t="s">
        <v>220</v>
      </c>
      <c r="B45" s="164">
        <f>+B32-B33</f>
        <v>899.99999999999818</v>
      </c>
      <c r="C45" s="167"/>
      <c r="D45" s="167"/>
      <c r="E45" s="167">
        <f>+SUM(E46:E48)</f>
        <v>0.1</v>
      </c>
      <c r="F45" s="167">
        <f>+SUM(F46:F48)</f>
        <v>0.1</v>
      </c>
      <c r="G45" s="167"/>
      <c r="H45" s="168"/>
    </row>
    <row r="46" spans="1:10" ht="30">
      <c r="A46" s="186" t="s">
        <v>221</v>
      </c>
      <c r="B46" s="187"/>
      <c r="C46" s="188">
        <v>1</v>
      </c>
      <c r="D46" s="188">
        <f>+C46</f>
        <v>1</v>
      </c>
      <c r="E46" s="178">
        <v>0.04</v>
      </c>
      <c r="F46" s="178">
        <v>0.04</v>
      </c>
      <c r="G46" s="178"/>
      <c r="H46" s="172">
        <f>+F46*$B$32</f>
        <v>360</v>
      </c>
    </row>
    <row r="47" spans="1:10">
      <c r="A47" s="186" t="s">
        <v>222</v>
      </c>
      <c r="B47" s="187"/>
      <c r="C47" s="188">
        <v>1</v>
      </c>
      <c r="D47" s="188">
        <f>+C47</f>
        <v>1</v>
      </c>
      <c r="E47" s="178">
        <v>0.03</v>
      </c>
      <c r="F47" s="178">
        <v>0.03</v>
      </c>
      <c r="G47" s="178"/>
      <c r="H47" s="172">
        <f>+F47*$B$32</f>
        <v>270</v>
      </c>
    </row>
    <row r="48" spans="1:10" ht="30">
      <c r="A48" s="186" t="s">
        <v>223</v>
      </c>
      <c r="B48" s="188"/>
      <c r="C48" s="188">
        <v>1</v>
      </c>
      <c r="D48" s="188">
        <f>+C48</f>
        <v>1</v>
      </c>
      <c r="E48" s="178">
        <v>0.03</v>
      </c>
      <c r="F48" s="178">
        <v>0.03</v>
      </c>
      <c r="G48" s="178"/>
      <c r="H48" s="172">
        <f>+F48*$B$32</f>
        <v>270</v>
      </c>
    </row>
    <row r="49" spans="1:10">
      <c r="A49" s="182" t="s">
        <v>219</v>
      </c>
      <c r="B49" s="183"/>
      <c r="C49" s="183"/>
      <c r="D49" s="183"/>
      <c r="E49" s="184"/>
      <c r="F49" s="184"/>
      <c r="G49" s="184"/>
      <c r="H49" s="185">
        <f>SUM(H46:H48)</f>
        <v>900</v>
      </c>
    </row>
    <row r="50" spans="1:10" ht="15.75">
      <c r="A50" s="182" t="s">
        <v>224</v>
      </c>
      <c r="B50" s="183"/>
      <c r="C50" s="183"/>
      <c r="D50" s="183"/>
      <c r="E50" s="184"/>
      <c r="F50" s="184"/>
      <c r="G50" s="184"/>
      <c r="H50" s="189">
        <f>+H49+H44</f>
        <v>11112.723814366433</v>
      </c>
    </row>
    <row r="52" spans="1:10">
      <c r="A52" s="113" t="s">
        <v>50</v>
      </c>
      <c r="B52" s="162">
        <f>+VLOOKUP(A52,$A$4:$P$7,16,0)</f>
        <v>0.83764705882352941</v>
      </c>
    </row>
    <row r="53" spans="1:10" ht="30">
      <c r="A53" s="163" t="s">
        <v>202</v>
      </c>
      <c r="B53" s="164">
        <f>+VLOOKUP(B52,'Rango-Bono'!$A$2:$C$46,3,1)</f>
        <v>5175</v>
      </c>
      <c r="C53" s="165" t="s">
        <v>203</v>
      </c>
      <c r="D53" s="163" t="s">
        <v>204</v>
      </c>
      <c r="E53" s="163" t="s">
        <v>205</v>
      </c>
      <c r="F53" s="163" t="s">
        <v>206</v>
      </c>
      <c r="G53" s="163" t="s">
        <v>207</v>
      </c>
      <c r="H53" s="166" t="s">
        <v>208</v>
      </c>
    </row>
    <row r="54" spans="1:10">
      <c r="A54" s="167" t="s">
        <v>209</v>
      </c>
      <c r="B54" s="164">
        <f>B53*F54</f>
        <v>4657.5000000000009</v>
      </c>
      <c r="C54" s="167"/>
      <c r="D54" s="167"/>
      <c r="E54" s="167"/>
      <c r="F54" s="167">
        <f>SUM(F55:F64)</f>
        <v>0.90000000000000024</v>
      </c>
      <c r="G54" s="167"/>
      <c r="H54" s="168"/>
    </row>
    <row r="55" spans="1:10">
      <c r="A55" s="169" t="s">
        <v>210</v>
      </c>
      <c r="B55" s="170"/>
      <c r="C55" s="170">
        <f>+VLOOKUP(A52,$A$4:$W$7,20,0)</f>
        <v>174</v>
      </c>
      <c r="D55" s="198">
        <f>+VLOOKUP(A52,$A$4:$AH$7,25,0)</f>
        <v>212.5</v>
      </c>
      <c r="E55" s="171"/>
      <c r="F55" s="171">
        <v>0.2</v>
      </c>
      <c r="G55" s="171">
        <f t="shared" ref="G55:G64" si="7">+C55/D55</f>
        <v>0.81882352941176473</v>
      </c>
      <c r="H55" s="172">
        <f>+$B$53*F55*G55</f>
        <v>847.48235294117649</v>
      </c>
    </row>
    <row r="56" spans="1:10">
      <c r="A56" s="169" t="s">
        <v>211</v>
      </c>
      <c r="B56" s="173"/>
      <c r="C56" s="170">
        <f>+VLOOKUP(A52,$A$4:$W$7,3,0)</f>
        <v>144</v>
      </c>
      <c r="D56" s="198">
        <f>+VLOOKUP(A52,$A$4:$AH$7,26,0)</f>
        <v>147.75</v>
      </c>
      <c r="E56" s="171"/>
      <c r="F56" s="171">
        <v>0.2</v>
      </c>
      <c r="G56" s="171">
        <f t="shared" si="7"/>
        <v>0.97461928934010156</v>
      </c>
      <c r="H56" s="172">
        <f t="shared" ref="H56:H64" si="8">+$B$53*F56*G56</f>
        <v>1008.7309644670052</v>
      </c>
    </row>
    <row r="57" spans="1:10">
      <c r="A57" s="169" t="s">
        <v>212</v>
      </c>
      <c r="B57" s="173"/>
      <c r="C57" s="170">
        <f>+VLOOKUP(A52,$A$4:$W$7,7,0)</f>
        <v>146</v>
      </c>
      <c r="D57" s="174">
        <f>+$D$55*E57</f>
        <v>127.5</v>
      </c>
      <c r="E57" s="199">
        <f>+VLOOKUP(A52,$A$4:$AH$7,27,0)</f>
        <v>0.6</v>
      </c>
      <c r="F57" s="171">
        <v>0.1</v>
      </c>
      <c r="G57" s="171">
        <f t="shared" si="7"/>
        <v>1.1450980392156862</v>
      </c>
      <c r="H57" s="172">
        <f t="shared" si="8"/>
        <v>592.58823529411757</v>
      </c>
      <c r="J57" s="44"/>
    </row>
    <row r="58" spans="1:10">
      <c r="A58" s="169" t="s">
        <v>276</v>
      </c>
      <c r="B58" s="173"/>
      <c r="C58" s="175">
        <f>+VLOOKUP($A$52,$A$4:$O$7,8,0)</f>
        <v>0.78310000000000002</v>
      </c>
      <c r="D58" s="199">
        <f>+VLOOKUP(A52,$A$4:$AH$7,28,0)</f>
        <v>0.8</v>
      </c>
      <c r="F58" s="171">
        <v>0.14000000000000001</v>
      </c>
      <c r="G58" s="171">
        <f t="shared" si="7"/>
        <v>0.97887499999999994</v>
      </c>
      <c r="H58" s="172">
        <f t="shared" si="8"/>
        <v>709.19493750000004</v>
      </c>
      <c r="I58" s="44"/>
    </row>
    <row r="59" spans="1:10">
      <c r="A59" s="169" t="s">
        <v>213</v>
      </c>
      <c r="B59" s="173"/>
      <c r="C59" s="176">
        <f>+VLOOKUP(A52,$A$4:$W$7,21,0)</f>
        <v>21</v>
      </c>
      <c r="D59" s="174">
        <f t="shared" ref="D59:D64" si="9">+$D$55*E59</f>
        <v>27.625</v>
      </c>
      <c r="E59" s="199">
        <f>+VLOOKUP(A52,$A$4:$AH$7,29,0)</f>
        <v>0.13</v>
      </c>
      <c r="F59" s="171">
        <v>0.05</v>
      </c>
      <c r="G59" s="171">
        <f t="shared" si="7"/>
        <v>0.76018099547511309</v>
      </c>
      <c r="H59" s="172">
        <f t="shared" si="8"/>
        <v>196.69683257918552</v>
      </c>
    </row>
    <row r="60" spans="1:10">
      <c r="A60" s="169" t="s">
        <v>214</v>
      </c>
      <c r="B60" s="173"/>
      <c r="C60" s="176">
        <f>+VLOOKUP(A52,$A$4:$W$7,22,0)</f>
        <v>65</v>
      </c>
      <c r="D60" s="174">
        <f t="shared" si="9"/>
        <v>74.375</v>
      </c>
      <c r="E60" s="199">
        <f>+VLOOKUP(A52,$A$4:$AH$7,30,0)</f>
        <v>0.35</v>
      </c>
      <c r="F60" s="171">
        <v>0.05</v>
      </c>
      <c r="G60" s="171">
        <f t="shared" si="7"/>
        <v>0.87394957983193278</v>
      </c>
      <c r="H60" s="172">
        <f t="shared" si="8"/>
        <v>226.1344537815126</v>
      </c>
    </row>
    <row r="61" spans="1:10">
      <c r="A61" s="169" t="s">
        <v>215</v>
      </c>
      <c r="B61" s="177"/>
      <c r="C61" s="176">
        <f>+VLOOKUP($A$52,$A$4:$O$7,11,0)</f>
        <v>4</v>
      </c>
      <c r="D61" s="174">
        <f t="shared" si="9"/>
        <v>10.625</v>
      </c>
      <c r="E61" s="199">
        <f>+VLOOKUP(A52,$A$4:$AH$7,31,0)</f>
        <v>0.05</v>
      </c>
      <c r="F61" s="178">
        <v>0.05</v>
      </c>
      <c r="G61" s="171">
        <f t="shared" si="7"/>
        <v>0.37647058823529411</v>
      </c>
      <c r="H61" s="172">
        <f t="shared" si="8"/>
        <v>97.411764705882348</v>
      </c>
    </row>
    <row r="62" spans="1:10">
      <c r="A62" s="179" t="s">
        <v>216</v>
      </c>
      <c r="B62" s="180"/>
      <c r="C62" s="176">
        <f>+VLOOKUP($A$52,$A$4:$O$7,12,0)</f>
        <v>136</v>
      </c>
      <c r="D62" s="174">
        <f t="shared" si="9"/>
        <v>53.125</v>
      </c>
      <c r="E62" s="199">
        <f>+VLOOKUP(A52,$A$4:$AH$7,32,0)</f>
        <v>0.25</v>
      </c>
      <c r="F62" s="181">
        <v>0.05</v>
      </c>
      <c r="G62" s="171">
        <f t="shared" si="7"/>
        <v>2.56</v>
      </c>
      <c r="H62" s="172">
        <f t="shared" si="8"/>
        <v>662.4</v>
      </c>
    </row>
    <row r="63" spans="1:10">
      <c r="A63" s="169" t="s">
        <v>217</v>
      </c>
      <c r="B63" s="180"/>
      <c r="C63" s="176">
        <f>+VLOOKUP($A$52,$A$4:$O$7,13,0)</f>
        <v>7</v>
      </c>
      <c r="D63" s="174">
        <f t="shared" si="9"/>
        <v>10.625</v>
      </c>
      <c r="E63" s="199">
        <f>+VLOOKUP(A52,$A$4:$AH$7,33,0)</f>
        <v>0.05</v>
      </c>
      <c r="F63" s="181">
        <v>0.03</v>
      </c>
      <c r="G63" s="171">
        <f t="shared" si="7"/>
        <v>0.6588235294117647</v>
      </c>
      <c r="H63" s="172">
        <f t="shared" si="8"/>
        <v>102.28235294117647</v>
      </c>
    </row>
    <row r="64" spans="1:10">
      <c r="A64" s="169" t="s">
        <v>218</v>
      </c>
      <c r="B64" s="180"/>
      <c r="C64" s="208">
        <f>+D64</f>
        <v>10.625</v>
      </c>
      <c r="D64" s="174">
        <f t="shared" si="9"/>
        <v>10.625</v>
      </c>
      <c r="E64" s="199">
        <f>+VLOOKUP(A52,$A$4:$AH$7,34,0)</f>
        <v>0.05</v>
      </c>
      <c r="F64" s="181">
        <v>0.03</v>
      </c>
      <c r="G64" s="171">
        <f t="shared" si="7"/>
        <v>1</v>
      </c>
      <c r="H64" s="172">
        <f t="shared" si="8"/>
        <v>155.25</v>
      </c>
    </row>
    <row r="65" spans="1:10">
      <c r="A65" s="182" t="s">
        <v>219</v>
      </c>
      <c r="B65" s="183"/>
      <c r="C65" s="183"/>
      <c r="D65" s="183"/>
      <c r="E65" s="184"/>
      <c r="F65" s="184"/>
      <c r="G65" s="184"/>
      <c r="H65" s="185">
        <f>SUM(H55:H64)</f>
        <v>4598.1718942100551</v>
      </c>
    </row>
    <row r="66" spans="1:10">
      <c r="A66" s="167" t="s">
        <v>220</v>
      </c>
      <c r="B66" s="164">
        <f>+B53-B54</f>
        <v>517.49999999999909</v>
      </c>
      <c r="C66" s="167"/>
      <c r="D66" s="167"/>
      <c r="E66" s="167">
        <f>+SUM(E67:E69)</f>
        <v>0.1</v>
      </c>
      <c r="F66" s="167">
        <f>+SUM(F67:F69)</f>
        <v>0.1</v>
      </c>
      <c r="G66" s="167"/>
      <c r="H66" s="168"/>
    </row>
    <row r="67" spans="1:10" ht="30">
      <c r="A67" s="186" t="s">
        <v>221</v>
      </c>
      <c r="B67" s="187"/>
      <c r="C67" s="188">
        <v>1</v>
      </c>
      <c r="D67" s="188">
        <f>+C67</f>
        <v>1</v>
      </c>
      <c r="E67" s="178">
        <v>0.04</v>
      </c>
      <c r="F67" s="178">
        <v>0.04</v>
      </c>
      <c r="G67" s="178"/>
      <c r="H67" s="172">
        <f>+F67*$B$53</f>
        <v>207</v>
      </c>
    </row>
    <row r="68" spans="1:10">
      <c r="A68" s="186" t="s">
        <v>222</v>
      </c>
      <c r="B68" s="187"/>
      <c r="C68" s="188">
        <v>1</v>
      </c>
      <c r="D68" s="188">
        <f>+C68</f>
        <v>1</v>
      </c>
      <c r="E68" s="178">
        <v>0.03</v>
      </c>
      <c r="F68" s="178">
        <v>0.03</v>
      </c>
      <c r="G68" s="178"/>
      <c r="H68" s="172">
        <f>+F68*$B$53</f>
        <v>155.25</v>
      </c>
    </row>
    <row r="69" spans="1:10" ht="30">
      <c r="A69" s="186" t="s">
        <v>223</v>
      </c>
      <c r="B69" s="188"/>
      <c r="C69" s="188">
        <v>1</v>
      </c>
      <c r="D69" s="188">
        <f>+C69</f>
        <v>1</v>
      </c>
      <c r="E69" s="178">
        <v>0.03</v>
      </c>
      <c r="F69" s="178">
        <v>0.03</v>
      </c>
      <c r="G69" s="178"/>
      <c r="H69" s="172">
        <f>+F69*$B$53</f>
        <v>155.25</v>
      </c>
    </row>
    <row r="70" spans="1:10">
      <c r="A70" s="182" t="s">
        <v>219</v>
      </c>
      <c r="B70" s="183"/>
      <c r="C70" s="183"/>
      <c r="D70" s="183"/>
      <c r="E70" s="184"/>
      <c r="F70" s="184"/>
      <c r="G70" s="184"/>
      <c r="H70" s="185">
        <f>SUM(H67:H69)</f>
        <v>517.5</v>
      </c>
    </row>
    <row r="71" spans="1:10" ht="15.75">
      <c r="A71" s="182" t="s">
        <v>224</v>
      </c>
      <c r="B71" s="183"/>
      <c r="C71" s="183"/>
      <c r="D71" s="183"/>
      <c r="E71" s="184"/>
      <c r="F71" s="184"/>
      <c r="G71" s="184"/>
      <c r="H71" s="189">
        <f>+H70+H65</f>
        <v>5115.6718942100551</v>
      </c>
    </row>
    <row r="73" spans="1:10">
      <c r="A73" s="113" t="s">
        <v>51</v>
      </c>
      <c r="B73" s="162">
        <f>+VLOOKUP(A73,$A$4:$P$7,16,0)</f>
        <v>0.84235294117647064</v>
      </c>
    </row>
    <row r="74" spans="1:10" ht="30">
      <c r="A74" s="163" t="s">
        <v>202</v>
      </c>
      <c r="B74" s="164">
        <f>+VLOOKUP(B73,'Rango-Bono'!$A$2:$C$46,3,1)</f>
        <v>5400</v>
      </c>
      <c r="C74" s="165" t="s">
        <v>203</v>
      </c>
      <c r="D74" s="163" t="s">
        <v>204</v>
      </c>
      <c r="E74" s="163" t="s">
        <v>205</v>
      </c>
      <c r="F74" s="163" t="s">
        <v>206</v>
      </c>
      <c r="G74" s="163" t="s">
        <v>207</v>
      </c>
      <c r="H74" s="166" t="s">
        <v>208</v>
      </c>
    </row>
    <row r="75" spans="1:10">
      <c r="A75" s="167" t="s">
        <v>209</v>
      </c>
      <c r="B75" s="164">
        <f>B74*F75</f>
        <v>4860.0000000000009</v>
      </c>
      <c r="C75" s="167"/>
      <c r="D75" s="167"/>
      <c r="E75" s="167"/>
      <c r="F75" s="167">
        <f>SUM(F76:F85)</f>
        <v>0.90000000000000024</v>
      </c>
      <c r="G75" s="167"/>
      <c r="H75" s="168"/>
    </row>
    <row r="76" spans="1:10">
      <c r="A76" s="169" t="s">
        <v>210</v>
      </c>
      <c r="B76" s="170"/>
      <c r="C76" s="170">
        <f>+VLOOKUP(A73,$A$4:$W$7,20,0)</f>
        <v>174</v>
      </c>
      <c r="D76" s="198">
        <f>+VLOOKUP(A73,$A$4:$AH$7,25,0)</f>
        <v>212.5</v>
      </c>
      <c r="E76" s="171"/>
      <c r="F76" s="171">
        <v>0.2</v>
      </c>
      <c r="G76" s="171">
        <f t="shared" ref="G76:G85" si="10">+C76/D76</f>
        <v>0.81882352941176473</v>
      </c>
      <c r="H76" s="172">
        <f>+$B$74*F76*G76</f>
        <v>884.32941176470592</v>
      </c>
    </row>
    <row r="77" spans="1:10">
      <c r="A77" s="169" t="s">
        <v>211</v>
      </c>
      <c r="B77" s="173"/>
      <c r="C77" s="170">
        <f>+VLOOKUP(A73,$A$4:$W$7,3,0)</f>
        <v>138</v>
      </c>
      <c r="D77" s="198">
        <f>+VLOOKUP(A73,$A$4:$AH$7,26,0)</f>
        <v>147.75</v>
      </c>
      <c r="E77" s="171"/>
      <c r="F77" s="171">
        <v>0.2</v>
      </c>
      <c r="G77" s="171">
        <f t="shared" si="10"/>
        <v>0.93401015228426398</v>
      </c>
      <c r="H77" s="172">
        <f t="shared" ref="H77:H85" si="11">+$B$74*F77*G77</f>
        <v>1008.7309644670052</v>
      </c>
    </row>
    <row r="78" spans="1:10">
      <c r="A78" s="169" t="s">
        <v>212</v>
      </c>
      <c r="B78" s="173"/>
      <c r="C78" s="170">
        <f>+VLOOKUP($A$73,$A$4:$O$7,7,0)</f>
        <v>140</v>
      </c>
      <c r="D78" s="174">
        <f>+$D$76*E78</f>
        <v>127.5</v>
      </c>
      <c r="E78" s="199">
        <f>+VLOOKUP(A73,$A$4:$AH$7,27,0)</f>
        <v>0.6</v>
      </c>
      <c r="F78" s="171">
        <v>0.1</v>
      </c>
      <c r="G78" s="171">
        <f t="shared" si="10"/>
        <v>1.0980392156862746</v>
      </c>
      <c r="H78" s="172">
        <f t="shared" si="11"/>
        <v>592.94117647058829</v>
      </c>
      <c r="J78" s="44"/>
    </row>
    <row r="79" spans="1:10">
      <c r="A79" s="169" t="s">
        <v>276</v>
      </c>
      <c r="B79" s="173"/>
      <c r="C79" s="175">
        <f>+VLOOKUP($A$73,$A$4:$O$7,8,0)</f>
        <v>0.82410000000000005</v>
      </c>
      <c r="D79" s="199">
        <f>+VLOOKUP(A73,$A$4:$AH$7,28,0)</f>
        <v>0.8</v>
      </c>
      <c r="F79" s="171">
        <v>0.14000000000000001</v>
      </c>
      <c r="G79" s="171">
        <f t="shared" si="10"/>
        <v>1.030125</v>
      </c>
      <c r="H79" s="172">
        <f t="shared" si="11"/>
        <v>778.7745000000001</v>
      </c>
      <c r="I79" s="44"/>
    </row>
    <row r="80" spans="1:10">
      <c r="A80" s="169" t="s">
        <v>213</v>
      </c>
      <c r="B80" s="173"/>
      <c r="C80" s="176">
        <f>+VLOOKUP(A73,$A$4:$W$7,21,0)</f>
        <v>28</v>
      </c>
      <c r="D80" s="174">
        <f t="shared" ref="D80:D85" si="12">+$D$76*E80</f>
        <v>27.625</v>
      </c>
      <c r="E80" s="199">
        <f>+VLOOKUP(A73,$A$4:$AH$7,29,0)</f>
        <v>0.13</v>
      </c>
      <c r="F80" s="171">
        <v>0.05</v>
      </c>
      <c r="G80" s="171">
        <f t="shared" si="10"/>
        <v>1.0135746606334841</v>
      </c>
      <c r="H80" s="172">
        <f t="shared" si="11"/>
        <v>273.66515837104072</v>
      </c>
    </row>
    <row r="81" spans="1:8">
      <c r="A81" s="169" t="s">
        <v>214</v>
      </c>
      <c r="B81" s="173"/>
      <c r="C81" s="176">
        <f>+VLOOKUP(A73,$A$4:$W$7,22,0)</f>
        <v>55</v>
      </c>
      <c r="D81" s="174">
        <f t="shared" si="12"/>
        <v>74.375</v>
      </c>
      <c r="E81" s="199">
        <f>+VLOOKUP(A73,$A$4:$AH$7,30,0)</f>
        <v>0.35</v>
      </c>
      <c r="F81" s="171">
        <v>0.05</v>
      </c>
      <c r="G81" s="171">
        <f t="shared" si="10"/>
        <v>0.73949579831932777</v>
      </c>
      <c r="H81" s="172">
        <f t="shared" si="11"/>
        <v>199.66386554621849</v>
      </c>
    </row>
    <row r="82" spans="1:8">
      <c r="A82" s="169" t="s">
        <v>215</v>
      </c>
      <c r="B82" s="177"/>
      <c r="C82" s="176">
        <f>+VLOOKUP($A$73,$A$4:$O$7,11,0)</f>
        <v>8</v>
      </c>
      <c r="D82" s="174">
        <f t="shared" si="12"/>
        <v>10.625</v>
      </c>
      <c r="E82" s="199">
        <f>+VLOOKUP(A73,$A$4:$AH$7,31,0)</f>
        <v>0.05</v>
      </c>
      <c r="F82" s="178">
        <v>0.05</v>
      </c>
      <c r="G82" s="171">
        <f t="shared" si="10"/>
        <v>0.75294117647058822</v>
      </c>
      <c r="H82" s="172">
        <f t="shared" si="11"/>
        <v>203.29411764705881</v>
      </c>
    </row>
    <row r="83" spans="1:8">
      <c r="A83" s="179" t="s">
        <v>216</v>
      </c>
      <c r="B83" s="180"/>
      <c r="C83" s="176">
        <f>+VLOOKUP($A$73,$A$4:$O$7,12,0)</f>
        <v>172</v>
      </c>
      <c r="D83" s="174">
        <f t="shared" si="12"/>
        <v>53.125</v>
      </c>
      <c r="E83" s="199">
        <f>+VLOOKUP(A73,$A$4:$AH$7,32,0)</f>
        <v>0.25</v>
      </c>
      <c r="F83" s="181">
        <v>0.05</v>
      </c>
      <c r="G83" s="171">
        <f t="shared" si="10"/>
        <v>3.2376470588235295</v>
      </c>
      <c r="H83" s="172">
        <f t="shared" si="11"/>
        <v>874.16470588235302</v>
      </c>
    </row>
    <row r="84" spans="1:8">
      <c r="A84" s="169" t="s">
        <v>217</v>
      </c>
      <c r="B84" s="180"/>
      <c r="C84" s="176">
        <f>+VLOOKUP($A$73,$A$4:$O$7,13,0)</f>
        <v>1</v>
      </c>
      <c r="D84" s="174">
        <f t="shared" si="12"/>
        <v>10.625</v>
      </c>
      <c r="E84" s="199">
        <f>+VLOOKUP(A73,$A$4:$AH$7,33,0)</f>
        <v>0.05</v>
      </c>
      <c r="F84" s="181">
        <v>0.03</v>
      </c>
      <c r="G84" s="171">
        <f t="shared" si="10"/>
        <v>9.4117647058823528E-2</v>
      </c>
      <c r="H84" s="172">
        <f t="shared" si="11"/>
        <v>15.247058823529411</v>
      </c>
    </row>
    <row r="85" spans="1:8">
      <c r="A85" s="169" t="s">
        <v>218</v>
      </c>
      <c r="B85" s="180"/>
      <c r="C85" s="208">
        <f>+D85</f>
        <v>10.625</v>
      </c>
      <c r="D85" s="174">
        <f t="shared" si="12"/>
        <v>10.625</v>
      </c>
      <c r="E85" s="199">
        <f>+VLOOKUP(A73,$A$4:$AH$7,34,0)</f>
        <v>0.05</v>
      </c>
      <c r="F85" s="181">
        <v>0.03</v>
      </c>
      <c r="G85" s="171">
        <f t="shared" si="10"/>
        <v>1</v>
      </c>
      <c r="H85" s="172">
        <f t="shared" si="11"/>
        <v>162</v>
      </c>
    </row>
    <row r="86" spans="1:8">
      <c r="A86" s="182" t="s">
        <v>219</v>
      </c>
      <c r="B86" s="183"/>
      <c r="C86" s="183"/>
      <c r="D86" s="183"/>
      <c r="E86" s="184"/>
      <c r="F86" s="184"/>
      <c r="G86" s="184"/>
      <c r="H86" s="185">
        <f>SUM(H76:H85)</f>
        <v>4992.8109589725</v>
      </c>
    </row>
    <row r="87" spans="1:8">
      <c r="A87" s="167" t="s">
        <v>220</v>
      </c>
      <c r="B87" s="164">
        <f>+B74-B75</f>
        <v>539.99999999999909</v>
      </c>
      <c r="C87" s="167"/>
      <c r="D87" s="167"/>
      <c r="E87" s="167">
        <f>+SUM(E88:E90)</f>
        <v>0.1</v>
      </c>
      <c r="F87" s="167">
        <f>+SUM(F88:F90)</f>
        <v>0.1</v>
      </c>
      <c r="G87" s="167"/>
      <c r="H87" s="168"/>
    </row>
    <row r="88" spans="1:8" ht="30">
      <c r="A88" s="186" t="s">
        <v>221</v>
      </c>
      <c r="B88" s="187"/>
      <c r="C88" s="188">
        <v>1</v>
      </c>
      <c r="D88" s="188">
        <f>+C88</f>
        <v>1</v>
      </c>
      <c r="E88" s="178">
        <v>0.04</v>
      </c>
      <c r="F88" s="178">
        <v>0.04</v>
      </c>
      <c r="G88" s="178"/>
      <c r="H88" s="172">
        <f>+F88*$B$74</f>
        <v>216</v>
      </c>
    </row>
    <row r="89" spans="1:8">
      <c r="A89" s="186" t="s">
        <v>222</v>
      </c>
      <c r="B89" s="187"/>
      <c r="C89" s="188">
        <v>1</v>
      </c>
      <c r="D89" s="188">
        <f>+C89</f>
        <v>1</v>
      </c>
      <c r="E89" s="178">
        <v>0.03</v>
      </c>
      <c r="F89" s="178">
        <v>0.03</v>
      </c>
      <c r="G89" s="178"/>
      <c r="H89" s="172">
        <f>+F89*$B$74</f>
        <v>162</v>
      </c>
    </row>
    <row r="90" spans="1:8" ht="30">
      <c r="A90" s="186" t="s">
        <v>223</v>
      </c>
      <c r="B90" s="188"/>
      <c r="C90" s="188">
        <v>1</v>
      </c>
      <c r="D90" s="188">
        <f>+C90</f>
        <v>1</v>
      </c>
      <c r="E90" s="178">
        <v>0.03</v>
      </c>
      <c r="F90" s="178">
        <v>0.03</v>
      </c>
      <c r="G90" s="178"/>
      <c r="H90" s="172">
        <f>+F90*$B$74</f>
        <v>162</v>
      </c>
    </row>
    <row r="91" spans="1:8">
      <c r="A91" s="182" t="s">
        <v>219</v>
      </c>
      <c r="B91" s="183"/>
      <c r="C91" s="183"/>
      <c r="D91" s="183"/>
      <c r="E91" s="184"/>
      <c r="F91" s="184"/>
      <c r="G91" s="184"/>
      <c r="H91" s="185">
        <f>SUM(H88:H90)</f>
        <v>540</v>
      </c>
    </row>
    <row r="92" spans="1:8" ht="15.75">
      <c r="A92" s="182" t="s">
        <v>224</v>
      </c>
      <c r="B92" s="183"/>
      <c r="C92" s="183"/>
      <c r="D92" s="183"/>
      <c r="E92" s="184"/>
      <c r="F92" s="184"/>
      <c r="G92" s="184"/>
      <c r="H92" s="189">
        <f>+H91+H86</f>
        <v>5532.8109589725</v>
      </c>
    </row>
  </sheetData>
  <mergeCells count="5">
    <mergeCell ref="N3:O3"/>
    <mergeCell ref="N4:O4"/>
    <mergeCell ref="N5:O5"/>
    <mergeCell ref="N6:O6"/>
    <mergeCell ref="N7:O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1BB2-379C-4679-846E-DC3616D1972D}">
  <dimension ref="A1:C46"/>
  <sheetViews>
    <sheetView workbookViewId="0">
      <selection activeCell="C42" sqref="C42"/>
    </sheetView>
  </sheetViews>
  <sheetFormatPr baseColWidth="10" defaultRowHeight="15"/>
  <sheetData>
    <row r="1" spans="1:3">
      <c r="A1" s="293" t="s">
        <v>225</v>
      </c>
      <c r="B1" s="294"/>
      <c r="C1" s="190" t="s">
        <v>226</v>
      </c>
    </row>
    <row r="2" spans="1:3">
      <c r="A2" s="191">
        <v>0</v>
      </c>
      <c r="B2" s="191">
        <v>0.6</v>
      </c>
      <c r="C2" s="192">
        <v>0</v>
      </c>
    </row>
    <row r="3" spans="1:3">
      <c r="A3" s="147">
        <v>0.61</v>
      </c>
      <c r="B3" s="147">
        <v>0.61</v>
      </c>
      <c r="C3" s="192">
        <v>225</v>
      </c>
    </row>
    <row r="4" spans="1:3">
      <c r="A4" s="147">
        <v>0.62</v>
      </c>
      <c r="B4" s="147">
        <v>0.62</v>
      </c>
      <c r="C4" s="192">
        <v>450</v>
      </c>
    </row>
    <row r="5" spans="1:3">
      <c r="A5" s="147">
        <v>0.63</v>
      </c>
      <c r="B5" s="147">
        <v>0.63</v>
      </c>
      <c r="C5" s="192">
        <v>675</v>
      </c>
    </row>
    <row r="6" spans="1:3">
      <c r="A6" s="147">
        <v>0.64</v>
      </c>
      <c r="B6" s="147">
        <v>0.64</v>
      </c>
      <c r="C6" s="192">
        <v>900</v>
      </c>
    </row>
    <row r="7" spans="1:3">
      <c r="A7" s="147">
        <v>0.65</v>
      </c>
      <c r="B7" s="147">
        <v>0.65</v>
      </c>
      <c r="C7" s="192">
        <v>1125</v>
      </c>
    </row>
    <row r="8" spans="1:3">
      <c r="A8" s="147">
        <v>0.66</v>
      </c>
      <c r="B8" s="147">
        <v>0.66</v>
      </c>
      <c r="C8" s="192">
        <v>1350</v>
      </c>
    </row>
    <row r="9" spans="1:3">
      <c r="A9" s="147">
        <v>0.67</v>
      </c>
      <c r="B9" s="147">
        <v>0.67</v>
      </c>
      <c r="C9" s="192">
        <v>1575</v>
      </c>
    </row>
    <row r="10" spans="1:3">
      <c r="A10" s="147">
        <v>0.68</v>
      </c>
      <c r="B10" s="147">
        <v>0.68</v>
      </c>
      <c r="C10" s="192">
        <v>1800</v>
      </c>
    </row>
    <row r="11" spans="1:3">
      <c r="A11" s="147">
        <v>0.69</v>
      </c>
      <c r="B11" s="147">
        <v>0.69</v>
      </c>
      <c r="C11" s="192">
        <v>2025</v>
      </c>
    </row>
    <row r="12" spans="1:3">
      <c r="A12" s="191">
        <v>0.7</v>
      </c>
      <c r="B12" s="147">
        <v>0.7</v>
      </c>
      <c r="C12" s="192">
        <v>2250</v>
      </c>
    </row>
    <row r="13" spans="1:3">
      <c r="A13" s="191">
        <v>0.71</v>
      </c>
      <c r="B13" s="191">
        <v>0.71</v>
      </c>
      <c r="C13" s="192">
        <v>2475</v>
      </c>
    </row>
    <row r="14" spans="1:3">
      <c r="A14" s="191">
        <v>0.72</v>
      </c>
      <c r="B14" s="191">
        <v>0.72</v>
      </c>
      <c r="C14" s="192">
        <v>2700</v>
      </c>
    </row>
    <row r="15" spans="1:3">
      <c r="A15" s="191">
        <v>0.73</v>
      </c>
      <c r="B15" s="191">
        <v>0.73</v>
      </c>
      <c r="C15" s="192">
        <v>2925</v>
      </c>
    </row>
    <row r="16" spans="1:3">
      <c r="A16" s="191">
        <v>0.74</v>
      </c>
      <c r="B16" s="191">
        <v>0.74</v>
      </c>
      <c r="C16" s="192">
        <v>3150</v>
      </c>
    </row>
    <row r="17" spans="1:3">
      <c r="A17" s="191">
        <v>0.75</v>
      </c>
      <c r="B17" s="191">
        <v>0.75</v>
      </c>
      <c r="C17" s="192">
        <v>3375</v>
      </c>
    </row>
    <row r="18" spans="1:3">
      <c r="A18" s="191">
        <v>0.76</v>
      </c>
      <c r="B18" s="191">
        <v>0.76</v>
      </c>
      <c r="C18" s="192">
        <v>3600</v>
      </c>
    </row>
    <row r="19" spans="1:3">
      <c r="A19" s="191">
        <v>0.77</v>
      </c>
      <c r="B19" s="191">
        <v>0.77</v>
      </c>
      <c r="C19" s="192">
        <v>3825</v>
      </c>
    </row>
    <row r="20" spans="1:3">
      <c r="A20" s="191">
        <v>0.78</v>
      </c>
      <c r="B20" s="191">
        <v>0.78</v>
      </c>
      <c r="C20" s="192">
        <v>4050</v>
      </c>
    </row>
    <row r="21" spans="1:3">
      <c r="A21" s="191">
        <v>0.79</v>
      </c>
      <c r="B21" s="191">
        <v>0.79</v>
      </c>
      <c r="C21" s="192">
        <v>4275</v>
      </c>
    </row>
    <row r="22" spans="1:3">
      <c r="A22" s="191">
        <v>0.8</v>
      </c>
      <c r="B22" s="191">
        <v>0.8</v>
      </c>
      <c r="C22" s="192">
        <v>4500</v>
      </c>
    </row>
    <row r="23" spans="1:3">
      <c r="A23" s="191">
        <v>0.81</v>
      </c>
      <c r="B23" s="191">
        <v>0.81</v>
      </c>
      <c r="C23" s="192">
        <v>4725</v>
      </c>
    </row>
    <row r="24" spans="1:3">
      <c r="A24" s="191">
        <v>0.82</v>
      </c>
      <c r="B24" s="191">
        <v>0.82</v>
      </c>
      <c r="C24" s="192">
        <v>4950</v>
      </c>
    </row>
    <row r="25" spans="1:3">
      <c r="A25" s="191">
        <v>0.83</v>
      </c>
      <c r="B25" s="191">
        <v>0.83</v>
      </c>
      <c r="C25" s="192">
        <v>5175</v>
      </c>
    </row>
    <row r="26" spans="1:3">
      <c r="A26" s="191">
        <v>0.84</v>
      </c>
      <c r="B26" s="191">
        <v>0.84</v>
      </c>
      <c r="C26" s="192">
        <v>5400</v>
      </c>
    </row>
    <row r="27" spans="1:3">
      <c r="A27" s="191">
        <v>0.85</v>
      </c>
      <c r="B27" s="191">
        <v>0.85</v>
      </c>
      <c r="C27" s="192">
        <v>5625</v>
      </c>
    </row>
    <row r="28" spans="1:3">
      <c r="A28" s="191">
        <v>0.86</v>
      </c>
      <c r="B28" s="191">
        <v>0.86</v>
      </c>
      <c r="C28" s="192">
        <v>5850</v>
      </c>
    </row>
    <row r="29" spans="1:3">
      <c r="A29" s="191">
        <v>0.87</v>
      </c>
      <c r="B29" s="191">
        <v>0.87</v>
      </c>
      <c r="C29" s="192">
        <v>6075</v>
      </c>
    </row>
    <row r="30" spans="1:3">
      <c r="A30" s="191">
        <v>0.88</v>
      </c>
      <c r="B30" s="191">
        <v>0.88</v>
      </c>
      <c r="C30" s="192">
        <v>6300</v>
      </c>
    </row>
    <row r="31" spans="1:3">
      <c r="A31" s="191">
        <v>0.89</v>
      </c>
      <c r="B31" s="191">
        <v>0.89</v>
      </c>
      <c r="C31" s="192">
        <v>6525</v>
      </c>
    </row>
    <row r="32" spans="1:3">
      <c r="A32" s="191">
        <v>0.9</v>
      </c>
      <c r="B32" s="191">
        <v>0.9</v>
      </c>
      <c r="C32" s="192">
        <v>6750</v>
      </c>
    </row>
    <row r="33" spans="1:3">
      <c r="A33" s="191">
        <v>0.91</v>
      </c>
      <c r="B33" s="191">
        <v>0.91</v>
      </c>
      <c r="C33" s="192">
        <v>6975</v>
      </c>
    </row>
    <row r="34" spans="1:3">
      <c r="A34" s="191">
        <v>0.92</v>
      </c>
      <c r="B34" s="191">
        <v>0.92</v>
      </c>
      <c r="C34" s="192">
        <v>7200</v>
      </c>
    </row>
    <row r="35" spans="1:3">
      <c r="A35" s="191">
        <v>0.93</v>
      </c>
      <c r="B35" s="191">
        <v>0.93</v>
      </c>
      <c r="C35" s="192">
        <v>7425</v>
      </c>
    </row>
    <row r="36" spans="1:3">
      <c r="A36" s="191">
        <v>0.94</v>
      </c>
      <c r="B36" s="191">
        <v>0.94</v>
      </c>
      <c r="C36" s="192">
        <v>7650</v>
      </c>
    </row>
    <row r="37" spans="1:3">
      <c r="A37" s="191">
        <v>0.95</v>
      </c>
      <c r="B37" s="191">
        <v>0.95</v>
      </c>
      <c r="C37" s="192">
        <v>7875</v>
      </c>
    </row>
    <row r="38" spans="1:3">
      <c r="A38" s="191">
        <v>0.96</v>
      </c>
      <c r="B38" s="191">
        <v>0.96</v>
      </c>
      <c r="C38" s="192">
        <v>8100</v>
      </c>
    </row>
    <row r="39" spans="1:3">
      <c r="A39" s="191">
        <v>0.97</v>
      </c>
      <c r="B39" s="191">
        <v>0.97</v>
      </c>
      <c r="C39" s="192">
        <v>8325</v>
      </c>
    </row>
    <row r="40" spans="1:3">
      <c r="A40" s="191">
        <v>0.98</v>
      </c>
      <c r="B40" s="191">
        <v>0.98</v>
      </c>
      <c r="C40" s="192">
        <v>8550</v>
      </c>
    </row>
    <row r="41" spans="1:3">
      <c r="A41" s="191">
        <v>0.99</v>
      </c>
      <c r="B41" s="191">
        <v>0.99</v>
      </c>
      <c r="C41" s="192">
        <v>8775</v>
      </c>
    </row>
    <row r="42" spans="1:3">
      <c r="A42" s="193">
        <v>1</v>
      </c>
      <c r="B42" s="193">
        <v>1.1000000000000001</v>
      </c>
      <c r="C42" s="194">
        <v>9000</v>
      </c>
    </row>
    <row r="43" spans="1:3">
      <c r="A43" s="191">
        <v>1.1100000000000001</v>
      </c>
      <c r="B43" s="191">
        <v>1.2</v>
      </c>
      <c r="C43" s="192">
        <v>11000</v>
      </c>
    </row>
    <row r="44" spans="1:3">
      <c r="A44" s="191">
        <v>1.21</v>
      </c>
      <c r="B44" s="191">
        <v>1.3</v>
      </c>
      <c r="C44" s="192">
        <v>12000</v>
      </c>
    </row>
    <row r="45" spans="1:3">
      <c r="A45" s="191">
        <v>1.31</v>
      </c>
      <c r="B45" s="191">
        <v>1.4</v>
      </c>
      <c r="C45" s="192">
        <v>13000</v>
      </c>
    </row>
    <row r="46" spans="1:3">
      <c r="A46" s="191">
        <v>1.41</v>
      </c>
      <c r="B46" s="191">
        <v>1.8</v>
      </c>
      <c r="C46" s="192">
        <v>14000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E35"/>
  <sheetViews>
    <sheetView showGridLines="0" topLeftCell="AK3" zoomScaleNormal="100" workbookViewId="0">
      <pane ySplit="1" topLeftCell="A4" activePane="bottomLeft" state="frozen"/>
      <selection activeCell="B3" sqref="B3"/>
      <selection pane="bottomLeft" activeCell="AR3" sqref="AR3"/>
    </sheetView>
  </sheetViews>
  <sheetFormatPr baseColWidth="10" defaultColWidth="37.5703125" defaultRowHeight="15"/>
  <cols>
    <col min="1" max="1" width="8.85546875" bestFit="1" customWidth="1"/>
    <col min="2" max="2" width="8.5703125" style="16" bestFit="1" customWidth="1"/>
    <col min="3" max="3" width="12.42578125" style="15" bestFit="1" customWidth="1"/>
    <col min="4" max="4" width="33.7109375" style="16" bestFit="1" customWidth="1"/>
    <col min="5" max="5" width="17" style="16" bestFit="1" customWidth="1"/>
    <col min="6" max="6" width="32.5703125" style="15" bestFit="1" customWidth="1"/>
    <col min="7" max="7" width="22.7109375" style="15" bestFit="1" customWidth="1"/>
    <col min="8" max="9" width="9.42578125" style="15" customWidth="1"/>
    <col min="10" max="10" width="15.5703125" style="15" customWidth="1"/>
    <col min="11" max="11" width="14.28515625" style="15" customWidth="1"/>
    <col min="12" max="12" width="15.5703125" style="15" customWidth="1"/>
    <col min="13" max="13" width="14.28515625" style="15" customWidth="1"/>
    <col min="14" max="14" width="6.28515625" style="15" customWidth="1"/>
    <col min="15" max="15" width="6.42578125" style="15" customWidth="1"/>
    <col min="16" max="16" width="6.28515625" style="15" customWidth="1"/>
    <col min="17" max="17" width="6.42578125" style="15" customWidth="1"/>
    <col min="18" max="18" width="21" style="15" customWidth="1"/>
    <col min="19" max="20" width="9.28515625" style="15" customWidth="1"/>
    <col min="21" max="21" width="17.85546875" style="16" customWidth="1"/>
    <col min="22" max="24" width="16.28515625" style="15" customWidth="1"/>
    <col min="25" max="25" width="7.5703125" style="15" customWidth="1"/>
    <col min="26" max="26" width="9.85546875" style="15" customWidth="1"/>
    <col min="27" max="27" width="16.5703125" style="15" customWidth="1"/>
    <col min="28" max="28" width="14.5703125" style="15" customWidth="1"/>
    <col min="29" max="29" width="12" style="15" customWidth="1"/>
    <col min="30" max="30" width="12.42578125" style="15" customWidth="1"/>
    <col min="31" max="31" width="12" style="15" customWidth="1"/>
    <col min="32" max="32" width="15.5703125" style="15" customWidth="1"/>
    <col min="33" max="33" width="13" style="15" customWidth="1"/>
    <col min="34" max="34" width="14" style="15" customWidth="1"/>
    <col min="35" max="38" width="15.140625" style="15" customWidth="1"/>
    <col min="39" max="39" width="16.7109375" style="15" customWidth="1"/>
    <col min="40" max="40" width="17.85546875" style="15" customWidth="1"/>
    <col min="41" max="41" width="16.7109375" style="17" customWidth="1"/>
    <col min="42" max="46" width="12.140625" style="17" customWidth="1"/>
    <col min="47" max="47" width="14.85546875" style="15" customWidth="1"/>
    <col min="48" max="48" width="12.5703125" style="15" customWidth="1"/>
    <col min="49" max="49" width="15" style="15" customWidth="1"/>
    <col min="50" max="50" width="12.28515625" style="17" customWidth="1"/>
    <col min="51" max="51" width="13.140625" style="15" customWidth="1"/>
    <col min="52" max="52" width="14.5703125" style="15" customWidth="1"/>
    <col min="53" max="54" width="14.42578125" style="15" customWidth="1"/>
    <col min="55" max="55" width="15" style="15" customWidth="1"/>
    <col min="56" max="56" width="13" style="107" customWidth="1"/>
    <col min="57" max="57" width="9.140625" bestFit="1" customWidth="1"/>
    <col min="58" max="16384" width="37.5703125" style="15"/>
  </cols>
  <sheetData>
    <row r="1" spans="1:57" ht="60">
      <c r="A1" s="112" t="s">
        <v>391</v>
      </c>
      <c r="B1" s="112" t="s">
        <v>57</v>
      </c>
      <c r="C1" s="18" t="s">
        <v>58</v>
      </c>
      <c r="D1" s="19" t="s">
        <v>59</v>
      </c>
      <c r="E1" s="36" t="s">
        <v>60</v>
      </c>
      <c r="F1" s="20" t="s">
        <v>61</v>
      </c>
      <c r="G1" s="20" t="s">
        <v>103</v>
      </c>
      <c r="H1" s="20" t="s">
        <v>267</v>
      </c>
      <c r="I1" s="253" t="s">
        <v>278</v>
      </c>
      <c r="J1" s="24" t="s">
        <v>62</v>
      </c>
      <c r="K1" s="32" t="s">
        <v>1</v>
      </c>
      <c r="L1" s="32" t="s">
        <v>2</v>
      </c>
      <c r="M1" s="21" t="s">
        <v>63</v>
      </c>
      <c r="N1" s="20" t="s">
        <v>43</v>
      </c>
      <c r="O1" s="22" t="s">
        <v>44</v>
      </c>
      <c r="P1" s="23" t="s">
        <v>45</v>
      </c>
      <c r="Q1" s="24" t="s">
        <v>46</v>
      </c>
      <c r="R1" s="20" t="s">
        <v>64</v>
      </c>
      <c r="S1" s="20" t="s">
        <v>65</v>
      </c>
      <c r="T1" s="20" t="s">
        <v>66</v>
      </c>
      <c r="U1" s="29" t="s">
        <v>67</v>
      </c>
      <c r="V1" s="143" t="s">
        <v>162</v>
      </c>
      <c r="W1" s="143" t="s">
        <v>163</v>
      </c>
      <c r="X1" s="144" t="s">
        <v>164</v>
      </c>
      <c r="Y1" s="143" t="s">
        <v>165</v>
      </c>
      <c r="Z1" s="143" t="s">
        <v>166</v>
      </c>
      <c r="AA1" s="144" t="s">
        <v>167</v>
      </c>
      <c r="AB1" s="20" t="s">
        <v>68</v>
      </c>
      <c r="AC1" s="143" t="s">
        <v>168</v>
      </c>
      <c r="AD1" s="143" t="s">
        <v>232</v>
      </c>
      <c r="AE1" s="143" t="s">
        <v>169</v>
      </c>
      <c r="AF1" s="143" t="s">
        <v>170</v>
      </c>
      <c r="AG1" s="143" t="s">
        <v>171</v>
      </c>
      <c r="AH1" s="143" t="s">
        <v>172</v>
      </c>
      <c r="AI1" s="143" t="s">
        <v>173</v>
      </c>
      <c r="AJ1" s="143" t="s">
        <v>174</v>
      </c>
      <c r="AK1" s="143" t="s">
        <v>175</v>
      </c>
      <c r="AL1" s="143" t="s">
        <v>176</v>
      </c>
      <c r="AM1" s="143" t="s">
        <v>193</v>
      </c>
      <c r="AN1" s="31" t="s">
        <v>69</v>
      </c>
      <c r="AO1" s="235" t="s">
        <v>70</v>
      </c>
      <c r="AP1" s="25" t="s">
        <v>104</v>
      </c>
      <c r="AQ1" s="25" t="s">
        <v>53</v>
      </c>
      <c r="AR1" s="25" t="s">
        <v>56</v>
      </c>
      <c r="AS1" s="25" t="s">
        <v>187</v>
      </c>
      <c r="AT1" s="25" t="s">
        <v>191</v>
      </c>
      <c r="AU1" s="18" t="s">
        <v>71</v>
      </c>
      <c r="AV1" s="18" t="s">
        <v>72</v>
      </c>
      <c r="AW1" s="18" t="s">
        <v>73</v>
      </c>
      <c r="AX1" s="30" t="s">
        <v>74</v>
      </c>
      <c r="AY1" s="236" t="s">
        <v>75</v>
      </c>
      <c r="AZ1" s="236" t="s">
        <v>76</v>
      </c>
      <c r="BA1" s="236" t="s">
        <v>77</v>
      </c>
      <c r="BB1" s="236" t="s">
        <v>279</v>
      </c>
      <c r="BC1" s="232" t="s">
        <v>264</v>
      </c>
      <c r="BD1" s="107" t="s">
        <v>453</v>
      </c>
    </row>
    <row r="2" spans="1:57">
      <c r="A2" t="s">
        <v>392</v>
      </c>
      <c r="B2" s="116" t="s">
        <v>78</v>
      </c>
      <c r="C2" s="113">
        <v>20005527</v>
      </c>
      <c r="D2" s="113" t="s">
        <v>15</v>
      </c>
      <c r="E2" s="113" t="s">
        <v>40</v>
      </c>
      <c r="F2" s="113" t="s">
        <v>52</v>
      </c>
      <c r="G2" s="113" t="s">
        <v>132</v>
      </c>
      <c r="H2" s="234">
        <v>30</v>
      </c>
      <c r="I2" s="234">
        <v>21</v>
      </c>
      <c r="J2" s="26">
        <f>+COUNTIFS(TC!Q:Q,COMISIONES!C2)</f>
        <v>21</v>
      </c>
      <c r="K2" s="26">
        <f>+COUNTIFS(TC!Q:Q,COMISIONES!C2,TC!H:H,COMISIONES!$K$1)</f>
        <v>14</v>
      </c>
      <c r="L2" s="26">
        <f>+COUNTIFS(TC!Q:Q,COMISIONES!C2,TC!H:H,COMISIONES!$L$1)</f>
        <v>7</v>
      </c>
      <c r="M2" s="27">
        <f t="shared" ref="M2:M33" si="0">+IFERROR(K2/J2,0)</f>
        <v>0.66666666666666663</v>
      </c>
      <c r="N2" s="26">
        <f>+COUNTIFS(TC!Q:Q,COMISIONES!C2,TC!G:G,COMISIONES!$N$1)</f>
        <v>7</v>
      </c>
      <c r="O2" s="26">
        <f>+COUNTIFS(TC!Q:Q,COMISIONES!C2,TC!G:G,COMISIONES!$O$1)</f>
        <v>7</v>
      </c>
      <c r="P2" s="26">
        <f>+COUNTIFS(TC!Q:Q,COMISIONES!C2,TC!G:G,COMISIONES!$P$1)</f>
        <v>7</v>
      </c>
      <c r="Q2" s="26">
        <f>+COUNTIFS(TC!Q:Q,COMISIONES!C2,TC!G:G,COMISIONES!$Q$1)</f>
        <v>0</v>
      </c>
      <c r="R2" s="26">
        <f>+SUMIFS(TC!W:W,TC!Q:Q,COMISIONES!C2,TC!H:H,COMISIONES!$K$1)</f>
        <v>72</v>
      </c>
      <c r="S2" s="26">
        <f>+SUMIFS(TC!W:W,TC!Q:Q,COMISIONES!C2,TC!H:H,COMISIONES!$L$1)</f>
        <v>3.5</v>
      </c>
      <c r="T2" s="261">
        <f t="shared" ref="T2:T33" si="1">+SUM(R2:S2)</f>
        <v>75.5</v>
      </c>
      <c r="U2" s="40" t="str">
        <f>+VLOOKUP(T2,'PUNTOS 2021'!$A$4:$C$8,3,1)</f>
        <v>SENIOR</v>
      </c>
      <c r="V2" s="26">
        <f>+COUNTIF(ADICIONALES!A:A,COMISIONES!C2)</f>
        <v>2</v>
      </c>
      <c r="W2" s="211">
        <f>+IFERROR(V2/H2,0)</f>
        <v>6.6666666666666666E-2</v>
      </c>
      <c r="X2" s="150">
        <f>+IFERROR(IF((V2/H2)&gt;='PUNTOS 2021'!$Q$6,1,0),0)</f>
        <v>0</v>
      </c>
      <c r="Y2" s="26">
        <f>+COUNTIF(PRF!A:A,COMISIONES!C2)</f>
        <v>4</v>
      </c>
      <c r="Z2" s="211">
        <f>+IFERROR(Y2/H2,0)</f>
        <v>0.13333333333333333</v>
      </c>
      <c r="AA2" s="150">
        <f>+IFERROR(IF((Y2/H2)&gt;='PUNTOS 2021'!$Q$5,1,0),0)</f>
        <v>0</v>
      </c>
      <c r="AB2" s="26">
        <v>0</v>
      </c>
      <c r="AC2" s="26">
        <f>+COUNTIF(COMPASS!A:A,COMISIONES!C2)</f>
        <v>13</v>
      </c>
      <c r="AD2" s="217">
        <f>+SUMIFS(COMPASS!O:O,COMPASS!A:A,COMISIONES!C2)</f>
        <v>140</v>
      </c>
      <c r="AE2" s="211">
        <f>+IFERROR(AC2/H2,0)</f>
        <v>0.43333333333333335</v>
      </c>
      <c r="AF2" s="150">
        <f>+IFERROR(IF((AC2/H2)&gt;='PUNTOS 2021'!$Q$7,1,0),0)</f>
        <v>1</v>
      </c>
      <c r="AG2" s="26">
        <f>+COUNTIF(CUENTAS!A:A,COMISIONES!C2)</f>
        <v>1</v>
      </c>
      <c r="AH2" s="211">
        <f>+IFERROR(AG2/H2,0)</f>
        <v>3.3333333333333333E-2</v>
      </c>
      <c r="AI2" s="150">
        <f>+IFERROR(IF((AG2/H2)&gt;='PUNTOS 2021'!$Q$8,1,0),0)</f>
        <v>0</v>
      </c>
      <c r="AJ2" s="26">
        <f>+COUNTIF(KASH!A:A,COMISIONES!C2)</f>
        <v>0</v>
      </c>
      <c r="AK2" s="211">
        <f>+IFERROR(AJ2/'PUNTOS 2021'!$Q$12,0)</f>
        <v>0</v>
      </c>
      <c r="AL2" s="26">
        <f t="shared" ref="AL2:AL33" si="2">+IF(AJ2&gt;=7,1,0)</f>
        <v>0</v>
      </c>
      <c r="AM2" s="28">
        <f t="shared" ref="AM2:AM33" si="3">+SUM(X2,AA2,AF2,AI2,AL2)</f>
        <v>1</v>
      </c>
      <c r="AN2" s="26" t="str">
        <f>+VLOOKUP(AM2,'PUNTOS 2021'!$P$15:$Q$20,2,0)</f>
        <v>NOVATO</v>
      </c>
      <c r="AO2" s="38">
        <f>IFERROR(VLOOKUP(_xlfn.CONCAT(E2,U2,AN2),'PUNTOS 2021'!$L:$M,2,0),0)</f>
        <v>40</v>
      </c>
      <c r="AP2" s="38">
        <f>+VLOOKUP(_xlfn.CONCAT(AP$1,$AN2),'PUNTOS 2021'!$R$22:$S$51,2,0)</f>
        <v>20</v>
      </c>
      <c r="AQ2" s="38">
        <f>+VLOOKUP(_xlfn.CONCAT(AQ$1,$AN2),'PUNTOS 2021'!$R$22:$S$51,2,0)</f>
        <v>30</v>
      </c>
      <c r="AR2" s="38">
        <f>+VLOOKUP(_xlfn.CONCAT(AR$1,$AN2),'PUNTOS 2021'!$R$22:$S$51,2,0)</f>
        <v>10</v>
      </c>
      <c r="AS2" s="38">
        <f>+VLOOKUP(_xlfn.CONCAT(AS$1,$AN2),'PUNTOS 2021'!$R$22:$S$51,2,0)</f>
        <v>10</v>
      </c>
      <c r="AT2" s="38">
        <f>+VLOOKUP(_xlfn.CONCAT(AT$1,$AN2),'PUNTOS 2021'!$R$22:$S$51,2,0)</f>
        <v>5</v>
      </c>
      <c r="AU2" s="39">
        <f t="shared" ref="AU2:AU33" si="4">(AO2*T2)</f>
        <v>3020</v>
      </c>
      <c r="AV2" s="39">
        <f t="shared" ref="AV2:AV33" si="5">+(V2*AP2)+(Y2*AQ2)+(AD2)+(AG2*AS2)+(AJ2*AT2)</f>
        <v>310</v>
      </c>
      <c r="AW2" s="39">
        <f t="shared" ref="AW2:AW33" si="6">+AU2+AV2</f>
        <v>3330</v>
      </c>
      <c r="AX2" s="37">
        <v>0</v>
      </c>
      <c r="AY2" s="37">
        <f>+SUMIFS('DESC TC'!$B:$B,'DESC TC'!$A:$A,COMISIONES!C:C,'DESC TC'!$L:$L,"Primera")</f>
        <v>0</v>
      </c>
      <c r="AZ2" s="37">
        <f>+SUMIFS('DESC TC'!$B:$B,'DESC TC'!$A:$A,COMISIONES!C:C,'DESC TC'!$L:$L,"Segunda")</f>
        <v>0</v>
      </c>
      <c r="BA2" s="37">
        <f ca="1">+SUMIF('DESC ADICIONALES'!$A:$B,COMISIONES!$C:$C,'DESC ADICIONALES'!$B:$B)</f>
        <v>0</v>
      </c>
      <c r="BB2" s="37">
        <f>+SUMIF('DESC PRF'!A:A,COMISIONES!C2,'DESC PRF'!J:J)</f>
        <v>0</v>
      </c>
      <c r="BC2" s="39">
        <f ca="1">AW2+AX2-AY2-AZ2-BA2-BB2</f>
        <v>3330</v>
      </c>
      <c r="BE2" s="210"/>
    </row>
    <row r="3" spans="1:57">
      <c r="A3" t="s">
        <v>392</v>
      </c>
      <c r="B3" s="116" t="s">
        <v>78</v>
      </c>
      <c r="C3" s="113">
        <v>20006233</v>
      </c>
      <c r="D3" s="113" t="s">
        <v>17</v>
      </c>
      <c r="E3" s="113" t="s">
        <v>40</v>
      </c>
      <c r="F3" s="113" t="s">
        <v>52</v>
      </c>
      <c r="G3" s="113" t="s">
        <v>132</v>
      </c>
      <c r="H3" s="234">
        <v>30</v>
      </c>
      <c r="I3" s="234">
        <v>21</v>
      </c>
      <c r="J3" s="26">
        <f>+COUNTIFS(TC!Q:Q,COMISIONES!C3)</f>
        <v>18</v>
      </c>
      <c r="K3" s="26">
        <f>+COUNTIFS(TC!Q:Q,COMISIONES!C3,TC!H:H,COMISIONES!$K$1)</f>
        <v>15</v>
      </c>
      <c r="L3" s="26">
        <f>+COUNTIFS(TC!Q:Q,COMISIONES!C3,TC!H:H,COMISIONES!$L$1)</f>
        <v>3</v>
      </c>
      <c r="M3" s="27">
        <f t="shared" si="0"/>
        <v>0.83333333333333337</v>
      </c>
      <c r="N3" s="26">
        <f>+COUNTIFS(TC!Q:Q,COMISIONES!C3,TC!G:G,COMISIONES!$N$1)</f>
        <v>7</v>
      </c>
      <c r="O3" s="26">
        <f>+COUNTIFS(TC!Q:Q,COMISIONES!C3,TC!G:G,COMISIONES!$O$1)</f>
        <v>5</v>
      </c>
      <c r="P3" s="26">
        <f>+COUNTIFS(TC!Q:Q,COMISIONES!C3,TC!G:G,COMISIONES!$P$1)</f>
        <v>6</v>
      </c>
      <c r="Q3" s="26">
        <f>+COUNTIFS(TC!Q:Q,COMISIONES!C3,TC!G:G,COMISIONES!$Q$1)</f>
        <v>0</v>
      </c>
      <c r="R3" s="26">
        <f>+SUMIFS(TC!W:W,TC!Q:Q,COMISIONES!C3,TC!H:H,COMISIONES!$K$1)</f>
        <v>71</v>
      </c>
      <c r="S3" s="26">
        <f>+SUMIFS(TC!W:W,TC!Q:Q,COMISIONES!C3,TC!H:H,COMISIONES!$L$1)</f>
        <v>1.5</v>
      </c>
      <c r="T3" s="261">
        <f t="shared" si="1"/>
        <v>72.5</v>
      </c>
      <c r="U3" s="40" t="str">
        <f>+VLOOKUP(T3,'PUNTOS 2021'!$A$4:$C$8,3,1)</f>
        <v>SENIOR</v>
      </c>
      <c r="V3" s="26">
        <f>+COUNTIF(ADICIONALES!A:A,COMISIONES!C3)</f>
        <v>6</v>
      </c>
      <c r="W3" s="211">
        <f t="shared" ref="W3:W33" si="7">+IFERROR(V3/H3,0)</f>
        <v>0.2</v>
      </c>
      <c r="X3" s="150">
        <f>+IFERROR(IF((V3/H3)&gt;='PUNTOS 2021'!$Q$6,1,0),0)</f>
        <v>1</v>
      </c>
      <c r="Y3" s="26">
        <f>+COUNTIF(PRF!A:A,COMISIONES!C3)</f>
        <v>6</v>
      </c>
      <c r="Z3" s="211">
        <f t="shared" ref="Z3:Z33" si="8">+IFERROR(Y3/H3,0)</f>
        <v>0.2</v>
      </c>
      <c r="AA3" s="150">
        <f>+IFERROR(IF((Y3/H3)&gt;='PUNTOS 2021'!$Q$5,1,0),0)</f>
        <v>0</v>
      </c>
      <c r="AB3" s="26">
        <v>0</v>
      </c>
      <c r="AC3" s="26">
        <f>+COUNTIF(COMPASS!A:A,COMISIONES!C3)</f>
        <v>8</v>
      </c>
      <c r="AD3" s="217">
        <f>+SUMIFS(COMPASS!O:O,COMPASS!A:A,COMISIONES!C3)</f>
        <v>135</v>
      </c>
      <c r="AE3" s="211">
        <f t="shared" ref="AE3:AE33" si="9">+IFERROR(AC3/H3,0)</f>
        <v>0.26666666666666666</v>
      </c>
      <c r="AF3" s="150">
        <f>+IFERROR(IF((AC3/H3)&gt;='PUNTOS 2021'!$Q$7,1,0),0)</f>
        <v>1</v>
      </c>
      <c r="AG3" s="26">
        <f>+COUNTIF(CUENTAS!A:A,COMISIONES!C3)</f>
        <v>0</v>
      </c>
      <c r="AH3" s="211">
        <f t="shared" ref="AH3:AH33" si="10">+IFERROR(AG3/H3,0)</f>
        <v>0</v>
      </c>
      <c r="AI3" s="150">
        <f>+IFERROR(IF((AG3/H3)&gt;='PUNTOS 2021'!$Q$8,1,0),0)</f>
        <v>0</v>
      </c>
      <c r="AJ3" s="26">
        <f>+COUNTIF(KASH!A:A,COMISIONES!C3)</f>
        <v>0</v>
      </c>
      <c r="AK3" s="211">
        <f>+IFERROR(AJ3/'PUNTOS 2021'!$Q$12,0)</f>
        <v>0</v>
      </c>
      <c r="AL3" s="26">
        <f t="shared" si="2"/>
        <v>0</v>
      </c>
      <c r="AM3" s="28">
        <f t="shared" si="3"/>
        <v>2</v>
      </c>
      <c r="AN3" s="26" t="str">
        <f>+VLOOKUP(AM3,'PUNTOS 2021'!$P$15:$Q$20,2,0)</f>
        <v>SEMI SENIOR</v>
      </c>
      <c r="AO3" s="38">
        <f>IFERROR(VLOOKUP(_xlfn.CONCAT(E3,U3,AN3),'PUNTOS 2021'!$L:$M,2,0),0)</f>
        <v>40</v>
      </c>
      <c r="AP3" s="38">
        <f>+VLOOKUP(_xlfn.CONCAT(AP$1,$AN3),'PUNTOS 2021'!$R$22:$S$51,2,0)</f>
        <v>30</v>
      </c>
      <c r="AQ3" s="38">
        <f>+VLOOKUP(_xlfn.CONCAT(AQ$1,$AN3),'PUNTOS 2021'!$R$22:$S$51,2,0)</f>
        <v>45</v>
      </c>
      <c r="AR3" s="38">
        <f>+VLOOKUP(_xlfn.CONCAT(AR$1,$AN3),'PUNTOS 2021'!$R$22:$S$51,2,0)</f>
        <v>15</v>
      </c>
      <c r="AS3" s="38">
        <f>+VLOOKUP(_xlfn.CONCAT(AS$1,$AN3),'PUNTOS 2021'!$R$22:$S$51,2,0)</f>
        <v>15</v>
      </c>
      <c r="AT3" s="38">
        <f>+VLOOKUP(_xlfn.CONCAT(AT$1,$AN3),'PUNTOS 2021'!$R$22:$S$51,2,0)</f>
        <v>5</v>
      </c>
      <c r="AU3" s="39">
        <f t="shared" si="4"/>
        <v>2900</v>
      </c>
      <c r="AV3" s="39">
        <f t="shared" si="5"/>
        <v>585</v>
      </c>
      <c r="AW3" s="39">
        <f t="shared" si="6"/>
        <v>3485</v>
      </c>
      <c r="AX3" s="37">
        <v>0</v>
      </c>
      <c r="AY3" s="37">
        <f>+SUMIFS('DESC TC'!$B:$B,'DESC TC'!$A:$A,COMISIONES!C:C,'DESC TC'!$L:$L,"Primera")</f>
        <v>0</v>
      </c>
      <c r="AZ3" s="37">
        <f>+SUMIFS('DESC TC'!$B:$B,'DESC TC'!$A:$A,COMISIONES!C:C,'DESC TC'!$L:$L,"Segunda")</f>
        <v>0</v>
      </c>
      <c r="BA3" s="37">
        <f ca="1">+SUMIF('DESC ADICIONALES'!$A:$B,COMISIONES!$C:$C,'DESC ADICIONALES'!$B:$B)</f>
        <v>0</v>
      </c>
      <c r="BB3" s="37">
        <f>+SUMIF('DESC PRF'!A:A,COMISIONES!C3,'DESC PRF'!J:J)</f>
        <v>0</v>
      </c>
      <c r="BC3" s="39">
        <f t="shared" ref="BC3:BC33" ca="1" si="11">AW3+AX3-AY3-AZ3-BA3-BB3</f>
        <v>3485</v>
      </c>
      <c r="BE3" s="210"/>
    </row>
    <row r="4" spans="1:57">
      <c r="A4" t="s">
        <v>392</v>
      </c>
      <c r="B4" s="116" t="s">
        <v>78</v>
      </c>
      <c r="C4" s="116">
        <v>20010262</v>
      </c>
      <c r="D4" s="116" t="s">
        <v>261</v>
      </c>
      <c r="E4" s="113" t="s">
        <v>40</v>
      </c>
      <c r="F4" s="113" t="s">
        <v>52</v>
      </c>
      <c r="G4" s="113" t="s">
        <v>132</v>
      </c>
      <c r="H4" s="234">
        <v>30</v>
      </c>
      <c r="I4" s="234">
        <v>21</v>
      </c>
      <c r="J4" s="26">
        <f>+COUNTIFS(TC!Q:Q,COMISIONES!C4)</f>
        <v>25</v>
      </c>
      <c r="K4" s="26">
        <f>+COUNTIFS(TC!Q:Q,COMISIONES!C4,TC!H:H,COMISIONES!$K$1)</f>
        <v>18</v>
      </c>
      <c r="L4" s="26">
        <f>+COUNTIFS(TC!Q:Q,COMISIONES!C4,TC!H:H,COMISIONES!$L$1)</f>
        <v>7</v>
      </c>
      <c r="M4" s="27">
        <f t="shared" ref="M4" si="12">+IFERROR(K4/J4,0)</f>
        <v>0.72</v>
      </c>
      <c r="N4" s="26">
        <f>+COUNTIFS(TC!Q:Q,COMISIONES!C4,TC!G:G,COMISIONES!$N$1)</f>
        <v>6</v>
      </c>
      <c r="O4" s="26">
        <f>+COUNTIFS(TC!Q:Q,COMISIONES!C4,TC!G:G,COMISIONES!$O$1)</f>
        <v>6</v>
      </c>
      <c r="P4" s="26">
        <f>+COUNTIFS(TC!Q:Q,COMISIONES!C4,TC!G:G,COMISIONES!$P$1)</f>
        <v>13</v>
      </c>
      <c r="Q4" s="26">
        <f>+COUNTIFS(TC!Q:Q,COMISIONES!C4,TC!G:G,COMISIONES!$Q$1)</f>
        <v>0</v>
      </c>
      <c r="R4" s="26">
        <f>+SUMIFS(TC!W:W,TC!Q:Q,COMISIONES!C4,TC!H:H,COMISIONES!$K$1)</f>
        <v>94</v>
      </c>
      <c r="S4" s="26">
        <f>+SUMIFS(TC!W:W,TC!Q:Q,COMISIONES!C4,TC!H:H,COMISIONES!$L$1)</f>
        <v>3.5</v>
      </c>
      <c r="T4" s="261">
        <f t="shared" ref="T4" si="13">+SUM(R4:S4)</f>
        <v>97.5</v>
      </c>
      <c r="U4" s="40" t="str">
        <f>+VLOOKUP(T4,'PUNTOS 2021'!$A$4:$C$8,3,1)</f>
        <v>PREMIUM</v>
      </c>
      <c r="V4" s="26">
        <f>+COUNTIF(ADICIONALES!A:A,COMISIONES!C4)</f>
        <v>6</v>
      </c>
      <c r="W4" s="211">
        <f t="shared" si="7"/>
        <v>0.2</v>
      </c>
      <c r="X4" s="150">
        <f>+IFERROR(IF((V4/H4)&gt;='PUNTOS 2021'!$Q$6,1,0),0)</f>
        <v>1</v>
      </c>
      <c r="Y4" s="26">
        <f>+COUNTIF(PRF!A:A,COMISIONES!C4)</f>
        <v>10</v>
      </c>
      <c r="Z4" s="211">
        <f t="shared" si="8"/>
        <v>0.33333333333333331</v>
      </c>
      <c r="AA4" s="150">
        <f>+IFERROR(IF((Y4/H4)&gt;='PUNTOS 2021'!$Q$5,1,0),0)</f>
        <v>0</v>
      </c>
      <c r="AB4" s="26">
        <v>0</v>
      </c>
      <c r="AC4" s="26">
        <f>+COUNTIF(COMPASS!A:A,COMISIONES!C4)</f>
        <v>22</v>
      </c>
      <c r="AD4" s="217">
        <f>+SUMIFS(COMPASS!O:O,COMPASS!A:A,COMISIONES!C4)</f>
        <v>360</v>
      </c>
      <c r="AE4" s="211">
        <f t="shared" si="9"/>
        <v>0.73333333333333328</v>
      </c>
      <c r="AF4" s="150">
        <f>+IFERROR(IF((AC4/H4)&gt;='PUNTOS 2021'!$Q$7,1,0),0)</f>
        <v>1</v>
      </c>
      <c r="AG4" s="26">
        <f>+COUNTIF(CUENTAS!A:A,COMISIONES!C4)</f>
        <v>0</v>
      </c>
      <c r="AH4" s="211">
        <f t="shared" si="10"/>
        <v>0</v>
      </c>
      <c r="AI4" s="150">
        <f>+IFERROR(IF((AG4/H4)&gt;='PUNTOS 2021'!$Q$8,1,0),0)</f>
        <v>0</v>
      </c>
      <c r="AJ4" s="26">
        <f>+COUNTIF(KASH!A:A,COMISIONES!C4)</f>
        <v>0</v>
      </c>
      <c r="AK4" s="211">
        <f>+IFERROR(AJ4/'PUNTOS 2021'!$Q$12,0)</f>
        <v>0</v>
      </c>
      <c r="AL4" s="26">
        <f t="shared" si="2"/>
        <v>0</v>
      </c>
      <c r="AM4" s="28">
        <f t="shared" si="3"/>
        <v>2</v>
      </c>
      <c r="AN4" s="26" t="str">
        <f>+VLOOKUP(AM4,'PUNTOS 2021'!$P$15:$Q$20,2,0)</f>
        <v>SEMI SENIOR</v>
      </c>
      <c r="AO4" s="38">
        <f>IFERROR(VLOOKUP(_xlfn.CONCAT(E4,U4,AN4),'PUNTOS 2021'!$L:$M,2,0),0)</f>
        <v>60</v>
      </c>
      <c r="AP4" s="38">
        <f>+VLOOKUP(_xlfn.CONCAT(AP$1,$AN4),'PUNTOS 2021'!$R$22:$S$51,2,0)</f>
        <v>30</v>
      </c>
      <c r="AQ4" s="38">
        <f>+VLOOKUP(_xlfn.CONCAT(AQ$1,$AN4),'PUNTOS 2021'!$R$22:$S$51,2,0)</f>
        <v>45</v>
      </c>
      <c r="AR4" s="38">
        <f>+VLOOKUP(_xlfn.CONCAT(AR$1,$AN4),'PUNTOS 2021'!$R$22:$S$51,2,0)</f>
        <v>15</v>
      </c>
      <c r="AS4" s="38">
        <f>+VLOOKUP(_xlfn.CONCAT(AS$1,$AN4),'PUNTOS 2021'!$R$22:$S$51,2,0)</f>
        <v>15</v>
      </c>
      <c r="AT4" s="38">
        <f>+VLOOKUP(_xlfn.CONCAT(AT$1,$AN4),'PUNTOS 2021'!$R$22:$S$51,2,0)</f>
        <v>5</v>
      </c>
      <c r="AU4" s="39">
        <f t="shared" si="4"/>
        <v>5850</v>
      </c>
      <c r="AV4" s="39">
        <f t="shared" si="5"/>
        <v>990</v>
      </c>
      <c r="AW4" s="39">
        <f t="shared" ref="AW4" si="14">+AU4+AV4</f>
        <v>6840</v>
      </c>
      <c r="AX4" s="37">
        <v>0</v>
      </c>
      <c r="AY4" s="37">
        <f>+SUMIFS('DESC TC'!$B:$B,'DESC TC'!$A:$A,COMISIONES!C:C,'DESC TC'!$L:$L,"Primera")</f>
        <v>0</v>
      </c>
      <c r="AZ4" s="37">
        <f>+SUMIFS('DESC TC'!$B:$B,'DESC TC'!$A:$A,COMISIONES!C:C,'DESC TC'!$L:$L,"Segunda")</f>
        <v>0</v>
      </c>
      <c r="BA4" s="37">
        <f ca="1">+SUMIF('DESC ADICIONALES'!$A:$B,COMISIONES!$C:$C,'DESC ADICIONALES'!$B:$B)</f>
        <v>0</v>
      </c>
      <c r="BB4" s="37">
        <f>+SUMIF('DESC PRF'!A:A,COMISIONES!C4,'DESC PRF'!J:J)</f>
        <v>0</v>
      </c>
      <c r="BC4" s="39">
        <f t="shared" ca="1" si="11"/>
        <v>6840</v>
      </c>
      <c r="BE4" s="210"/>
    </row>
    <row r="5" spans="1:57">
      <c r="A5" t="s">
        <v>392</v>
      </c>
      <c r="B5" s="116" t="s">
        <v>78</v>
      </c>
      <c r="C5" s="116">
        <v>20009592</v>
      </c>
      <c r="D5" s="116" t="s">
        <v>271</v>
      </c>
      <c r="E5" s="113" t="s">
        <v>40</v>
      </c>
      <c r="F5" s="113" t="s">
        <v>52</v>
      </c>
      <c r="G5" s="113" t="s">
        <v>132</v>
      </c>
      <c r="H5" s="234">
        <v>30</v>
      </c>
      <c r="I5" s="234">
        <v>21</v>
      </c>
      <c r="J5" s="26">
        <f>+COUNTIFS(TC!Q:Q,COMISIONES!C5)</f>
        <v>22</v>
      </c>
      <c r="K5" s="26">
        <f>+COUNTIFS(TC!Q:Q,COMISIONES!C5,TC!H:H,COMISIONES!$K$1)</f>
        <v>21</v>
      </c>
      <c r="L5" s="26">
        <f>+COUNTIFS(TC!Q:Q,COMISIONES!C5,TC!H:H,COMISIONES!$L$1)</f>
        <v>1</v>
      </c>
      <c r="M5" s="27">
        <f t="shared" ref="M5" si="15">+IFERROR(K5/J5,0)</f>
        <v>0.95454545454545459</v>
      </c>
      <c r="N5" s="26">
        <f>+COUNTIFS(TC!Q:Q,COMISIONES!C5,TC!G:G,COMISIONES!$N$1)</f>
        <v>8</v>
      </c>
      <c r="O5" s="26">
        <f>+COUNTIFS(TC!Q:Q,COMISIONES!C5,TC!G:G,COMISIONES!$O$1)</f>
        <v>8</v>
      </c>
      <c r="P5" s="26">
        <f>+COUNTIFS(TC!Q:Q,COMISIONES!C5,TC!G:G,COMISIONES!$P$1)</f>
        <v>6</v>
      </c>
      <c r="Q5" s="26">
        <f>+COUNTIFS(TC!Q:Q,COMISIONES!C5,TC!G:G,COMISIONES!$Q$1)</f>
        <v>0</v>
      </c>
      <c r="R5" s="26">
        <f>+SUMIFS(TC!W:W,TC!Q:Q,COMISIONES!C5,TC!H:H,COMISIONES!$K$1)</f>
        <v>103</v>
      </c>
      <c r="S5" s="26">
        <f>+SUMIFS(TC!W:W,TC!Q:Q,COMISIONES!C5,TC!H:H,COMISIONES!$L$1)</f>
        <v>1</v>
      </c>
      <c r="T5" s="261">
        <f t="shared" ref="T5" si="16">+SUM(R5:S5)</f>
        <v>104</v>
      </c>
      <c r="U5" s="40" t="str">
        <f>+VLOOKUP(T5,'PUNTOS 2021'!$A$4:$C$8,3,1)</f>
        <v>PREMIUM</v>
      </c>
      <c r="V5" s="26">
        <f>+COUNTIF(ADICIONALES!A:A,COMISIONES!C5)</f>
        <v>1</v>
      </c>
      <c r="W5" s="211">
        <f t="shared" si="7"/>
        <v>3.3333333333333333E-2</v>
      </c>
      <c r="X5" s="150">
        <f>+IFERROR(IF((V5/H5)&gt;='PUNTOS 2021'!$Q$6,1,0),0)</f>
        <v>0</v>
      </c>
      <c r="Y5" s="26">
        <f>+COUNTIF(PRF!A:A,COMISIONES!C5)</f>
        <v>7</v>
      </c>
      <c r="Z5" s="211">
        <f t="shared" si="8"/>
        <v>0.23333333333333334</v>
      </c>
      <c r="AA5" s="150">
        <f>+IFERROR(IF((Y5/H5)&gt;='PUNTOS 2021'!$Q$5,1,0),0)</f>
        <v>0</v>
      </c>
      <c r="AB5" s="26">
        <v>0</v>
      </c>
      <c r="AC5" s="26">
        <f>+COUNTIF(COMPASS!A:A,COMISIONES!C5)</f>
        <v>18</v>
      </c>
      <c r="AD5" s="217">
        <f>+SUMIFS(COMPASS!O:O,COMPASS!A:A,COMISIONES!C5)</f>
        <v>180</v>
      </c>
      <c r="AE5" s="211">
        <f t="shared" si="9"/>
        <v>0.6</v>
      </c>
      <c r="AF5" s="150">
        <f>+IFERROR(IF((AC5/H5)&gt;='PUNTOS 2021'!$Q$7,1,0),0)</f>
        <v>1</v>
      </c>
      <c r="AG5" s="26">
        <f>+COUNTIF(CUENTAS!A:A,COMISIONES!C5)</f>
        <v>1</v>
      </c>
      <c r="AH5" s="211">
        <f t="shared" si="10"/>
        <v>3.3333333333333333E-2</v>
      </c>
      <c r="AI5" s="150">
        <f>+IFERROR(IF((AG5/H5)&gt;='PUNTOS 2021'!$Q$8,1,0),0)</f>
        <v>0</v>
      </c>
      <c r="AJ5" s="26">
        <f>+COUNTIF(KASH!A:A,COMISIONES!C5)</f>
        <v>0</v>
      </c>
      <c r="AK5" s="211">
        <f>+IFERROR(AJ5/'PUNTOS 2021'!$Q$12,0)</f>
        <v>0</v>
      </c>
      <c r="AL5" s="26">
        <f t="shared" ref="AL5" si="17">+IF(AJ5&gt;=7,1,0)</f>
        <v>0</v>
      </c>
      <c r="AM5" s="28">
        <f t="shared" ref="AM5" si="18">+SUM(X5,AA5,AF5,AI5,AL5)</f>
        <v>1</v>
      </c>
      <c r="AN5" s="26" t="str">
        <f>+VLOOKUP(AM5,'PUNTOS 2021'!$P$15:$Q$20,2,0)</f>
        <v>NOVATO</v>
      </c>
      <c r="AO5" s="38">
        <f>IFERROR(VLOOKUP(_xlfn.CONCAT(E5,U5,AN5),'PUNTOS 2021'!$L:$M,2,0),0)</f>
        <v>60</v>
      </c>
      <c r="AP5" s="38">
        <f>+VLOOKUP(_xlfn.CONCAT(AP$1,$AN5),'PUNTOS 2021'!$R$22:$S$51,2,0)</f>
        <v>20</v>
      </c>
      <c r="AQ5" s="38">
        <f>+VLOOKUP(_xlfn.CONCAT(AQ$1,$AN5),'PUNTOS 2021'!$R$22:$S$51,2,0)</f>
        <v>30</v>
      </c>
      <c r="AR5" s="38">
        <f>+VLOOKUP(_xlfn.CONCAT(AR$1,$AN5),'PUNTOS 2021'!$R$22:$S$51,2,0)</f>
        <v>10</v>
      </c>
      <c r="AS5" s="38">
        <f>+VLOOKUP(_xlfn.CONCAT(AS$1,$AN5),'PUNTOS 2021'!$R$22:$S$51,2,0)</f>
        <v>10</v>
      </c>
      <c r="AT5" s="38">
        <f>+VLOOKUP(_xlfn.CONCAT(AT$1,$AN5),'PUNTOS 2021'!$R$22:$S$51,2,0)</f>
        <v>5</v>
      </c>
      <c r="AU5" s="39">
        <f t="shared" ref="AU5" si="19">(AO5*T5)</f>
        <v>6240</v>
      </c>
      <c r="AV5" s="39">
        <f t="shared" ref="AV5" si="20">+(V5*AP5)+(Y5*AQ5)+(AD5)+(AG5*AS5)+(AJ5*AT5)</f>
        <v>420</v>
      </c>
      <c r="AW5" s="39">
        <f t="shared" ref="AW5" si="21">+AU5+AV5</f>
        <v>6660</v>
      </c>
      <c r="AX5" s="37">
        <v>0</v>
      </c>
      <c r="AY5" s="37">
        <f>+SUMIFS('DESC TC'!$B:$B,'DESC TC'!$A:$A,COMISIONES!C:C,'DESC TC'!$L:$L,"Primera")</f>
        <v>0</v>
      </c>
      <c r="AZ5" s="37">
        <f>+SUMIFS('DESC TC'!$B:$B,'DESC TC'!$A:$A,COMISIONES!C:C,'DESC TC'!$L:$L,"Segunda")</f>
        <v>60</v>
      </c>
      <c r="BA5" s="37">
        <f ca="1">+SUMIF('DESC ADICIONALES'!$A:$B,COMISIONES!$C:$C,'DESC ADICIONALES'!$B:$B)</f>
        <v>0</v>
      </c>
      <c r="BB5" s="37">
        <f>+SUMIF('DESC PRF'!A:A,COMISIONES!C5,'DESC PRF'!J:J)</f>
        <v>0</v>
      </c>
      <c r="BC5" s="39">
        <f t="shared" ca="1" si="11"/>
        <v>6600</v>
      </c>
      <c r="BE5" s="210"/>
    </row>
    <row r="6" spans="1:57">
      <c r="A6" t="s">
        <v>392</v>
      </c>
      <c r="B6" s="116" t="s">
        <v>78</v>
      </c>
      <c r="C6" s="116">
        <v>20009688</v>
      </c>
      <c r="D6" s="116" t="s">
        <v>275</v>
      </c>
      <c r="E6" s="113" t="s">
        <v>40</v>
      </c>
      <c r="F6" s="113" t="s">
        <v>52</v>
      </c>
      <c r="G6" s="113" t="s">
        <v>132</v>
      </c>
      <c r="H6" s="234">
        <v>30</v>
      </c>
      <c r="I6" s="234">
        <v>21</v>
      </c>
      <c r="J6" s="26">
        <f>+COUNTIFS(TC!Q:Q,COMISIONES!C6)</f>
        <v>14</v>
      </c>
      <c r="K6" s="26">
        <f>+COUNTIFS(TC!Q:Q,COMISIONES!C6,TC!H:H,COMISIONES!$K$1)</f>
        <v>13</v>
      </c>
      <c r="L6" s="26">
        <f>+COUNTIFS(TC!Q:Q,COMISIONES!C6,TC!H:H,COMISIONES!$L$1)</f>
        <v>1</v>
      </c>
      <c r="M6" s="27">
        <f t="shared" ref="M6" si="22">+IFERROR(K6/J6,0)</f>
        <v>0.9285714285714286</v>
      </c>
      <c r="N6" s="26">
        <f>+COUNTIFS(TC!Q:Q,COMISIONES!C6,TC!G:G,COMISIONES!$N$1)</f>
        <v>3</v>
      </c>
      <c r="O6" s="26">
        <f>+COUNTIFS(TC!Q:Q,COMISIONES!C6,TC!G:G,COMISIONES!$O$1)</f>
        <v>8</v>
      </c>
      <c r="P6" s="26">
        <f>+COUNTIFS(TC!Q:Q,COMISIONES!C6,TC!G:G,COMISIONES!$P$1)</f>
        <v>3</v>
      </c>
      <c r="Q6" s="26">
        <f>+COUNTIFS(TC!Q:Q,COMISIONES!C6,TC!G:G,COMISIONES!$Q$1)</f>
        <v>0</v>
      </c>
      <c r="R6" s="26">
        <f>+SUMIFS(TC!W:W,TC!Q:Q,COMISIONES!C6,TC!H:H,COMISIONES!$K$1)</f>
        <v>65</v>
      </c>
      <c r="S6" s="26">
        <f>+SUMIFS(TC!W:W,TC!Q:Q,COMISIONES!C6,TC!H:H,COMISIONES!$L$1)</f>
        <v>0.5</v>
      </c>
      <c r="T6" s="261">
        <f t="shared" ref="T6" si="23">+SUM(R6:S6)</f>
        <v>65.5</v>
      </c>
      <c r="U6" s="40" t="str">
        <f>+VLOOKUP(T6,'PUNTOS 2021'!$A$4:$C$8,3,1)</f>
        <v>SEMI SENIOR</v>
      </c>
      <c r="V6" s="26">
        <f>+COUNTIF(ADICIONALES!A:A,COMISIONES!C6)</f>
        <v>6</v>
      </c>
      <c r="W6" s="211">
        <f t="shared" si="7"/>
        <v>0.2</v>
      </c>
      <c r="X6" s="150">
        <f>+IFERROR(IF((V6/H6)&gt;='PUNTOS 2021'!$Q$6,1,0),0)</f>
        <v>1</v>
      </c>
      <c r="Y6" s="26">
        <f>+COUNTIF(PRF!A:A,COMISIONES!C6)</f>
        <v>4</v>
      </c>
      <c r="Z6" s="211">
        <f t="shared" si="8"/>
        <v>0.13333333333333333</v>
      </c>
      <c r="AA6" s="150">
        <f>+IFERROR(IF((Y6/H6)&gt;='PUNTOS 2021'!$Q$5,1,0),0)</f>
        <v>0</v>
      </c>
      <c r="AB6" s="26">
        <v>0</v>
      </c>
      <c r="AC6" s="26">
        <f>+COUNTIF(COMPASS!A:A,COMISIONES!C6)</f>
        <v>21</v>
      </c>
      <c r="AD6" s="217">
        <f>+SUMIFS(COMPASS!O:O,COMPASS!A:A,COMISIONES!C6)</f>
        <v>390</v>
      </c>
      <c r="AE6" s="211">
        <f t="shared" si="9"/>
        <v>0.7</v>
      </c>
      <c r="AF6" s="150">
        <f>+IFERROR(IF((AC6/H6)&gt;='PUNTOS 2021'!$Q$7,1,0),0)</f>
        <v>1</v>
      </c>
      <c r="AG6" s="26">
        <f>+COUNTIF(CUENTAS!A:A,COMISIONES!C6)</f>
        <v>0</v>
      </c>
      <c r="AH6" s="211">
        <f t="shared" si="10"/>
        <v>0</v>
      </c>
      <c r="AI6" s="150">
        <f>+IFERROR(IF((AG6/H6)&gt;='PUNTOS 2021'!$Q$8,1,0),0)</f>
        <v>0</v>
      </c>
      <c r="AJ6" s="26">
        <f>+COUNTIF(KASH!A:A,COMISIONES!C6)</f>
        <v>0</v>
      </c>
      <c r="AK6" s="211">
        <f>+IFERROR(AJ6/'PUNTOS 2021'!$Q$12,0)</f>
        <v>0</v>
      </c>
      <c r="AL6" s="26">
        <f t="shared" ref="AL6" si="24">+IF(AJ6&gt;=7,1,0)</f>
        <v>0</v>
      </c>
      <c r="AM6" s="28">
        <f t="shared" ref="AM6" si="25">+SUM(X6,AA6,AF6,AI6,AL6)</f>
        <v>2</v>
      </c>
      <c r="AN6" s="26" t="str">
        <f>+VLOOKUP(AM6,'PUNTOS 2021'!$P$15:$Q$20,2,0)</f>
        <v>SEMI SENIOR</v>
      </c>
      <c r="AO6" s="38">
        <f>IFERROR(VLOOKUP(_xlfn.CONCAT(E6,U6,AN6),'PUNTOS 2021'!$L:$M,2,0),0)</f>
        <v>30</v>
      </c>
      <c r="AP6" s="38">
        <f>+VLOOKUP(_xlfn.CONCAT(AP$1,$AN6),'PUNTOS 2021'!$R$22:$S$51,2,0)</f>
        <v>30</v>
      </c>
      <c r="AQ6" s="38">
        <f>+VLOOKUP(_xlfn.CONCAT(AQ$1,$AN6),'PUNTOS 2021'!$R$22:$S$51,2,0)</f>
        <v>45</v>
      </c>
      <c r="AR6" s="38">
        <f>+VLOOKUP(_xlfn.CONCAT(AR$1,$AN6),'PUNTOS 2021'!$R$22:$S$51,2,0)</f>
        <v>15</v>
      </c>
      <c r="AS6" s="38">
        <f>+VLOOKUP(_xlfn.CONCAT(AS$1,$AN6),'PUNTOS 2021'!$R$22:$S$51,2,0)</f>
        <v>15</v>
      </c>
      <c r="AT6" s="38">
        <f>+VLOOKUP(_xlfn.CONCAT(AT$1,$AN6),'PUNTOS 2021'!$R$22:$S$51,2,0)</f>
        <v>5</v>
      </c>
      <c r="AU6" s="39">
        <f t="shared" ref="AU6" si="26">(AO6*T6)</f>
        <v>1965</v>
      </c>
      <c r="AV6" s="39">
        <f t="shared" ref="AV6" si="27">+(V6*AP6)+(Y6*AQ6)+(AD6)+(AG6*AS6)+(AJ6*AT6)</f>
        <v>750</v>
      </c>
      <c r="AW6" s="39">
        <f t="shared" ref="AW6" si="28">+AU6+AV6</f>
        <v>2715</v>
      </c>
      <c r="AX6" s="37">
        <v>0</v>
      </c>
      <c r="AY6" s="37">
        <f>+SUMIFS('DESC TC'!$B:$B,'DESC TC'!$A:$A,COMISIONES!C:C,'DESC TC'!$L:$L,"Primera")</f>
        <v>0</v>
      </c>
      <c r="AZ6" s="37">
        <f>+SUMIFS('DESC TC'!$B:$B,'DESC TC'!$A:$A,COMISIONES!C:C,'DESC TC'!$L:$L,"Segunda")</f>
        <v>80</v>
      </c>
      <c r="BA6" s="37">
        <f ca="1">+SUMIF('DESC ADICIONALES'!$A:$B,COMISIONES!$C:$C,'DESC ADICIONALES'!$B:$B)</f>
        <v>0</v>
      </c>
      <c r="BB6" s="37">
        <f>+SUMIF('DESC PRF'!A:A,COMISIONES!C6,'DESC PRF'!J:J)</f>
        <v>0</v>
      </c>
      <c r="BC6" s="39">
        <f t="shared" ca="1" si="11"/>
        <v>2635</v>
      </c>
      <c r="BE6" s="210"/>
    </row>
    <row r="7" spans="1:57">
      <c r="A7" t="s">
        <v>392</v>
      </c>
      <c r="B7" s="116" t="s">
        <v>78</v>
      </c>
      <c r="C7" s="113">
        <v>20007352</v>
      </c>
      <c r="D7" s="113" t="s">
        <v>7</v>
      </c>
      <c r="E7" s="113" t="s">
        <v>40</v>
      </c>
      <c r="F7" s="113" t="s">
        <v>52</v>
      </c>
      <c r="G7" s="113" t="s">
        <v>132</v>
      </c>
      <c r="H7" s="234">
        <v>30</v>
      </c>
      <c r="I7" s="234">
        <v>21</v>
      </c>
      <c r="J7" s="26">
        <f>+COUNTIFS(TC!Q:Q,COMISIONES!C7)</f>
        <v>13</v>
      </c>
      <c r="K7" s="26">
        <f>+COUNTIFS(TC!Q:Q,COMISIONES!C7,TC!H:H,COMISIONES!$K$1)</f>
        <v>11</v>
      </c>
      <c r="L7" s="26">
        <f>+COUNTIFS(TC!Q:Q,COMISIONES!C7,TC!H:H,COMISIONES!$L$1)</f>
        <v>2</v>
      </c>
      <c r="M7" s="27">
        <f t="shared" si="0"/>
        <v>0.84615384615384615</v>
      </c>
      <c r="N7" s="26">
        <f>+COUNTIFS(TC!Q:Q,COMISIONES!C7,TC!G:G,COMISIONES!$N$1)</f>
        <v>4</v>
      </c>
      <c r="O7" s="26">
        <f>+COUNTIFS(TC!Q:Q,COMISIONES!C7,TC!G:G,COMISIONES!$O$1)</f>
        <v>4</v>
      </c>
      <c r="P7" s="26">
        <f>+COUNTIFS(TC!Q:Q,COMISIONES!C7,TC!G:G,COMISIONES!$P$1)</f>
        <v>5</v>
      </c>
      <c r="Q7" s="26">
        <f>+COUNTIFS(TC!Q:Q,COMISIONES!C7,TC!G:G,COMISIONES!$Q$1)</f>
        <v>0</v>
      </c>
      <c r="R7" s="26">
        <f>+SUMIFS(TC!W:W,TC!Q:Q,COMISIONES!C7,TC!H:H,COMISIONES!$K$1)</f>
        <v>53</v>
      </c>
      <c r="S7" s="26">
        <f>+SUMIFS(TC!W:W,TC!Q:Q,COMISIONES!C7,TC!H:H,COMISIONES!$L$1)</f>
        <v>1</v>
      </c>
      <c r="T7" s="261">
        <f t="shared" si="1"/>
        <v>54</v>
      </c>
      <c r="U7" s="40" t="str">
        <f>+VLOOKUP(T7,'PUNTOS 2021'!$A$4:$C$8,3,1)</f>
        <v>SEMI SENIOR</v>
      </c>
      <c r="V7" s="26">
        <f>+COUNTIF(ADICIONALES!A:A,COMISIONES!C7)</f>
        <v>4</v>
      </c>
      <c r="W7" s="211">
        <f t="shared" si="7"/>
        <v>0.13333333333333333</v>
      </c>
      <c r="X7" s="150">
        <f>+IFERROR(IF((V7/H7)&gt;='PUNTOS 2021'!$Q$6,1,0),0)</f>
        <v>1</v>
      </c>
      <c r="Y7" s="26">
        <f>+COUNTIF(PRF!A:A,COMISIONES!C7)</f>
        <v>2</v>
      </c>
      <c r="Z7" s="211">
        <f t="shared" si="8"/>
        <v>6.6666666666666666E-2</v>
      </c>
      <c r="AA7" s="150">
        <f>+IFERROR(IF((Y7/H7)&gt;='PUNTOS 2021'!$Q$5,1,0),0)</f>
        <v>0</v>
      </c>
      <c r="AB7" s="26">
        <v>0</v>
      </c>
      <c r="AC7" s="26">
        <f>+COUNTIF(COMPASS!A:A,COMISIONES!C7)</f>
        <v>17</v>
      </c>
      <c r="AD7" s="217">
        <f>+SUMIFS(COMPASS!O:O,COMPASS!A:A,COMISIONES!C7)</f>
        <v>285</v>
      </c>
      <c r="AE7" s="211">
        <f t="shared" si="9"/>
        <v>0.56666666666666665</v>
      </c>
      <c r="AF7" s="150">
        <f>+IFERROR(IF((AC7/H7)&gt;='PUNTOS 2021'!$Q$7,1,0),0)</f>
        <v>1</v>
      </c>
      <c r="AG7" s="26">
        <f>+COUNTIF(CUENTAS!A:A,COMISIONES!C7)</f>
        <v>0</v>
      </c>
      <c r="AH7" s="211">
        <f t="shared" si="10"/>
        <v>0</v>
      </c>
      <c r="AI7" s="150">
        <f>+IFERROR(IF((AG7/H7)&gt;='PUNTOS 2021'!$Q$8,1,0),0)</f>
        <v>0</v>
      </c>
      <c r="AJ7" s="26">
        <f>+COUNTIF(KASH!A:A,COMISIONES!C7)</f>
        <v>0</v>
      </c>
      <c r="AK7" s="211">
        <f>+IFERROR(AJ7/'PUNTOS 2021'!$Q$12,0)</f>
        <v>0</v>
      </c>
      <c r="AL7" s="26">
        <f t="shared" si="2"/>
        <v>0</v>
      </c>
      <c r="AM7" s="28">
        <f t="shared" si="3"/>
        <v>2</v>
      </c>
      <c r="AN7" s="26" t="str">
        <f>+VLOOKUP(AM7,'PUNTOS 2021'!$P$15:$Q$20,2,0)</f>
        <v>SEMI SENIOR</v>
      </c>
      <c r="AO7" s="38">
        <f>IFERROR(VLOOKUP(_xlfn.CONCAT(E7,U7,AN7),'PUNTOS 2021'!$L:$M,2,0),0)</f>
        <v>30</v>
      </c>
      <c r="AP7" s="38">
        <f>+VLOOKUP(_xlfn.CONCAT(AP$1,$AN7),'PUNTOS 2021'!$R$22:$S$51,2,0)</f>
        <v>30</v>
      </c>
      <c r="AQ7" s="38">
        <f>+VLOOKUP(_xlfn.CONCAT(AQ$1,$AN7),'PUNTOS 2021'!$R$22:$S$51,2,0)</f>
        <v>45</v>
      </c>
      <c r="AR7" s="38">
        <f>+VLOOKUP(_xlfn.CONCAT(AR$1,$AN7),'PUNTOS 2021'!$R$22:$S$51,2,0)</f>
        <v>15</v>
      </c>
      <c r="AS7" s="38">
        <f>+VLOOKUP(_xlfn.CONCAT(AS$1,$AN7),'PUNTOS 2021'!$R$22:$S$51,2,0)</f>
        <v>15</v>
      </c>
      <c r="AT7" s="38">
        <f>+VLOOKUP(_xlfn.CONCAT(AT$1,$AN7),'PUNTOS 2021'!$R$22:$S$51,2,0)</f>
        <v>5</v>
      </c>
      <c r="AU7" s="39">
        <f t="shared" si="4"/>
        <v>1620</v>
      </c>
      <c r="AV7" s="39">
        <f t="shared" si="5"/>
        <v>495</v>
      </c>
      <c r="AW7" s="39">
        <f t="shared" si="6"/>
        <v>2115</v>
      </c>
      <c r="AX7" s="37">
        <v>0</v>
      </c>
      <c r="AY7" s="37">
        <f>+SUMIFS('DESC TC'!$B:$B,'DESC TC'!$A:$A,COMISIONES!C:C,'DESC TC'!$L:$L,"Primera")</f>
        <v>0</v>
      </c>
      <c r="AZ7" s="37">
        <f>+SUMIFS('DESC TC'!$B:$B,'DESC TC'!$A:$A,COMISIONES!C:C,'DESC TC'!$L:$L,"Segunda")</f>
        <v>0</v>
      </c>
      <c r="BA7" s="37">
        <f ca="1">+SUMIF('DESC ADICIONALES'!$A:$B,COMISIONES!$C:$C,'DESC ADICIONALES'!$B:$B)</f>
        <v>0</v>
      </c>
      <c r="BB7" s="37">
        <f>+SUMIF('DESC PRF'!A:A,COMISIONES!C7,'DESC PRF'!J:J)</f>
        <v>0</v>
      </c>
      <c r="BC7" s="39">
        <f t="shared" ca="1" si="11"/>
        <v>2115</v>
      </c>
      <c r="BE7" s="210"/>
    </row>
    <row r="8" spans="1:57">
      <c r="A8" t="s">
        <v>392</v>
      </c>
      <c r="B8" s="116" t="s">
        <v>78</v>
      </c>
      <c r="C8" s="116">
        <v>20009174</v>
      </c>
      <c r="D8" s="113" t="s">
        <v>22</v>
      </c>
      <c r="E8" s="116" t="s">
        <v>40</v>
      </c>
      <c r="F8" s="113" t="s">
        <v>52</v>
      </c>
      <c r="G8" s="113" t="s">
        <v>132</v>
      </c>
      <c r="H8" s="234">
        <v>30</v>
      </c>
      <c r="I8" s="234">
        <v>21</v>
      </c>
      <c r="J8" s="26">
        <f>+COUNTIFS(TC!Q:Q,COMISIONES!C8)</f>
        <v>27</v>
      </c>
      <c r="K8" s="26">
        <f>+COUNTIFS(TC!Q:Q,COMISIONES!C8,TC!H:H,COMISIONES!$K$1)</f>
        <v>19</v>
      </c>
      <c r="L8" s="26">
        <f>+COUNTIFS(TC!Q:Q,COMISIONES!C8,TC!H:H,COMISIONES!$L$1)</f>
        <v>8</v>
      </c>
      <c r="M8" s="27">
        <f t="shared" si="0"/>
        <v>0.70370370370370372</v>
      </c>
      <c r="N8" s="26">
        <f>+COUNTIFS(TC!Q:Q,COMISIONES!C8,TC!G:G,COMISIONES!$N$1)</f>
        <v>10</v>
      </c>
      <c r="O8" s="26">
        <f>+COUNTIFS(TC!Q:Q,COMISIONES!C8,TC!G:G,COMISIONES!$O$1)</f>
        <v>8</v>
      </c>
      <c r="P8" s="26">
        <f>+COUNTIFS(TC!Q:Q,COMISIONES!C8,TC!G:G,COMISIONES!$P$1)</f>
        <v>9</v>
      </c>
      <c r="Q8" s="26">
        <f>+COUNTIFS(TC!Q:Q,COMISIONES!C8,TC!G:G,COMISIONES!$Q$1)</f>
        <v>0</v>
      </c>
      <c r="R8" s="26">
        <f>+SUMIFS(TC!W:W,TC!Q:Q,COMISIONES!C8,TC!H:H,COMISIONES!$K$1)</f>
        <v>97</v>
      </c>
      <c r="S8" s="26">
        <f>+SUMIFS(TC!W:W,TC!Q:Q,COMISIONES!C8,TC!H:H,COMISIONES!$L$1)</f>
        <v>4</v>
      </c>
      <c r="T8" s="261">
        <f t="shared" si="1"/>
        <v>101</v>
      </c>
      <c r="U8" s="40" t="str">
        <f>+VLOOKUP(T8,'PUNTOS 2021'!$A$4:$C$8,3,1)</f>
        <v>PREMIUM</v>
      </c>
      <c r="V8" s="26">
        <f>+COUNTIF(ADICIONALES!A:A,COMISIONES!C8)</f>
        <v>8</v>
      </c>
      <c r="W8" s="211">
        <f t="shared" si="7"/>
        <v>0.26666666666666666</v>
      </c>
      <c r="X8" s="150">
        <f>+IFERROR(IF((V8/H8)&gt;='PUNTOS 2021'!$Q$6,1,0),0)</f>
        <v>1</v>
      </c>
      <c r="Y8" s="26">
        <f>+COUNTIF(PRF!A:A,COMISIONES!C8)</f>
        <v>13</v>
      </c>
      <c r="Z8" s="211">
        <f t="shared" si="8"/>
        <v>0.43333333333333335</v>
      </c>
      <c r="AA8" s="150">
        <f>+IFERROR(IF((Y8/H8)&gt;='PUNTOS 2021'!$Q$5,1,0),0)</f>
        <v>1</v>
      </c>
      <c r="AB8" s="26">
        <v>0</v>
      </c>
      <c r="AC8" s="26">
        <f>+COUNTIF(COMPASS!A:A,COMISIONES!C8)</f>
        <v>24</v>
      </c>
      <c r="AD8" s="217">
        <f>+SUMIFS(COMPASS!O:O,COMPASS!A:A,COMISIONES!C8)</f>
        <v>560</v>
      </c>
      <c r="AE8" s="211">
        <f t="shared" si="9"/>
        <v>0.8</v>
      </c>
      <c r="AF8" s="150">
        <f>+IFERROR(IF((AC8/H8)&gt;='PUNTOS 2021'!$Q$7,1,0),0)</f>
        <v>1</v>
      </c>
      <c r="AG8" s="26">
        <f>+COUNTIF(CUENTAS!A:A,COMISIONES!C8)</f>
        <v>0</v>
      </c>
      <c r="AH8" s="211">
        <f t="shared" si="10"/>
        <v>0</v>
      </c>
      <c r="AI8" s="150">
        <f>+IFERROR(IF((AG8/H8)&gt;='PUNTOS 2021'!$Q$8,1,0),0)</f>
        <v>0</v>
      </c>
      <c r="AJ8" s="26">
        <f>+COUNTIF(KASH!A:A,COMISIONES!C8)</f>
        <v>0</v>
      </c>
      <c r="AK8" s="211">
        <f>+IFERROR(AJ8/'PUNTOS 2021'!$Q$12,0)</f>
        <v>0</v>
      </c>
      <c r="AL8" s="26">
        <f t="shared" si="2"/>
        <v>0</v>
      </c>
      <c r="AM8" s="28">
        <f t="shared" si="3"/>
        <v>3</v>
      </c>
      <c r="AN8" s="26" t="str">
        <f>+VLOOKUP(AM8,'PUNTOS 2021'!$P$15:$Q$20,2,0)</f>
        <v>SENIOR</v>
      </c>
      <c r="AO8" s="38">
        <f>IFERROR(VLOOKUP(_xlfn.CONCAT(E8,U8,AN8),'PUNTOS 2021'!$L:$M,2,0),0)</f>
        <v>60</v>
      </c>
      <c r="AP8" s="38">
        <f>+VLOOKUP(_xlfn.CONCAT(AP$1,$AN8),'PUNTOS 2021'!$R$22:$S$51,2,0)</f>
        <v>40</v>
      </c>
      <c r="AQ8" s="38">
        <f>+VLOOKUP(_xlfn.CONCAT(AQ$1,$AN8),'PUNTOS 2021'!$R$22:$S$51,2,0)</f>
        <v>60</v>
      </c>
      <c r="AR8" s="38">
        <f>+VLOOKUP(_xlfn.CONCAT(AR$1,$AN8),'PUNTOS 2021'!$R$22:$S$51,2,0)</f>
        <v>20</v>
      </c>
      <c r="AS8" s="38">
        <f>+VLOOKUP(_xlfn.CONCAT(AS$1,$AN8),'PUNTOS 2021'!$R$22:$S$51,2,0)</f>
        <v>20</v>
      </c>
      <c r="AT8" s="38">
        <f>+VLOOKUP(_xlfn.CONCAT(AT$1,$AN8),'PUNTOS 2021'!$R$22:$S$51,2,0)</f>
        <v>5</v>
      </c>
      <c r="AU8" s="39">
        <f t="shared" si="4"/>
        <v>6060</v>
      </c>
      <c r="AV8" s="39">
        <f t="shared" si="5"/>
        <v>1660</v>
      </c>
      <c r="AW8" s="39">
        <f t="shared" si="6"/>
        <v>7720</v>
      </c>
      <c r="AX8" s="37">
        <v>0</v>
      </c>
      <c r="AY8" s="37">
        <f>+SUMIFS('DESC TC'!$B:$B,'DESC TC'!$A:$A,COMISIONES!C:C,'DESC TC'!$L:$L,"Primera")</f>
        <v>0</v>
      </c>
      <c r="AZ8" s="37">
        <f>+SUMIFS('DESC TC'!$B:$B,'DESC TC'!$A:$A,COMISIONES!C:C,'DESC TC'!$L:$L,"Segunda")</f>
        <v>0</v>
      </c>
      <c r="BA8" s="37">
        <f ca="1">+SUMIF('DESC ADICIONALES'!$A:$B,COMISIONES!$C:$C,'DESC ADICIONALES'!$B:$B)</f>
        <v>40</v>
      </c>
      <c r="BB8" s="37">
        <f>+SUMIF('DESC PRF'!A:A,COMISIONES!C8,'DESC PRF'!J:J)</f>
        <v>0</v>
      </c>
      <c r="BC8" s="39">
        <f t="shared" ca="1" si="11"/>
        <v>7680</v>
      </c>
      <c r="BE8" s="210"/>
    </row>
    <row r="9" spans="1:57">
      <c r="A9" t="s">
        <v>392</v>
      </c>
      <c r="B9" s="116" t="s">
        <v>78</v>
      </c>
      <c r="C9" s="113">
        <v>20002708</v>
      </c>
      <c r="D9" s="113" t="s">
        <v>16</v>
      </c>
      <c r="E9" s="113" t="s">
        <v>40</v>
      </c>
      <c r="F9" s="113" t="s">
        <v>49</v>
      </c>
      <c r="G9" s="113" t="s">
        <v>132</v>
      </c>
      <c r="H9" s="234">
        <v>30</v>
      </c>
      <c r="I9" s="234">
        <v>21</v>
      </c>
      <c r="J9" s="26">
        <f>+COUNTIFS(TC!Q:Q,COMISIONES!C9)</f>
        <v>25</v>
      </c>
      <c r="K9" s="26">
        <f>+COUNTIFS(TC!Q:Q,COMISIONES!C9,TC!H:H,COMISIONES!$K$1)</f>
        <v>19</v>
      </c>
      <c r="L9" s="26">
        <f>+COUNTIFS(TC!Q:Q,COMISIONES!C9,TC!H:H,COMISIONES!$L$1)</f>
        <v>6</v>
      </c>
      <c r="M9" s="27">
        <f t="shared" si="0"/>
        <v>0.76</v>
      </c>
      <c r="N9" s="26">
        <f>+COUNTIFS(TC!Q:Q,COMISIONES!C9,TC!G:G,COMISIONES!$N$1)</f>
        <v>5</v>
      </c>
      <c r="O9" s="26">
        <f>+COUNTIFS(TC!Q:Q,COMISIONES!C9,TC!G:G,COMISIONES!$O$1)</f>
        <v>5</v>
      </c>
      <c r="P9" s="26">
        <f>+COUNTIFS(TC!Q:Q,COMISIONES!C9,TC!G:G,COMISIONES!$P$1)</f>
        <v>15</v>
      </c>
      <c r="Q9" s="26">
        <f>+COUNTIFS(TC!Q:Q,COMISIONES!C9,TC!G:G,COMISIONES!$Q$1)</f>
        <v>0</v>
      </c>
      <c r="R9" s="26">
        <f>+SUMIFS(TC!W:W,TC!Q:Q,COMISIONES!C9,TC!H:H,COMISIONES!$K$1)</f>
        <v>111</v>
      </c>
      <c r="S9" s="26">
        <f>+SUMIFS(TC!W:W,TC!Q:Q,COMISIONES!C9,TC!H:H,COMISIONES!$L$1)</f>
        <v>3</v>
      </c>
      <c r="T9" s="261">
        <f t="shared" si="1"/>
        <v>114</v>
      </c>
      <c r="U9" s="40" t="str">
        <f>+VLOOKUP(T9,'PUNTOS 2021'!$A$4:$C$8,3,1)</f>
        <v>PREMIUM</v>
      </c>
      <c r="V9" s="26">
        <f>+COUNTIF(ADICIONALES!A:A,COMISIONES!C9)</f>
        <v>4</v>
      </c>
      <c r="W9" s="211">
        <f t="shared" si="7"/>
        <v>0.13333333333333333</v>
      </c>
      <c r="X9" s="150">
        <f>+IFERROR(IF((V9/H9)&gt;='PUNTOS 2021'!$Q$6,1,0),0)</f>
        <v>1</v>
      </c>
      <c r="Y9" s="26">
        <f>+COUNTIF(PRF!A:A,COMISIONES!C9)</f>
        <v>10</v>
      </c>
      <c r="Z9" s="211">
        <f t="shared" si="8"/>
        <v>0.33333333333333331</v>
      </c>
      <c r="AA9" s="150">
        <f>+IFERROR(IF((Y9/H9)&gt;='PUNTOS 2021'!$Q$5,1,0),0)</f>
        <v>0</v>
      </c>
      <c r="AB9" s="26">
        <v>0</v>
      </c>
      <c r="AC9" s="26">
        <f>+COUNTIF(COMPASS!A:A,COMISIONES!C9)</f>
        <v>8</v>
      </c>
      <c r="AD9" s="217">
        <f>+SUMIFS(COMPASS!O:O,COMPASS!A:A,COMISIONES!C9)</f>
        <v>135</v>
      </c>
      <c r="AE9" s="211">
        <f t="shared" si="9"/>
        <v>0.26666666666666666</v>
      </c>
      <c r="AF9" s="150">
        <f>+IFERROR(IF((AC9/H9)&gt;='PUNTOS 2021'!$Q$7,1,0),0)</f>
        <v>1</v>
      </c>
      <c r="AG9" s="26">
        <f>+COUNTIF(CUENTAS!A:A,COMISIONES!C9)</f>
        <v>1</v>
      </c>
      <c r="AH9" s="211">
        <f t="shared" si="10"/>
        <v>3.3333333333333333E-2</v>
      </c>
      <c r="AI9" s="150">
        <f>+IFERROR(IF((AG9/H9)&gt;='PUNTOS 2021'!$Q$8,1,0),0)</f>
        <v>0</v>
      </c>
      <c r="AJ9" s="26">
        <f>+COUNTIF(KASH!A:A,COMISIONES!C9)</f>
        <v>0</v>
      </c>
      <c r="AK9" s="211">
        <f>+IFERROR(AJ9/'PUNTOS 2021'!$Q$12,0)</f>
        <v>0</v>
      </c>
      <c r="AL9" s="26">
        <f t="shared" si="2"/>
        <v>0</v>
      </c>
      <c r="AM9" s="28">
        <f t="shared" si="3"/>
        <v>2</v>
      </c>
      <c r="AN9" s="26" t="str">
        <f>+VLOOKUP(AM9,'PUNTOS 2021'!$P$15:$Q$20,2,0)</f>
        <v>SEMI SENIOR</v>
      </c>
      <c r="AO9" s="38">
        <f>IFERROR(VLOOKUP(_xlfn.CONCAT(E9,U9,AN9),'PUNTOS 2021'!$L:$M,2,0),0)</f>
        <v>60</v>
      </c>
      <c r="AP9" s="38">
        <f>+VLOOKUP(_xlfn.CONCAT(AP$1,$AN9),'PUNTOS 2021'!$R$22:$S$51,2,0)</f>
        <v>30</v>
      </c>
      <c r="AQ9" s="38">
        <f>+VLOOKUP(_xlfn.CONCAT(AQ$1,$AN9),'PUNTOS 2021'!$R$22:$S$51,2,0)</f>
        <v>45</v>
      </c>
      <c r="AR9" s="38">
        <f>+VLOOKUP(_xlfn.CONCAT(AR$1,$AN9),'PUNTOS 2021'!$R$22:$S$51,2,0)</f>
        <v>15</v>
      </c>
      <c r="AS9" s="38">
        <f>+VLOOKUP(_xlfn.CONCAT(AS$1,$AN9),'PUNTOS 2021'!$R$22:$S$51,2,0)</f>
        <v>15</v>
      </c>
      <c r="AT9" s="38">
        <f>+VLOOKUP(_xlfn.CONCAT(AT$1,$AN9),'PUNTOS 2021'!$R$22:$S$51,2,0)</f>
        <v>5</v>
      </c>
      <c r="AU9" s="39">
        <f t="shared" si="4"/>
        <v>6840</v>
      </c>
      <c r="AV9" s="39">
        <f t="shared" si="5"/>
        <v>720</v>
      </c>
      <c r="AW9" s="39">
        <f t="shared" si="6"/>
        <v>7560</v>
      </c>
      <c r="AX9" s="37">
        <v>0</v>
      </c>
      <c r="AY9" s="37">
        <f>+SUMIFS('DESC TC'!$B:$B,'DESC TC'!$A:$A,COMISIONES!C:C,'DESC TC'!$L:$L,"Primera")</f>
        <v>0</v>
      </c>
      <c r="AZ9" s="37">
        <f>+SUMIFS('DESC TC'!$B:$B,'DESC TC'!$A:$A,COMISIONES!C:C,'DESC TC'!$L:$L,"Segunda")</f>
        <v>0</v>
      </c>
      <c r="BA9" s="37">
        <f ca="1">+SUMIF('DESC ADICIONALES'!$A:$B,COMISIONES!$C:$C,'DESC ADICIONALES'!$B:$B)</f>
        <v>0</v>
      </c>
      <c r="BB9" s="37">
        <f>+SUMIF('DESC PRF'!A:A,COMISIONES!C9,'DESC PRF'!J:J)</f>
        <v>0</v>
      </c>
      <c r="BC9" s="39">
        <f t="shared" ca="1" si="11"/>
        <v>7560</v>
      </c>
      <c r="BE9" s="210"/>
    </row>
    <row r="10" spans="1:57">
      <c r="A10" t="s">
        <v>392</v>
      </c>
      <c r="B10" s="116" t="s">
        <v>78</v>
      </c>
      <c r="C10" s="113">
        <v>20004161</v>
      </c>
      <c r="D10" s="113" t="s">
        <v>3</v>
      </c>
      <c r="E10" s="113" t="s">
        <v>40</v>
      </c>
      <c r="F10" s="113" t="s">
        <v>49</v>
      </c>
      <c r="G10" s="113" t="s">
        <v>132</v>
      </c>
      <c r="H10" s="234">
        <v>30</v>
      </c>
      <c r="I10" s="234">
        <v>21</v>
      </c>
      <c r="J10" s="26">
        <f>+COUNTIFS(TC!Q:Q,COMISIONES!C10)</f>
        <v>40</v>
      </c>
      <c r="K10" s="26">
        <f>+COUNTIFS(TC!Q:Q,COMISIONES!C10,TC!H:H,COMISIONES!$K$1)</f>
        <v>33</v>
      </c>
      <c r="L10" s="26">
        <f>+COUNTIFS(TC!Q:Q,COMISIONES!C10,TC!H:H,COMISIONES!$L$1)</f>
        <v>7</v>
      </c>
      <c r="M10" s="27">
        <f t="shared" si="0"/>
        <v>0.82499999999999996</v>
      </c>
      <c r="N10" s="26">
        <f>+COUNTIFS(TC!Q:Q,COMISIONES!C10,TC!G:G,COMISIONES!$N$1)</f>
        <v>9</v>
      </c>
      <c r="O10" s="26">
        <f>+COUNTIFS(TC!Q:Q,COMISIONES!C10,TC!G:G,COMISIONES!$O$1)</f>
        <v>13</v>
      </c>
      <c r="P10" s="26">
        <f>+COUNTIFS(TC!Q:Q,COMISIONES!C10,TC!G:G,COMISIONES!$P$1)</f>
        <v>18</v>
      </c>
      <c r="Q10" s="26">
        <f>+COUNTIFS(TC!Q:Q,COMISIONES!C10,TC!G:G,COMISIONES!$Q$1)</f>
        <v>0</v>
      </c>
      <c r="R10" s="26">
        <f>+SUMIFS(TC!W:W,TC!Q:Q,COMISIONES!C10,TC!H:H,COMISIONES!$K$1)</f>
        <v>175</v>
      </c>
      <c r="S10" s="26">
        <f>+SUMIFS(TC!W:W,TC!Q:Q,COMISIONES!C10,TC!H:H,COMISIONES!$L$1)</f>
        <v>12</v>
      </c>
      <c r="T10" s="261">
        <f t="shared" si="1"/>
        <v>187</v>
      </c>
      <c r="U10" s="40" t="str">
        <f>+VLOOKUP(T10,'PUNTOS 2021'!$A$4:$C$8,3,1)</f>
        <v>PREMIUM</v>
      </c>
      <c r="V10" s="26">
        <f>+COUNTIF(ADICIONALES!A:A,COMISIONES!C10)</f>
        <v>5</v>
      </c>
      <c r="W10" s="211">
        <f t="shared" si="7"/>
        <v>0.16666666666666666</v>
      </c>
      <c r="X10" s="150">
        <f>+IFERROR(IF((V10/H10)&gt;='PUNTOS 2021'!$Q$6,1,0),0)</f>
        <v>1</v>
      </c>
      <c r="Y10" s="26">
        <f>+COUNTIF(PRF!A:A,COMISIONES!C10)</f>
        <v>15</v>
      </c>
      <c r="Z10" s="211">
        <f t="shared" si="8"/>
        <v>0.5</v>
      </c>
      <c r="AA10" s="150">
        <f>+IFERROR(IF((Y10/H10)&gt;='PUNTOS 2021'!$Q$5,1,0),0)</f>
        <v>1</v>
      </c>
      <c r="AB10" s="26">
        <v>0</v>
      </c>
      <c r="AC10" s="26">
        <f>+COUNTIF(COMPASS!A:A,COMISIONES!C10)</f>
        <v>20</v>
      </c>
      <c r="AD10" s="217">
        <f>+SUMIFS(COMPASS!O:O,COMPASS!A:A,COMISIONES!C10)</f>
        <v>780</v>
      </c>
      <c r="AE10" s="211">
        <f t="shared" si="9"/>
        <v>0.66666666666666663</v>
      </c>
      <c r="AF10" s="150">
        <f>+IFERROR(IF((AC10/H10)&gt;='PUNTOS 2021'!$Q$7,1,0),0)</f>
        <v>1</v>
      </c>
      <c r="AG10" s="26">
        <f>+COUNTIF(CUENTAS!A:A,COMISIONES!C10)</f>
        <v>2</v>
      </c>
      <c r="AH10" s="211">
        <f t="shared" si="10"/>
        <v>6.6666666666666666E-2</v>
      </c>
      <c r="AI10" s="150">
        <f>+IFERROR(IF((AG10/H10)&gt;='PUNTOS 2021'!$Q$8,1,0),0)</f>
        <v>1</v>
      </c>
      <c r="AJ10" s="26">
        <f>+COUNTIF(KASH!A:A,COMISIONES!C10)</f>
        <v>7</v>
      </c>
      <c r="AK10" s="211">
        <f>+IFERROR(AJ10/'PUNTOS 2021'!$Q$12,0)</f>
        <v>1</v>
      </c>
      <c r="AL10" s="26">
        <f t="shared" si="2"/>
        <v>1</v>
      </c>
      <c r="AM10" s="28">
        <f t="shared" si="3"/>
        <v>5</v>
      </c>
      <c r="AN10" s="26" t="str">
        <f>+VLOOKUP(AM10,'PUNTOS 2021'!$P$15:$Q$20,2,0)</f>
        <v>PREMIUM+</v>
      </c>
      <c r="AO10" s="38">
        <f>IFERROR(VLOOKUP(_xlfn.CONCAT(E10,U10,AN10),'PUNTOS 2021'!$L:$M,2,0),0)</f>
        <v>65</v>
      </c>
      <c r="AP10" s="38">
        <f>+VLOOKUP(_xlfn.CONCAT(AP$1,$AN10),'PUNTOS 2021'!$R$22:$S$51,2,0)</f>
        <v>65</v>
      </c>
      <c r="AQ10" s="38">
        <f>+VLOOKUP(_xlfn.CONCAT(AQ$1,$AN10),'PUNTOS 2021'!$R$22:$S$51,2,0)</f>
        <v>95</v>
      </c>
      <c r="AR10" s="38">
        <f>+VLOOKUP(_xlfn.CONCAT(AR$1,$AN10),'PUNTOS 2021'!$R$22:$S$51,2,0)</f>
        <v>32.5</v>
      </c>
      <c r="AS10" s="38">
        <f>+VLOOKUP(_xlfn.CONCAT(AS$1,$AN10),'PUNTOS 2021'!$R$22:$S$51,2,0)</f>
        <v>32</v>
      </c>
      <c r="AT10" s="38">
        <f>+VLOOKUP(_xlfn.CONCAT(AT$1,$AN10),'PUNTOS 2021'!$R$22:$S$51,2,0)</f>
        <v>5</v>
      </c>
      <c r="AU10" s="39">
        <f t="shared" si="4"/>
        <v>12155</v>
      </c>
      <c r="AV10" s="39">
        <f t="shared" si="5"/>
        <v>2629</v>
      </c>
      <c r="AW10" s="39">
        <f t="shared" si="6"/>
        <v>14784</v>
      </c>
      <c r="AX10" s="37">
        <v>0</v>
      </c>
      <c r="AY10" s="37">
        <f>+SUMIFS('DESC TC'!$B:$B,'DESC TC'!$A:$A,COMISIONES!C:C,'DESC TC'!$L:$L,"Primera")</f>
        <v>325</v>
      </c>
      <c r="AZ10" s="37">
        <f>+SUMIFS('DESC TC'!$B:$B,'DESC TC'!$A:$A,COMISIONES!C:C,'DESC TC'!$L:$L,"Segunda")</f>
        <v>0</v>
      </c>
      <c r="BA10" s="37">
        <f ca="1">+SUMIF('DESC ADICIONALES'!$A:$B,COMISIONES!$C:$C,'DESC ADICIONALES'!$B:$B)</f>
        <v>0</v>
      </c>
      <c r="BB10" s="37">
        <f>+SUMIF('DESC PRF'!A:A,COMISIONES!C10,'DESC PRF'!J:J)</f>
        <v>0</v>
      </c>
      <c r="BC10" s="39">
        <f t="shared" ca="1" si="11"/>
        <v>14459</v>
      </c>
      <c r="BE10" s="210"/>
    </row>
    <row r="11" spans="1:57">
      <c r="A11" t="s">
        <v>392</v>
      </c>
      <c r="B11" s="116" t="s">
        <v>78</v>
      </c>
      <c r="C11" s="113">
        <v>20010101</v>
      </c>
      <c r="D11" s="113" t="s">
        <v>236</v>
      </c>
      <c r="E11" s="113" t="s">
        <v>40</v>
      </c>
      <c r="F11" s="113" t="s">
        <v>49</v>
      </c>
      <c r="G11" s="113" t="s">
        <v>132</v>
      </c>
      <c r="H11" s="234">
        <v>30</v>
      </c>
      <c r="I11" s="234">
        <v>21</v>
      </c>
      <c r="J11" s="26">
        <f>+COUNTIFS(TC!Q:Q,COMISIONES!C11)</f>
        <v>24</v>
      </c>
      <c r="K11" s="26">
        <f>+COUNTIFS(TC!Q:Q,COMISIONES!C11,TC!H:H,COMISIONES!$K$1)</f>
        <v>19</v>
      </c>
      <c r="L11" s="26">
        <f>+COUNTIFS(TC!Q:Q,COMISIONES!C11,TC!H:H,COMISIONES!$L$1)</f>
        <v>5</v>
      </c>
      <c r="M11" s="27">
        <f t="shared" si="0"/>
        <v>0.79166666666666663</v>
      </c>
      <c r="N11" s="26">
        <f>+COUNTIFS(TC!Q:Q,COMISIONES!C11,TC!G:G,COMISIONES!$N$1)</f>
        <v>2</v>
      </c>
      <c r="O11" s="26">
        <f>+COUNTIFS(TC!Q:Q,COMISIONES!C11,TC!G:G,COMISIONES!$O$1)</f>
        <v>12</v>
      </c>
      <c r="P11" s="26">
        <f>+COUNTIFS(TC!Q:Q,COMISIONES!C11,TC!G:G,COMISIONES!$P$1)</f>
        <v>10</v>
      </c>
      <c r="Q11" s="26">
        <f>+COUNTIFS(TC!Q:Q,COMISIONES!C11,TC!G:G,COMISIONES!$Q$1)</f>
        <v>0</v>
      </c>
      <c r="R11" s="26">
        <f>+SUMIFS(TC!W:W,TC!Q:Q,COMISIONES!C11,TC!H:H,COMISIONES!$K$1)</f>
        <v>105</v>
      </c>
      <c r="S11" s="26">
        <f>+SUMIFS(TC!W:W,TC!Q:Q,COMISIONES!C11,TC!H:H,COMISIONES!$L$1)</f>
        <v>2.5</v>
      </c>
      <c r="T11" s="261">
        <f t="shared" si="1"/>
        <v>107.5</v>
      </c>
      <c r="U11" s="40" t="str">
        <f>+VLOOKUP(T11,'PUNTOS 2021'!$A$4:$C$8,3,1)</f>
        <v>PREMIUM</v>
      </c>
      <c r="V11" s="26">
        <f>+COUNTIF(ADICIONALES!A:A,COMISIONES!C11)</f>
        <v>5</v>
      </c>
      <c r="W11" s="211">
        <f t="shared" si="7"/>
        <v>0.16666666666666666</v>
      </c>
      <c r="X11" s="150">
        <f>+IFERROR(IF((V11/H11)&gt;='PUNTOS 2021'!$Q$6,1,0),0)</f>
        <v>1</v>
      </c>
      <c r="Y11" s="26">
        <f>+COUNTIF(PRF!A:A,COMISIONES!C11)</f>
        <v>12</v>
      </c>
      <c r="Z11" s="211">
        <f t="shared" si="8"/>
        <v>0.4</v>
      </c>
      <c r="AA11" s="150">
        <f>+IFERROR(IF((Y11/H11)&gt;='PUNTOS 2021'!$Q$5,1,0),0)</f>
        <v>1</v>
      </c>
      <c r="AB11" s="26">
        <v>0</v>
      </c>
      <c r="AC11" s="26">
        <f>+COUNTIF(COMPASS!A:A,COMISIONES!C11)</f>
        <v>16</v>
      </c>
      <c r="AD11" s="217">
        <f>+SUMIFS(COMPASS!O:O,COMPASS!A:A,COMISIONES!C11)</f>
        <v>510</v>
      </c>
      <c r="AE11" s="211">
        <f t="shared" si="9"/>
        <v>0.53333333333333333</v>
      </c>
      <c r="AF11" s="150">
        <f>+IFERROR(IF((AC11/H11)&gt;='PUNTOS 2021'!$Q$7,1,0),0)</f>
        <v>1</v>
      </c>
      <c r="AG11" s="26">
        <f>+COUNTIF(CUENTAS!A:A,COMISIONES!C11)</f>
        <v>1</v>
      </c>
      <c r="AH11" s="211">
        <f t="shared" si="10"/>
        <v>3.3333333333333333E-2</v>
      </c>
      <c r="AI11" s="150">
        <f>+IFERROR(IF((AG11/H11)&gt;='PUNTOS 2021'!$Q$8,1,0),0)</f>
        <v>0</v>
      </c>
      <c r="AJ11" s="26">
        <f>+COUNTIF(KASH!A:A,COMISIONES!C11)</f>
        <v>7</v>
      </c>
      <c r="AK11" s="211">
        <f>+IFERROR(AJ11/'PUNTOS 2021'!$Q$12,0)</f>
        <v>1</v>
      </c>
      <c r="AL11" s="26">
        <f t="shared" si="2"/>
        <v>1</v>
      </c>
      <c r="AM11" s="28">
        <f t="shared" si="3"/>
        <v>4</v>
      </c>
      <c r="AN11" s="26" t="str">
        <f>+VLOOKUP(AM11,'PUNTOS 2021'!$P$15:$Q$20,2,0)</f>
        <v>PREMIUM</v>
      </c>
      <c r="AO11" s="38">
        <f>IFERROR(VLOOKUP(_xlfn.CONCAT(E11,U11,AN11),'PUNTOS 2021'!$L:$M,2,0),0)</f>
        <v>65</v>
      </c>
      <c r="AP11" s="38">
        <f>+VLOOKUP(_xlfn.CONCAT(AP$1,$AN11),'PUNTOS 2021'!$R$22:$S$51,2,0)</f>
        <v>60</v>
      </c>
      <c r="AQ11" s="38">
        <f>+VLOOKUP(_xlfn.CONCAT(AQ$1,$AN11),'PUNTOS 2021'!$R$22:$S$51,2,0)</f>
        <v>90</v>
      </c>
      <c r="AR11" s="38">
        <f>+VLOOKUP(_xlfn.CONCAT(AR$1,$AN11),'PUNTOS 2021'!$R$22:$S$51,2,0)</f>
        <v>30</v>
      </c>
      <c r="AS11" s="38">
        <f>+VLOOKUP(_xlfn.CONCAT(AS$1,$AN11),'PUNTOS 2021'!$R$22:$S$51,2,0)</f>
        <v>30</v>
      </c>
      <c r="AT11" s="38">
        <f>+VLOOKUP(_xlfn.CONCAT(AT$1,$AN11),'PUNTOS 2021'!$R$22:$S$51,2,0)</f>
        <v>5</v>
      </c>
      <c r="AU11" s="39">
        <f t="shared" si="4"/>
        <v>6987.5</v>
      </c>
      <c r="AV11" s="39">
        <f t="shared" si="5"/>
        <v>1955</v>
      </c>
      <c r="AW11" s="39">
        <f t="shared" si="6"/>
        <v>8942.5</v>
      </c>
      <c r="AX11" s="37">
        <v>0</v>
      </c>
      <c r="AY11" s="37">
        <f>+SUMIFS('DESC TC'!$B:$B,'DESC TC'!$A:$A,COMISIONES!C:C,'DESC TC'!$L:$L,"Primera")</f>
        <v>0</v>
      </c>
      <c r="AZ11" s="37">
        <f>+SUMIFS('DESC TC'!$B:$B,'DESC TC'!$A:$A,COMISIONES!C:C,'DESC TC'!$L:$L,"Segunda")</f>
        <v>0</v>
      </c>
      <c r="BA11" s="37">
        <f ca="1">+SUMIF('DESC ADICIONALES'!$A:$B,COMISIONES!$C:$C,'DESC ADICIONALES'!$B:$B)</f>
        <v>0</v>
      </c>
      <c r="BB11" s="37">
        <f>+SUMIF('DESC PRF'!A:A,COMISIONES!C11,'DESC PRF'!J:J)</f>
        <v>0</v>
      </c>
      <c r="BC11" s="39">
        <f t="shared" ca="1" si="11"/>
        <v>8942.5</v>
      </c>
      <c r="BE11" s="210"/>
    </row>
    <row r="12" spans="1:57">
      <c r="A12" t="s">
        <v>392</v>
      </c>
      <c r="B12" s="116" t="s">
        <v>78</v>
      </c>
      <c r="C12" s="113">
        <v>20004235</v>
      </c>
      <c r="D12" s="113" t="s">
        <v>11</v>
      </c>
      <c r="E12" s="113" t="s">
        <v>40</v>
      </c>
      <c r="F12" s="113" t="s">
        <v>49</v>
      </c>
      <c r="G12" s="113" t="s">
        <v>132</v>
      </c>
      <c r="H12" s="234">
        <v>30</v>
      </c>
      <c r="I12" s="234">
        <v>21</v>
      </c>
      <c r="J12" s="26">
        <f>+COUNTIFS(TC!Q:Q,COMISIONES!C12)</f>
        <v>17</v>
      </c>
      <c r="K12" s="26">
        <f>+COUNTIFS(TC!Q:Q,COMISIONES!C12,TC!H:H,COMISIONES!$K$1)</f>
        <v>13</v>
      </c>
      <c r="L12" s="26">
        <f>+COUNTIFS(TC!Q:Q,COMISIONES!C12,TC!H:H,COMISIONES!$L$1)</f>
        <v>4</v>
      </c>
      <c r="M12" s="27">
        <f t="shared" si="0"/>
        <v>0.76470588235294112</v>
      </c>
      <c r="N12" s="26">
        <f>+COUNTIFS(TC!Q:Q,COMISIONES!C12,TC!G:G,COMISIONES!$N$1)</f>
        <v>3</v>
      </c>
      <c r="O12" s="26">
        <f>+COUNTIFS(TC!Q:Q,COMISIONES!C12,TC!G:G,COMISIONES!$O$1)</f>
        <v>6</v>
      </c>
      <c r="P12" s="26">
        <f>+COUNTIFS(TC!Q:Q,COMISIONES!C12,TC!G:G,COMISIONES!$P$1)</f>
        <v>8</v>
      </c>
      <c r="Q12" s="26">
        <f>+COUNTIFS(TC!Q:Q,COMISIONES!C12,TC!G:G,COMISIONES!$Q$1)</f>
        <v>0</v>
      </c>
      <c r="R12" s="26">
        <f>+SUMIFS(TC!W:W,TC!Q:Q,COMISIONES!C12,TC!H:H,COMISIONES!$K$1)</f>
        <v>67</v>
      </c>
      <c r="S12" s="26">
        <f>+SUMIFS(TC!W:W,TC!Q:Q,COMISIONES!C12,TC!H:H,COMISIONES!$L$1)</f>
        <v>2</v>
      </c>
      <c r="T12" s="261">
        <f t="shared" si="1"/>
        <v>69</v>
      </c>
      <c r="U12" s="40" t="str">
        <f>+VLOOKUP(T12,'PUNTOS 2021'!$A$4:$C$8,3,1)</f>
        <v>SENIOR</v>
      </c>
      <c r="V12" s="26">
        <f>+COUNTIF(ADICIONALES!A:A,COMISIONES!C12)</f>
        <v>4</v>
      </c>
      <c r="W12" s="211">
        <f t="shared" si="7"/>
        <v>0.13333333333333333</v>
      </c>
      <c r="X12" s="150">
        <f>+IFERROR(IF((V12/H12)&gt;='PUNTOS 2021'!$Q$6,1,0),0)</f>
        <v>1</v>
      </c>
      <c r="Y12" s="26">
        <f>+COUNTIF(PRF!A:A,COMISIONES!C12)</f>
        <v>5</v>
      </c>
      <c r="Z12" s="211">
        <f t="shared" si="8"/>
        <v>0.16666666666666666</v>
      </c>
      <c r="AA12" s="150">
        <f>+IFERROR(IF((Y12/H12)&gt;='PUNTOS 2021'!$Q$5,1,0),0)</f>
        <v>0</v>
      </c>
      <c r="AB12" s="26">
        <v>0</v>
      </c>
      <c r="AC12" s="26">
        <f>+COUNTIF(COMPASS!A:A,COMISIONES!C12)</f>
        <v>24</v>
      </c>
      <c r="AD12" s="217">
        <f>+SUMIFS(COMPASS!O:O,COMPASS!A:A,COMISIONES!C12)</f>
        <v>420</v>
      </c>
      <c r="AE12" s="211">
        <f t="shared" si="9"/>
        <v>0.8</v>
      </c>
      <c r="AF12" s="150">
        <f>+IFERROR(IF((AC12/H12)&gt;='PUNTOS 2021'!$Q$7,1,0),0)</f>
        <v>1</v>
      </c>
      <c r="AG12" s="26">
        <f>+COUNTIF(CUENTAS!A:A,COMISIONES!C12)</f>
        <v>0</v>
      </c>
      <c r="AH12" s="211">
        <f t="shared" si="10"/>
        <v>0</v>
      </c>
      <c r="AI12" s="150">
        <f>+IFERROR(IF((AG12/H12)&gt;='PUNTOS 2021'!$Q$8,1,0),0)</f>
        <v>0</v>
      </c>
      <c r="AJ12" s="26">
        <f>+COUNTIF(KASH!A:A,COMISIONES!C12)</f>
        <v>0</v>
      </c>
      <c r="AK12" s="211">
        <f>+IFERROR(AJ12/'PUNTOS 2021'!$Q$12,0)</f>
        <v>0</v>
      </c>
      <c r="AL12" s="26">
        <f t="shared" si="2"/>
        <v>0</v>
      </c>
      <c r="AM12" s="28">
        <f t="shared" si="3"/>
        <v>2</v>
      </c>
      <c r="AN12" s="26" t="str">
        <f>+VLOOKUP(AM12,'PUNTOS 2021'!$P$15:$Q$20,2,0)</f>
        <v>SEMI SENIOR</v>
      </c>
      <c r="AO12" s="38">
        <f>IFERROR(VLOOKUP(_xlfn.CONCAT(E12,U12,AN12),'PUNTOS 2021'!$L:$M,2,0),0)</f>
        <v>40</v>
      </c>
      <c r="AP12" s="38">
        <f>+VLOOKUP(_xlfn.CONCAT(AP$1,$AN12),'PUNTOS 2021'!$R$22:$S$51,2,0)</f>
        <v>30</v>
      </c>
      <c r="AQ12" s="38">
        <f>+VLOOKUP(_xlfn.CONCAT(AQ$1,$AN12),'PUNTOS 2021'!$R$22:$S$51,2,0)</f>
        <v>45</v>
      </c>
      <c r="AR12" s="38">
        <f>+VLOOKUP(_xlfn.CONCAT(AR$1,$AN12),'PUNTOS 2021'!$R$22:$S$51,2,0)</f>
        <v>15</v>
      </c>
      <c r="AS12" s="38">
        <f>+VLOOKUP(_xlfn.CONCAT(AS$1,$AN12),'PUNTOS 2021'!$R$22:$S$51,2,0)</f>
        <v>15</v>
      </c>
      <c r="AT12" s="38">
        <f>+VLOOKUP(_xlfn.CONCAT(AT$1,$AN12),'PUNTOS 2021'!$R$22:$S$51,2,0)</f>
        <v>5</v>
      </c>
      <c r="AU12" s="39">
        <f t="shared" si="4"/>
        <v>2760</v>
      </c>
      <c r="AV12" s="39">
        <f t="shared" si="5"/>
        <v>765</v>
      </c>
      <c r="AW12" s="39">
        <f t="shared" si="6"/>
        <v>3525</v>
      </c>
      <c r="AX12" s="37">
        <v>0</v>
      </c>
      <c r="AY12" s="37">
        <f>+SUMIFS('DESC TC'!$B:$B,'DESC TC'!$A:$A,COMISIONES!C:C,'DESC TC'!$L:$L,"Primera")</f>
        <v>90</v>
      </c>
      <c r="AZ12" s="37">
        <f>+SUMIFS('DESC TC'!$B:$B,'DESC TC'!$A:$A,COMISIONES!C:C,'DESC TC'!$L:$L,"Segunda")</f>
        <v>0</v>
      </c>
      <c r="BA12" s="37">
        <f ca="1">+SUMIF('DESC ADICIONALES'!$A:$B,COMISIONES!$C:$C,'DESC ADICIONALES'!$B:$B)</f>
        <v>0</v>
      </c>
      <c r="BB12" s="37">
        <f>+SUMIF('DESC PRF'!A:A,COMISIONES!C12,'DESC PRF'!J:J)</f>
        <v>0</v>
      </c>
      <c r="BC12" s="39">
        <f t="shared" ca="1" si="11"/>
        <v>3435</v>
      </c>
      <c r="BE12" s="210"/>
    </row>
    <row r="13" spans="1:57">
      <c r="A13" t="s">
        <v>392</v>
      </c>
      <c r="B13" s="116" t="s">
        <v>78</v>
      </c>
      <c r="C13" s="113">
        <v>20007726</v>
      </c>
      <c r="D13" s="113" t="s">
        <v>12</v>
      </c>
      <c r="E13" s="113" t="s">
        <v>40</v>
      </c>
      <c r="F13" s="113" t="s">
        <v>49</v>
      </c>
      <c r="G13" s="113" t="s">
        <v>132</v>
      </c>
      <c r="H13" s="234">
        <v>30</v>
      </c>
      <c r="I13" s="234">
        <v>21</v>
      </c>
      <c r="J13" s="26">
        <f>+COUNTIFS(TC!Q:Q,COMISIONES!C13)</f>
        <v>35</v>
      </c>
      <c r="K13" s="26">
        <f>+COUNTIFS(TC!Q:Q,COMISIONES!C13,TC!H:H,COMISIONES!$K$1)</f>
        <v>24</v>
      </c>
      <c r="L13" s="26">
        <f>+COUNTIFS(TC!Q:Q,COMISIONES!C13,TC!H:H,COMISIONES!$L$1)</f>
        <v>11</v>
      </c>
      <c r="M13" s="27">
        <f t="shared" si="0"/>
        <v>0.68571428571428572</v>
      </c>
      <c r="N13" s="26">
        <f>+COUNTIFS(TC!Q:Q,COMISIONES!C13,TC!G:G,COMISIONES!$N$1)</f>
        <v>7</v>
      </c>
      <c r="O13" s="26">
        <f>+COUNTIFS(TC!Q:Q,COMISIONES!C13,TC!G:G,COMISIONES!$O$1)</f>
        <v>9</v>
      </c>
      <c r="P13" s="26">
        <f>+COUNTIFS(TC!Q:Q,COMISIONES!C13,TC!G:G,COMISIONES!$P$1)</f>
        <v>19</v>
      </c>
      <c r="Q13" s="26">
        <f>+COUNTIFS(TC!Q:Q,COMISIONES!C13,TC!G:G,COMISIONES!$Q$1)</f>
        <v>0</v>
      </c>
      <c r="R13" s="26">
        <f>+SUMIFS(TC!W:W,TC!Q:Q,COMISIONES!C13,TC!H:H,COMISIONES!$K$1)</f>
        <v>132</v>
      </c>
      <c r="S13" s="26">
        <f>+SUMIFS(TC!W:W,TC!Q:Q,COMISIONES!C13,TC!H:H,COMISIONES!$L$1)</f>
        <v>18</v>
      </c>
      <c r="T13" s="261">
        <f t="shared" si="1"/>
        <v>150</v>
      </c>
      <c r="U13" s="40" t="str">
        <f>+VLOOKUP(T13,'PUNTOS 2021'!$A$4:$C$8,3,1)</f>
        <v>PREMIUM</v>
      </c>
      <c r="V13" s="26">
        <f>+COUNTIF(ADICIONALES!A:A,COMISIONES!C13)</f>
        <v>6</v>
      </c>
      <c r="W13" s="211">
        <f t="shared" si="7"/>
        <v>0.2</v>
      </c>
      <c r="X13" s="150">
        <f>+IFERROR(IF((V13/H13)&gt;='PUNTOS 2021'!$Q$6,1,0),0)</f>
        <v>1</v>
      </c>
      <c r="Y13" s="26">
        <f>+COUNTIF(PRF!A:A,COMISIONES!C13)</f>
        <v>11</v>
      </c>
      <c r="Z13" s="211">
        <f t="shared" si="8"/>
        <v>0.36666666666666664</v>
      </c>
      <c r="AA13" s="150">
        <f>+IFERROR(IF((Y13/H13)&gt;='PUNTOS 2021'!$Q$5,1,0),0)</f>
        <v>1</v>
      </c>
      <c r="AB13" s="26">
        <v>0</v>
      </c>
      <c r="AC13" s="26">
        <f>+COUNTIF(COMPASS!A:A,COMISIONES!C13)</f>
        <v>29</v>
      </c>
      <c r="AD13" s="217">
        <f>+SUMIFS(COMPASS!O:O,COMPASS!A:A,COMISIONES!C13)</f>
        <v>1050</v>
      </c>
      <c r="AE13" s="211">
        <f t="shared" si="9"/>
        <v>0.96666666666666667</v>
      </c>
      <c r="AF13" s="150">
        <f>+IFERROR(IF((AC13/H13)&gt;='PUNTOS 2021'!$Q$7,1,0),0)</f>
        <v>1</v>
      </c>
      <c r="AG13" s="26">
        <f>+COUNTIF(CUENTAS!A:A,COMISIONES!C13)</f>
        <v>1</v>
      </c>
      <c r="AH13" s="211">
        <f t="shared" si="10"/>
        <v>3.3333333333333333E-2</v>
      </c>
      <c r="AI13" s="150">
        <f>+IFERROR(IF((AG13/H13)&gt;='PUNTOS 2021'!$Q$8,1,0),0)</f>
        <v>0</v>
      </c>
      <c r="AJ13" s="26">
        <f>+COUNTIF(KASH!A:A,COMISIONES!C13)</f>
        <v>7</v>
      </c>
      <c r="AK13" s="211">
        <f>+IFERROR(AJ13/'PUNTOS 2021'!$Q$12,0)</f>
        <v>1</v>
      </c>
      <c r="AL13" s="26">
        <f t="shared" si="2"/>
        <v>1</v>
      </c>
      <c r="AM13" s="28">
        <f t="shared" si="3"/>
        <v>4</v>
      </c>
      <c r="AN13" s="26" t="str">
        <f>+VLOOKUP(AM13,'PUNTOS 2021'!$P$15:$Q$20,2,0)</f>
        <v>PREMIUM</v>
      </c>
      <c r="AO13" s="38">
        <f>IFERROR(VLOOKUP(_xlfn.CONCAT(E13,U13,AN13),'PUNTOS 2021'!$L:$M,2,0),0)</f>
        <v>65</v>
      </c>
      <c r="AP13" s="38">
        <f>+VLOOKUP(_xlfn.CONCAT(AP$1,$AN13),'PUNTOS 2021'!$R$22:$S$51,2,0)</f>
        <v>60</v>
      </c>
      <c r="AQ13" s="38">
        <f>+VLOOKUP(_xlfn.CONCAT(AQ$1,$AN13),'PUNTOS 2021'!$R$22:$S$51,2,0)</f>
        <v>90</v>
      </c>
      <c r="AR13" s="38">
        <f>+VLOOKUP(_xlfn.CONCAT(AR$1,$AN13),'PUNTOS 2021'!$R$22:$S$51,2,0)</f>
        <v>30</v>
      </c>
      <c r="AS13" s="38">
        <f>+VLOOKUP(_xlfn.CONCAT(AS$1,$AN13),'PUNTOS 2021'!$R$22:$S$51,2,0)</f>
        <v>30</v>
      </c>
      <c r="AT13" s="38">
        <f>+VLOOKUP(_xlfn.CONCAT(AT$1,$AN13),'PUNTOS 2021'!$R$22:$S$51,2,0)</f>
        <v>5</v>
      </c>
      <c r="AU13" s="39">
        <f t="shared" si="4"/>
        <v>9750</v>
      </c>
      <c r="AV13" s="39">
        <f t="shared" si="5"/>
        <v>2465</v>
      </c>
      <c r="AW13" s="39">
        <f t="shared" si="6"/>
        <v>12215</v>
      </c>
      <c r="AX13" s="37">
        <v>0</v>
      </c>
      <c r="AY13" s="37">
        <f>+SUMIFS('DESC TC'!$B:$B,'DESC TC'!$A:$A,COMISIONES!C:C,'DESC TC'!$L:$L,"Primera")</f>
        <v>200</v>
      </c>
      <c r="AZ13" s="37">
        <f>+SUMIFS('DESC TC'!$B:$B,'DESC TC'!$A:$A,COMISIONES!C:C,'DESC TC'!$L:$L,"Segunda")</f>
        <v>0</v>
      </c>
      <c r="BA13" s="37">
        <f ca="1">+SUMIF('DESC ADICIONALES'!$A:$B,COMISIONES!$C:$C,'DESC ADICIONALES'!$B:$B)</f>
        <v>0</v>
      </c>
      <c r="BB13" s="37">
        <f>+SUMIF('DESC PRF'!A:A,COMISIONES!C13,'DESC PRF'!J:J)</f>
        <v>0</v>
      </c>
      <c r="BC13" s="39">
        <f t="shared" ca="1" si="11"/>
        <v>12015</v>
      </c>
      <c r="BE13" s="210"/>
    </row>
    <row r="14" spans="1:57">
      <c r="A14" t="s">
        <v>393</v>
      </c>
      <c r="B14" s="116" t="s">
        <v>78</v>
      </c>
      <c r="C14" s="113">
        <v>20010617</v>
      </c>
      <c r="D14" s="113" t="s">
        <v>390</v>
      </c>
      <c r="E14" s="113" t="s">
        <v>40</v>
      </c>
      <c r="F14" s="113" t="s">
        <v>49</v>
      </c>
      <c r="G14" s="113" t="s">
        <v>132</v>
      </c>
      <c r="H14" s="234">
        <v>30</v>
      </c>
      <c r="I14" s="234">
        <v>21</v>
      </c>
      <c r="J14" s="26">
        <f>+COUNTIFS(TC!Q:Q,COMISIONES!C14)</f>
        <v>13</v>
      </c>
      <c r="K14" s="26">
        <f>+COUNTIFS(TC!Q:Q,COMISIONES!C14,TC!H:H,COMISIONES!$K$1)</f>
        <v>9</v>
      </c>
      <c r="L14" s="26">
        <f>+COUNTIFS(TC!Q:Q,COMISIONES!C14,TC!H:H,COMISIONES!$L$1)</f>
        <v>4</v>
      </c>
      <c r="M14" s="27">
        <f t="shared" ref="M14" si="29">+IFERROR(K14/J14,0)</f>
        <v>0.69230769230769229</v>
      </c>
      <c r="N14" s="26">
        <f>+COUNTIFS(TC!Q:Q,COMISIONES!C14,TC!G:G,COMISIONES!$N$1)</f>
        <v>1</v>
      </c>
      <c r="O14" s="26">
        <f>+COUNTIFS(TC!Q:Q,COMISIONES!C14,TC!G:G,COMISIONES!$O$1)</f>
        <v>7</v>
      </c>
      <c r="P14" s="26">
        <f>+COUNTIFS(TC!Q:Q,COMISIONES!C14,TC!G:G,COMISIONES!$P$1)</f>
        <v>5</v>
      </c>
      <c r="Q14" s="26">
        <f>+COUNTIFS(TC!Q:Q,COMISIONES!C14,TC!G:G,COMISIONES!$Q$1)</f>
        <v>0</v>
      </c>
      <c r="R14" s="26">
        <f>+SUMIFS(TC!W:W,TC!Q:Q,COMISIONES!C14,TC!H:H,COMISIONES!$K$1)</f>
        <v>49</v>
      </c>
      <c r="S14" s="26">
        <f>+SUMIFS(TC!W:W,TC!Q:Q,COMISIONES!C14,TC!H:H,COMISIONES!$L$1)</f>
        <v>2</v>
      </c>
      <c r="T14" s="261">
        <f t="shared" ref="T14" si="30">+SUM(R14:S14)</f>
        <v>51</v>
      </c>
      <c r="U14" s="40" t="str">
        <f>+VLOOKUP(T14,'PUNTOS 2021'!$A$4:$C$8,3,1)</f>
        <v>SEMI SENIOR</v>
      </c>
      <c r="V14" s="26">
        <f>+COUNTIF(ADICIONALES!A:A,COMISIONES!C14)</f>
        <v>0</v>
      </c>
      <c r="W14" s="211">
        <f t="shared" ref="W14" si="31">+IFERROR(V14/H14,0)</f>
        <v>0</v>
      </c>
      <c r="X14" s="150">
        <f>+IFERROR(IF((V14/H14)&gt;='PUNTOS 2021'!$Q$6,1,0),0)</f>
        <v>0</v>
      </c>
      <c r="Y14" s="26">
        <f>+COUNTIF(PRF!A:A,COMISIONES!C14)</f>
        <v>1</v>
      </c>
      <c r="Z14" s="211">
        <f t="shared" ref="Z14" si="32">+IFERROR(Y14/H14,0)</f>
        <v>3.3333333333333333E-2</v>
      </c>
      <c r="AA14" s="150">
        <f>+IFERROR(IF((Y14/H14)&gt;='PUNTOS 2021'!$Q$5,1,0),0)</f>
        <v>0</v>
      </c>
      <c r="AB14" s="26">
        <v>0</v>
      </c>
      <c r="AC14" s="26">
        <f>+COUNTIF(COMPASS!A:A,COMISIONES!C14)</f>
        <v>4</v>
      </c>
      <c r="AD14" s="217">
        <f>+SUMIFS(COMPASS!O:O,COMPASS!A:A,COMISIONES!C14)</f>
        <v>25</v>
      </c>
      <c r="AE14" s="211">
        <f t="shared" ref="AE14" si="33">+IFERROR(AC14/H14,0)</f>
        <v>0.13333333333333333</v>
      </c>
      <c r="AF14" s="150">
        <f>+IFERROR(IF((AC14/H14)&gt;='PUNTOS 2021'!$Q$7,1,0),0)</f>
        <v>0</v>
      </c>
      <c r="AG14" s="26">
        <f>+COUNTIF(CUENTAS!A:A,COMISIONES!C14)</f>
        <v>0</v>
      </c>
      <c r="AH14" s="211">
        <f t="shared" ref="AH14" si="34">+IFERROR(AG14/H14,0)</f>
        <v>0</v>
      </c>
      <c r="AI14" s="150">
        <f>+IFERROR(IF((AG14/H14)&gt;='PUNTOS 2021'!$Q$8,1,0),0)</f>
        <v>0</v>
      </c>
      <c r="AJ14" s="26">
        <f>+COUNTIF(KASH!A:A,COMISIONES!C14)</f>
        <v>1</v>
      </c>
      <c r="AK14" s="211">
        <f>+IFERROR(AJ14/'PUNTOS 2021'!$Q$12,0)</f>
        <v>0.14285714285714285</v>
      </c>
      <c r="AL14" s="26">
        <f t="shared" ref="AL14" si="35">+IF(AJ14&gt;=7,1,0)</f>
        <v>0</v>
      </c>
      <c r="AM14" s="28">
        <f t="shared" ref="AM14" si="36">+SUM(X14,AA14,AF14,AI14,AL14)</f>
        <v>0</v>
      </c>
      <c r="AN14" s="26" t="str">
        <f>+VLOOKUP(AM14,'PUNTOS 2021'!$P$15:$Q$20,2,0)</f>
        <v>SIN CATEGORIA</v>
      </c>
      <c r="AO14" s="38">
        <f>IFERROR(VLOOKUP(_xlfn.CONCAT(E14,U14,AN14),'PUNTOS 2021'!$L:$M,2,0),0)</f>
        <v>18</v>
      </c>
      <c r="AP14" s="38">
        <f>+VLOOKUP(_xlfn.CONCAT(AP$1,$AN14),'PUNTOS 2021'!$R$22:$S$51,2,0)</f>
        <v>10</v>
      </c>
      <c r="AQ14" s="38">
        <f>+VLOOKUP(_xlfn.CONCAT(AQ$1,$AN14),'PUNTOS 2021'!$R$22:$S$51,2,0)</f>
        <v>15</v>
      </c>
      <c r="AR14" s="38">
        <f>+VLOOKUP(_xlfn.CONCAT(AR$1,$AN14),'PUNTOS 2021'!$R$22:$S$51,2,0)</f>
        <v>5</v>
      </c>
      <c r="AS14" s="38">
        <f>+VLOOKUP(_xlfn.CONCAT(AS$1,$AN14),'PUNTOS 2021'!$R$22:$S$51,2,0)</f>
        <v>5</v>
      </c>
      <c r="AT14" s="38">
        <f>+VLOOKUP(_xlfn.CONCAT(AT$1,$AN14),'PUNTOS 2021'!$R$22:$S$51,2,0)</f>
        <v>5</v>
      </c>
      <c r="AU14" s="39">
        <f t="shared" ref="AU14" si="37">(AO14*T14)</f>
        <v>918</v>
      </c>
      <c r="AV14" s="39">
        <f t="shared" ref="AV14" si="38">+(V14*AP14)+(Y14*AQ14)+(AD14)+(AG14*AS14)+(AJ14*AT14)</f>
        <v>45</v>
      </c>
      <c r="AW14" s="39">
        <f t="shared" ref="AW14" si="39">+AU14+AV14</f>
        <v>963</v>
      </c>
      <c r="AX14" s="37">
        <v>0</v>
      </c>
      <c r="AY14" s="37">
        <f>+SUMIFS('DESC TC'!$B:$B,'DESC TC'!$A:$A,COMISIONES!C:C,'DESC TC'!$L:$L,"Primera")</f>
        <v>0</v>
      </c>
      <c r="AZ14" s="37">
        <f>+SUMIFS('DESC TC'!$B:$B,'DESC TC'!$A:$A,COMISIONES!C:C,'DESC TC'!$L:$L,"Segunda")</f>
        <v>0</v>
      </c>
      <c r="BA14" s="37">
        <f ca="1">+SUMIF('DESC ADICIONALES'!$A:$B,COMISIONES!$C:$C,'DESC ADICIONALES'!$B:$B)</f>
        <v>0</v>
      </c>
      <c r="BB14" s="37">
        <f>+SUMIF('DESC PRF'!A:A,COMISIONES!C14,'DESC PRF'!J:J)</f>
        <v>0</v>
      </c>
      <c r="BC14" s="39">
        <f t="shared" ca="1" si="11"/>
        <v>963</v>
      </c>
      <c r="BD14" s="274">
        <f ca="1">+IF(A14="Pasantes",BC14*65%,BC14)</f>
        <v>625.95000000000005</v>
      </c>
      <c r="BE14" s="210"/>
    </row>
    <row r="15" spans="1:57">
      <c r="A15" t="s">
        <v>392</v>
      </c>
      <c r="B15" s="116" t="s">
        <v>78</v>
      </c>
      <c r="C15" s="115">
        <v>20008625</v>
      </c>
      <c r="D15" s="113" t="s">
        <v>19</v>
      </c>
      <c r="E15" s="116" t="s">
        <v>40</v>
      </c>
      <c r="F15" s="113" t="s">
        <v>49</v>
      </c>
      <c r="G15" s="113" t="s">
        <v>132</v>
      </c>
      <c r="H15" s="234">
        <v>30</v>
      </c>
      <c r="I15" s="234">
        <v>21</v>
      </c>
      <c r="J15" s="26">
        <f>+COUNTIFS(TC!Q:Q,COMISIONES!C15)</f>
        <v>21</v>
      </c>
      <c r="K15" s="26">
        <f>+COUNTIFS(TC!Q:Q,COMISIONES!C15,TC!H:H,COMISIONES!$K$1)</f>
        <v>14</v>
      </c>
      <c r="L15" s="26">
        <f>+COUNTIFS(TC!Q:Q,COMISIONES!C15,TC!H:H,COMISIONES!$L$1)</f>
        <v>7</v>
      </c>
      <c r="M15" s="27">
        <f t="shared" si="0"/>
        <v>0.66666666666666663</v>
      </c>
      <c r="N15" s="26">
        <f>+COUNTIFS(TC!Q:Q,COMISIONES!C15,TC!G:G,COMISIONES!$N$1)</f>
        <v>7</v>
      </c>
      <c r="O15" s="26">
        <f>+COUNTIFS(TC!Q:Q,COMISIONES!C15,TC!G:G,COMISIONES!$O$1)</f>
        <v>8</v>
      </c>
      <c r="P15" s="26">
        <f>+COUNTIFS(TC!Q:Q,COMISIONES!C15,TC!G:G,COMISIONES!$P$1)</f>
        <v>6</v>
      </c>
      <c r="Q15" s="26">
        <f>+COUNTIFS(TC!Q:Q,COMISIONES!C15,TC!G:G,COMISIONES!$Q$1)</f>
        <v>0</v>
      </c>
      <c r="R15" s="26">
        <f>+SUMIFS(TC!W:W,TC!Q:Q,COMISIONES!C15,TC!H:H,COMISIONES!$K$1)</f>
        <v>62</v>
      </c>
      <c r="S15" s="26">
        <f>+SUMIFS(TC!W:W,TC!Q:Q,COMISIONES!C15,TC!H:H,COMISIONES!$L$1)</f>
        <v>3.5</v>
      </c>
      <c r="T15" s="261">
        <f t="shared" si="1"/>
        <v>65.5</v>
      </c>
      <c r="U15" s="40" t="str">
        <f>+VLOOKUP(T15,'PUNTOS 2021'!$A$4:$C$8,3,1)</f>
        <v>SEMI SENIOR</v>
      </c>
      <c r="V15" s="26">
        <f>+COUNTIF(ADICIONALES!A:A,COMISIONES!C15)</f>
        <v>1</v>
      </c>
      <c r="W15" s="211">
        <f>+IFERROR(V15/H15,0)</f>
        <v>3.3333333333333333E-2</v>
      </c>
      <c r="X15" s="150">
        <f>+IFERROR(IF((V15/H15)&gt;='PUNTOS 2021'!$Q$6,1,0),0)</f>
        <v>0</v>
      </c>
      <c r="Y15" s="26">
        <f>+COUNTIF(PRF!A:A,COMISIONES!C15)</f>
        <v>6</v>
      </c>
      <c r="Z15" s="211">
        <f t="shared" si="8"/>
        <v>0.2</v>
      </c>
      <c r="AA15" s="150">
        <f>+IFERROR(IF((Y15/H15)&gt;='PUNTOS 2021'!$Q$5,1,0),0)</f>
        <v>0</v>
      </c>
      <c r="AB15" s="26">
        <v>0</v>
      </c>
      <c r="AC15" s="26">
        <f>+COUNTIF(COMPASS!A:A,COMISIONES!C15)</f>
        <v>21</v>
      </c>
      <c r="AD15" s="217">
        <f>+SUMIFS(COMPASS!O:O,COMPASS!A:A,COMISIONES!C15)</f>
        <v>220</v>
      </c>
      <c r="AE15" s="211">
        <f t="shared" si="9"/>
        <v>0.7</v>
      </c>
      <c r="AF15" s="150">
        <f>+IFERROR(IF((AC15/H15)&gt;='PUNTOS 2021'!$Q$7,1,0),0)</f>
        <v>1</v>
      </c>
      <c r="AG15" s="26">
        <f>+COUNTIF(CUENTAS!A:A,COMISIONES!C15)</f>
        <v>0</v>
      </c>
      <c r="AH15" s="211">
        <f t="shared" si="10"/>
        <v>0</v>
      </c>
      <c r="AI15" s="150">
        <f>+IFERROR(IF((AG15/H15)&gt;='PUNTOS 2021'!$Q$8,1,0),0)</f>
        <v>0</v>
      </c>
      <c r="AJ15" s="26">
        <f>+COUNTIF(KASH!A:A,COMISIONES!C15)</f>
        <v>1</v>
      </c>
      <c r="AK15" s="211">
        <f>+IFERROR(AJ15/'PUNTOS 2021'!$Q$12,0)</f>
        <v>0.14285714285714285</v>
      </c>
      <c r="AL15" s="26">
        <f t="shared" si="2"/>
        <v>0</v>
      </c>
      <c r="AM15" s="28">
        <f t="shared" si="3"/>
        <v>1</v>
      </c>
      <c r="AN15" s="26" t="str">
        <f>+VLOOKUP(AM15,'PUNTOS 2021'!$P$15:$Q$20,2,0)</f>
        <v>NOVATO</v>
      </c>
      <c r="AO15" s="38">
        <f>IFERROR(VLOOKUP(_xlfn.CONCAT(E15,U15,AN15),'PUNTOS 2021'!$L:$M,2,0),0)</f>
        <v>20</v>
      </c>
      <c r="AP15" s="38">
        <f>+VLOOKUP(_xlfn.CONCAT(AP$1,$AN15),'PUNTOS 2021'!$R$22:$S$51,2,0)</f>
        <v>20</v>
      </c>
      <c r="AQ15" s="38">
        <f>+VLOOKUP(_xlfn.CONCAT(AQ$1,$AN15),'PUNTOS 2021'!$R$22:$S$51,2,0)</f>
        <v>30</v>
      </c>
      <c r="AR15" s="38">
        <f>+VLOOKUP(_xlfn.CONCAT(AR$1,$AN15),'PUNTOS 2021'!$R$22:$S$51,2,0)</f>
        <v>10</v>
      </c>
      <c r="AS15" s="38">
        <f>+VLOOKUP(_xlfn.CONCAT(AS$1,$AN15),'PUNTOS 2021'!$R$22:$S$51,2,0)</f>
        <v>10</v>
      </c>
      <c r="AT15" s="38">
        <f>+VLOOKUP(_xlfn.CONCAT(AT$1,$AN15),'PUNTOS 2021'!$R$22:$S$51,2,0)</f>
        <v>5</v>
      </c>
      <c r="AU15" s="39">
        <f t="shared" si="4"/>
        <v>1310</v>
      </c>
      <c r="AV15" s="39">
        <f t="shared" si="5"/>
        <v>425</v>
      </c>
      <c r="AW15" s="39">
        <f t="shared" si="6"/>
        <v>1735</v>
      </c>
      <c r="AX15" s="37">
        <v>0</v>
      </c>
      <c r="AY15" s="37">
        <f>+SUMIFS('DESC TC'!$B:$B,'DESC TC'!$A:$A,COMISIONES!C:C,'DESC TC'!$L:$L,"Primera")</f>
        <v>280</v>
      </c>
      <c r="AZ15" s="37">
        <f>+SUMIFS('DESC TC'!$B:$B,'DESC TC'!$A:$A,COMISIONES!C:C,'DESC TC'!$L:$L,"Segunda")</f>
        <v>0</v>
      </c>
      <c r="BA15" s="37">
        <f ca="1">+SUMIF('DESC ADICIONALES'!$A:$B,COMISIONES!$C:$C,'DESC ADICIONALES'!$B:$B)</f>
        <v>0</v>
      </c>
      <c r="BB15" s="37">
        <f>+SUMIF('DESC PRF'!A:A,COMISIONES!C15,'DESC PRF'!J:J)</f>
        <v>0</v>
      </c>
      <c r="BC15" s="39">
        <f t="shared" ca="1" si="11"/>
        <v>1455</v>
      </c>
      <c r="BE15" s="210"/>
    </row>
    <row r="16" spans="1:57">
      <c r="A16" t="s">
        <v>392</v>
      </c>
      <c r="B16" s="116" t="s">
        <v>78</v>
      </c>
      <c r="C16" s="127">
        <v>20009269</v>
      </c>
      <c r="D16" s="113" t="s">
        <v>23</v>
      </c>
      <c r="E16" s="116" t="s">
        <v>40</v>
      </c>
      <c r="F16" s="113" t="s">
        <v>49</v>
      </c>
      <c r="G16" s="113" t="s">
        <v>132</v>
      </c>
      <c r="H16" s="234">
        <v>30</v>
      </c>
      <c r="I16" s="234">
        <v>21</v>
      </c>
      <c r="J16" s="26">
        <f>+COUNTIFS(TC!Q:Q,COMISIONES!C16)</f>
        <v>26</v>
      </c>
      <c r="K16" s="26">
        <f>+COUNTIFS(TC!Q:Q,COMISIONES!C16,TC!H:H,COMISIONES!$K$1)</f>
        <v>24</v>
      </c>
      <c r="L16" s="26">
        <f>+COUNTIFS(TC!Q:Q,COMISIONES!C16,TC!H:H,COMISIONES!$L$1)</f>
        <v>2</v>
      </c>
      <c r="M16" s="27">
        <f t="shared" si="0"/>
        <v>0.92307692307692313</v>
      </c>
      <c r="N16" s="26">
        <f>+COUNTIFS(TC!Q:Q,COMISIONES!C16,TC!G:G,COMISIONES!$N$1)</f>
        <v>10</v>
      </c>
      <c r="O16" s="26">
        <f>+COUNTIFS(TC!Q:Q,COMISIONES!C16,TC!G:G,COMISIONES!$O$1)</f>
        <v>9</v>
      </c>
      <c r="P16" s="26">
        <f>+COUNTIFS(TC!Q:Q,COMISIONES!C16,TC!G:G,COMISIONES!$P$1)</f>
        <v>7</v>
      </c>
      <c r="Q16" s="26">
        <f>+COUNTIFS(TC!Q:Q,COMISIONES!C16,TC!G:G,COMISIONES!$Q$1)</f>
        <v>0</v>
      </c>
      <c r="R16" s="26">
        <f>+SUMIFS(TC!W:W,TC!Q:Q,COMISIONES!C16,TC!H:H,COMISIONES!$K$1)</f>
        <v>114</v>
      </c>
      <c r="S16" s="26">
        <f>+SUMIFS(TC!W:W,TC!Q:Q,COMISIONES!C16,TC!H:H,COMISIONES!$L$1)</f>
        <v>3</v>
      </c>
      <c r="T16" s="261">
        <f t="shared" si="1"/>
        <v>117</v>
      </c>
      <c r="U16" s="40" t="str">
        <f>+VLOOKUP(T16,'PUNTOS 2021'!$A$4:$C$8,3,1)</f>
        <v>PREMIUM</v>
      </c>
      <c r="V16" s="26">
        <f>+COUNTIF(ADICIONALES!A:A,COMISIONES!C16)</f>
        <v>5</v>
      </c>
      <c r="W16" s="211">
        <f t="shared" si="7"/>
        <v>0.16666666666666666</v>
      </c>
      <c r="X16" s="150">
        <f>+IFERROR(IF((V16/H16)&gt;='PUNTOS 2021'!$Q$6,1,0),0)</f>
        <v>1</v>
      </c>
      <c r="Y16" s="26">
        <f>+COUNTIF(PRF!A:A,COMISIONES!C16)</f>
        <v>12</v>
      </c>
      <c r="Z16" s="211">
        <f t="shared" si="8"/>
        <v>0.4</v>
      </c>
      <c r="AA16" s="150">
        <f>+IFERROR(IF((Y16/H16)&gt;='PUNTOS 2021'!$Q$5,1,0),0)</f>
        <v>1</v>
      </c>
      <c r="AB16" s="26">
        <v>0</v>
      </c>
      <c r="AC16" s="26">
        <f>+COUNTIF(COMPASS!A:A,COMISIONES!C16)</f>
        <v>11</v>
      </c>
      <c r="AD16" s="217">
        <f>+SUMIFS(COMPASS!O:O,COMPASS!A:A,COMISIONES!C16)</f>
        <v>360</v>
      </c>
      <c r="AE16" s="211">
        <f t="shared" si="9"/>
        <v>0.36666666666666664</v>
      </c>
      <c r="AF16" s="150">
        <f>+IFERROR(IF((AC16/H16)&gt;='PUNTOS 2021'!$Q$7,1,0),0)</f>
        <v>1</v>
      </c>
      <c r="AG16" s="26">
        <f>+COUNTIF(CUENTAS!A:A,COMISIONES!C16)</f>
        <v>2</v>
      </c>
      <c r="AH16" s="211">
        <f t="shared" si="10"/>
        <v>6.6666666666666666E-2</v>
      </c>
      <c r="AI16" s="150">
        <f>+IFERROR(IF((AG16/H16)&gt;='PUNTOS 2021'!$Q$8,1,0),0)</f>
        <v>1</v>
      </c>
      <c r="AJ16" s="26">
        <f>+COUNTIF(KASH!A:A,COMISIONES!C16)</f>
        <v>1</v>
      </c>
      <c r="AK16" s="211">
        <f>+IFERROR(AJ16/'PUNTOS 2021'!$Q$12,0)</f>
        <v>0.14285714285714285</v>
      </c>
      <c r="AL16" s="26">
        <f t="shared" si="2"/>
        <v>0</v>
      </c>
      <c r="AM16" s="28">
        <f t="shared" si="3"/>
        <v>4</v>
      </c>
      <c r="AN16" s="26" t="str">
        <f>+VLOOKUP(AM16,'PUNTOS 2021'!$P$15:$Q$20,2,0)</f>
        <v>PREMIUM</v>
      </c>
      <c r="AO16" s="38">
        <f>IFERROR(VLOOKUP(_xlfn.CONCAT(E16,U16,AN16),'PUNTOS 2021'!$L:$M,2,0),0)</f>
        <v>65</v>
      </c>
      <c r="AP16" s="38">
        <f>+VLOOKUP(_xlfn.CONCAT(AP$1,$AN16),'PUNTOS 2021'!$R$22:$S$51,2,0)</f>
        <v>60</v>
      </c>
      <c r="AQ16" s="38">
        <f>+VLOOKUP(_xlfn.CONCAT(AQ$1,$AN16),'PUNTOS 2021'!$R$22:$S$51,2,0)</f>
        <v>90</v>
      </c>
      <c r="AR16" s="38">
        <f>+VLOOKUP(_xlfn.CONCAT(AR$1,$AN16),'PUNTOS 2021'!$R$22:$S$51,2,0)</f>
        <v>30</v>
      </c>
      <c r="AS16" s="38">
        <f>+VLOOKUP(_xlfn.CONCAT(AS$1,$AN16),'PUNTOS 2021'!$R$22:$S$51,2,0)</f>
        <v>30</v>
      </c>
      <c r="AT16" s="38">
        <f>+VLOOKUP(_xlfn.CONCAT(AT$1,$AN16),'PUNTOS 2021'!$R$22:$S$51,2,0)</f>
        <v>5</v>
      </c>
      <c r="AU16" s="39">
        <f t="shared" si="4"/>
        <v>7605</v>
      </c>
      <c r="AV16" s="39">
        <f t="shared" si="5"/>
        <v>1805</v>
      </c>
      <c r="AW16" s="39">
        <f t="shared" si="6"/>
        <v>9410</v>
      </c>
      <c r="AX16" s="37">
        <v>0</v>
      </c>
      <c r="AY16" s="37">
        <f>+SUMIFS('DESC TC'!$B:$B,'DESC TC'!$A:$A,COMISIONES!C:C,'DESC TC'!$L:$L,"Primera")</f>
        <v>0</v>
      </c>
      <c r="AZ16" s="37">
        <f>+SUMIFS('DESC TC'!$B:$B,'DESC TC'!$A:$A,COMISIONES!C:C,'DESC TC'!$L:$L,"Segunda")</f>
        <v>0</v>
      </c>
      <c r="BA16" s="37">
        <f ca="1">+SUMIF('DESC ADICIONALES'!$A:$B,COMISIONES!$C:$C,'DESC ADICIONALES'!$B:$B)</f>
        <v>0</v>
      </c>
      <c r="BB16" s="37">
        <f>+SUMIF('DESC PRF'!A:A,COMISIONES!C16,'DESC PRF'!J:J)</f>
        <v>0</v>
      </c>
      <c r="BC16" s="39">
        <f t="shared" ca="1" si="11"/>
        <v>9410</v>
      </c>
      <c r="BE16" s="210"/>
    </row>
    <row r="17" spans="1:57">
      <c r="A17" t="s">
        <v>392</v>
      </c>
      <c r="B17" s="116" t="s">
        <v>78</v>
      </c>
      <c r="C17" s="127">
        <v>20009690</v>
      </c>
      <c r="D17" s="113" t="s">
        <v>157</v>
      </c>
      <c r="E17" s="116" t="s">
        <v>40</v>
      </c>
      <c r="F17" s="113" t="s">
        <v>49</v>
      </c>
      <c r="G17" s="113" t="s">
        <v>132</v>
      </c>
      <c r="H17" s="234">
        <v>30</v>
      </c>
      <c r="I17" s="234">
        <v>21</v>
      </c>
      <c r="J17" s="26">
        <f>+COUNTIFS(TC!Q:Q,COMISIONES!C17)</f>
        <v>21</v>
      </c>
      <c r="K17" s="26">
        <f>+COUNTIFS(TC!Q:Q,COMISIONES!C17,TC!H:H,COMISIONES!$K$1)</f>
        <v>19</v>
      </c>
      <c r="L17" s="26">
        <f>+COUNTIFS(TC!Q:Q,COMISIONES!C17,TC!H:H,COMISIONES!$L$1)</f>
        <v>1</v>
      </c>
      <c r="M17" s="27">
        <f t="shared" si="0"/>
        <v>0.90476190476190477</v>
      </c>
      <c r="N17" s="26">
        <f>+COUNTIFS(TC!Q:Q,COMISIONES!C17,TC!G:G,COMISIONES!$N$1)</f>
        <v>9</v>
      </c>
      <c r="O17" s="26">
        <f>+COUNTIFS(TC!Q:Q,COMISIONES!C17,TC!G:G,COMISIONES!$O$1)</f>
        <v>5</v>
      </c>
      <c r="P17" s="26">
        <f>+COUNTIFS(TC!Q:Q,COMISIONES!C17,TC!G:G,COMISIONES!$P$1)</f>
        <v>7</v>
      </c>
      <c r="Q17" s="26">
        <f>+COUNTIFS(TC!Q:Q,COMISIONES!C17,TC!G:G,COMISIONES!$Q$1)</f>
        <v>0</v>
      </c>
      <c r="R17" s="26">
        <f>+SUMIFS(TC!W:W,TC!Q:Q,COMISIONES!C17,TC!H:H,COMISIONES!$K$1)</f>
        <v>89</v>
      </c>
      <c r="S17" s="26">
        <f>+SUMIFS(TC!W:W,TC!Q:Q,COMISIONES!C17,TC!H:H,COMISIONES!$L$1)</f>
        <v>0.5</v>
      </c>
      <c r="T17" s="261">
        <f t="shared" si="1"/>
        <v>89.5</v>
      </c>
      <c r="U17" s="40" t="str">
        <f>+VLOOKUP(T17,'PUNTOS 2021'!$A$4:$C$8,3,1)</f>
        <v>SENIOR</v>
      </c>
      <c r="V17" s="26">
        <f>+COUNTIF(ADICIONALES!A:A,COMISIONES!C17)</f>
        <v>5</v>
      </c>
      <c r="W17" s="211">
        <f t="shared" si="7"/>
        <v>0.16666666666666666</v>
      </c>
      <c r="X17" s="150">
        <f>+IFERROR(IF((V17/H17)&gt;='PUNTOS 2021'!$Q$6,1,0),0)</f>
        <v>1</v>
      </c>
      <c r="Y17" s="26">
        <f>+COUNTIF(PRF!A:A,COMISIONES!C17)</f>
        <v>15</v>
      </c>
      <c r="Z17" s="211">
        <f t="shared" si="8"/>
        <v>0.5</v>
      </c>
      <c r="AA17" s="150">
        <f>+IFERROR(IF((Y17/H17)&gt;='PUNTOS 2021'!$Q$5,1,0),0)</f>
        <v>1</v>
      </c>
      <c r="AB17" s="26">
        <v>0</v>
      </c>
      <c r="AC17" s="26">
        <f>+COUNTIF(COMPASS!A:A,COMISIONES!C17)</f>
        <v>22</v>
      </c>
      <c r="AD17" s="217">
        <f>+SUMIFS(COMPASS!O:O,COMPASS!A:A,COMISIONES!C17)</f>
        <v>720</v>
      </c>
      <c r="AE17" s="211">
        <f t="shared" si="9"/>
        <v>0.73333333333333328</v>
      </c>
      <c r="AF17" s="150">
        <f>+IFERROR(IF((AC17/H17)&gt;='PUNTOS 2021'!$Q$7,1,0),0)</f>
        <v>1</v>
      </c>
      <c r="AG17" s="26">
        <f>+COUNTIF(CUENTAS!A:A,COMISIONES!C17)</f>
        <v>2</v>
      </c>
      <c r="AH17" s="211">
        <f t="shared" si="10"/>
        <v>6.6666666666666666E-2</v>
      </c>
      <c r="AI17" s="150">
        <f>+IFERROR(IF((AG17/H17)&gt;='PUNTOS 2021'!$Q$8,1,0),0)</f>
        <v>1</v>
      </c>
      <c r="AJ17" s="26">
        <f>+COUNTIF(KASH!A:A,COMISIONES!C17)</f>
        <v>5</v>
      </c>
      <c r="AK17" s="211">
        <f>+IFERROR(AJ17/'PUNTOS 2021'!$Q$12,0)</f>
        <v>0.7142857142857143</v>
      </c>
      <c r="AL17" s="26">
        <f t="shared" si="2"/>
        <v>0</v>
      </c>
      <c r="AM17" s="28">
        <f t="shared" si="3"/>
        <v>4</v>
      </c>
      <c r="AN17" s="26" t="str">
        <f>+VLOOKUP(AM17,'PUNTOS 2021'!$P$15:$Q$20,2,0)</f>
        <v>PREMIUM</v>
      </c>
      <c r="AO17" s="38">
        <f>IFERROR(VLOOKUP(_xlfn.CONCAT(E17,U17,AN17),'PUNTOS 2021'!$L:$M,2,0),0)</f>
        <v>45</v>
      </c>
      <c r="AP17" s="38">
        <f>+VLOOKUP(_xlfn.CONCAT(AP$1,$AN17),'PUNTOS 2021'!$R$22:$S$51,2,0)</f>
        <v>60</v>
      </c>
      <c r="AQ17" s="38">
        <f>+VLOOKUP(_xlfn.CONCAT(AQ$1,$AN17),'PUNTOS 2021'!$R$22:$S$51,2,0)</f>
        <v>90</v>
      </c>
      <c r="AR17" s="38">
        <f>+VLOOKUP(_xlfn.CONCAT(AR$1,$AN17),'PUNTOS 2021'!$R$22:$S$51,2,0)</f>
        <v>30</v>
      </c>
      <c r="AS17" s="38">
        <f>+VLOOKUP(_xlfn.CONCAT(AS$1,$AN17),'PUNTOS 2021'!$R$22:$S$51,2,0)</f>
        <v>30</v>
      </c>
      <c r="AT17" s="38">
        <f>+VLOOKUP(_xlfn.CONCAT(AT$1,$AN17),'PUNTOS 2021'!$R$22:$S$51,2,0)</f>
        <v>5</v>
      </c>
      <c r="AU17" s="39">
        <f t="shared" si="4"/>
        <v>4027.5</v>
      </c>
      <c r="AV17" s="39">
        <f t="shared" si="5"/>
        <v>2455</v>
      </c>
      <c r="AW17" s="39">
        <f t="shared" si="6"/>
        <v>6482.5</v>
      </c>
      <c r="AX17" s="37">
        <v>0</v>
      </c>
      <c r="AY17" s="37">
        <f>+SUMIFS('DESC TC'!$B:$B,'DESC TC'!$A:$A,COMISIONES!C:C,'DESC TC'!$L:$L,"Primera")</f>
        <v>455</v>
      </c>
      <c r="AZ17" s="37">
        <f>+SUMIFS('DESC TC'!$B:$B,'DESC TC'!$A:$A,COMISIONES!C:C,'DESC TC'!$L:$L,"Segunda")</f>
        <v>195</v>
      </c>
      <c r="BA17" s="37">
        <f ca="1">+SUMIF('DESC ADICIONALES'!$A:$B,COMISIONES!$C:$C,'DESC ADICIONALES'!$B:$B)</f>
        <v>0</v>
      </c>
      <c r="BB17" s="37">
        <f>+SUMIF('DESC PRF'!A:A,COMISIONES!C17,'DESC PRF'!J:J)</f>
        <v>0</v>
      </c>
      <c r="BC17" s="39">
        <f t="shared" ca="1" si="11"/>
        <v>5832.5</v>
      </c>
      <c r="BE17" s="210"/>
    </row>
    <row r="18" spans="1:57">
      <c r="A18" t="s">
        <v>392</v>
      </c>
      <c r="B18" s="116" t="s">
        <v>78</v>
      </c>
      <c r="C18" s="113">
        <v>20007020</v>
      </c>
      <c r="D18" s="113" t="s">
        <v>13</v>
      </c>
      <c r="E18" s="113" t="s">
        <v>40</v>
      </c>
      <c r="F18" s="113" t="s">
        <v>50</v>
      </c>
      <c r="G18" s="113" t="s">
        <v>132</v>
      </c>
      <c r="H18" s="234">
        <v>30</v>
      </c>
      <c r="I18" s="234">
        <v>21</v>
      </c>
      <c r="J18" s="26">
        <f>+COUNTIFS(TC!Q:Q,COMISIONES!C18)</f>
        <v>18</v>
      </c>
      <c r="K18" s="26">
        <f>+COUNTIFS(TC!Q:Q,COMISIONES!C18,TC!H:H,COMISIONES!$K$1)</f>
        <v>13</v>
      </c>
      <c r="L18" s="26">
        <f>+COUNTIFS(TC!Q:Q,COMISIONES!C18,TC!H:H,COMISIONES!$L$1)</f>
        <v>5</v>
      </c>
      <c r="M18" s="27">
        <f t="shared" si="0"/>
        <v>0.72222222222222221</v>
      </c>
      <c r="N18" s="26">
        <f>+COUNTIFS(TC!Q:Q,COMISIONES!C18,TC!G:G,COMISIONES!$N$1)</f>
        <v>3</v>
      </c>
      <c r="O18" s="26">
        <f>+COUNTIFS(TC!Q:Q,COMISIONES!C18,TC!G:G,COMISIONES!$O$1)</f>
        <v>7</v>
      </c>
      <c r="P18" s="26">
        <f>+COUNTIFS(TC!Q:Q,COMISIONES!C18,TC!G:G,COMISIONES!$P$1)</f>
        <v>8</v>
      </c>
      <c r="Q18" s="26">
        <f>+COUNTIFS(TC!Q:Q,COMISIONES!C18,TC!G:G,COMISIONES!$Q$1)</f>
        <v>0</v>
      </c>
      <c r="R18" s="26">
        <f>+SUMIFS(TC!W:W,TC!Q:Q,COMISIONES!C18,TC!H:H,COMISIONES!$K$1)</f>
        <v>69</v>
      </c>
      <c r="S18" s="26">
        <f>+SUMIFS(TC!W:W,TC!Q:Q,COMISIONES!C18,TC!H:H,COMISIONES!$L$1)</f>
        <v>2.5</v>
      </c>
      <c r="T18" s="261">
        <f t="shared" si="1"/>
        <v>71.5</v>
      </c>
      <c r="U18" s="40" t="str">
        <f>+VLOOKUP(T18,'PUNTOS 2021'!$A$4:$C$8,3,1)</f>
        <v>SENIOR</v>
      </c>
      <c r="V18" s="26">
        <f>+COUNTIF(ADICIONALES!A:A,COMISIONES!C18)</f>
        <v>2</v>
      </c>
      <c r="W18" s="211">
        <f t="shared" si="7"/>
        <v>6.6666666666666666E-2</v>
      </c>
      <c r="X18" s="150">
        <f>+IFERROR(IF((V18/H18)&gt;='PUNTOS 2021'!$Q$6,1,0),0)</f>
        <v>0</v>
      </c>
      <c r="Y18" s="26">
        <f>+COUNTIF(PRF!A:A,COMISIONES!C18)</f>
        <v>8</v>
      </c>
      <c r="Z18" s="211">
        <f t="shared" si="8"/>
        <v>0.26666666666666666</v>
      </c>
      <c r="AA18" s="150">
        <f>+IFERROR(IF((Y18/H18)&gt;='PUNTOS 2021'!$Q$5,1,0),0)</f>
        <v>0</v>
      </c>
      <c r="AB18" s="26">
        <v>0</v>
      </c>
      <c r="AC18" s="26">
        <f>+COUNTIF(COMPASS!A:A,COMISIONES!C18)</f>
        <v>9</v>
      </c>
      <c r="AD18" s="217">
        <f>+SUMIFS(COMPASS!O:O,COMPASS!A:A,COMISIONES!C18)</f>
        <v>90</v>
      </c>
      <c r="AE18" s="211">
        <f t="shared" si="9"/>
        <v>0.3</v>
      </c>
      <c r="AF18" s="150">
        <f>+IFERROR(IF((AC18/H18)&gt;='PUNTOS 2021'!$Q$7,1,0),0)</f>
        <v>1</v>
      </c>
      <c r="AG18" s="26">
        <f>+COUNTIF(CUENTAS!A:A,COMISIONES!C18)</f>
        <v>0</v>
      </c>
      <c r="AH18" s="211">
        <f t="shared" si="10"/>
        <v>0</v>
      </c>
      <c r="AI18" s="150">
        <f>+IFERROR(IF((AG18/H18)&gt;='PUNTOS 2021'!$Q$8,1,0),0)</f>
        <v>0</v>
      </c>
      <c r="AJ18" s="26">
        <f>+COUNTIF(KASH!A:A,COMISIONES!C18)</f>
        <v>0</v>
      </c>
      <c r="AK18" s="211">
        <f>+IFERROR(AJ18/'PUNTOS 2021'!$Q$12,0)</f>
        <v>0</v>
      </c>
      <c r="AL18" s="26">
        <f t="shared" si="2"/>
        <v>0</v>
      </c>
      <c r="AM18" s="28">
        <f t="shared" si="3"/>
        <v>1</v>
      </c>
      <c r="AN18" s="26" t="str">
        <f>+VLOOKUP(AM18,'PUNTOS 2021'!$P$15:$Q$20,2,0)</f>
        <v>NOVATO</v>
      </c>
      <c r="AO18" s="38">
        <f>IFERROR(VLOOKUP(_xlfn.CONCAT(E18,U18,AN18),'PUNTOS 2021'!$L:$M,2,0),0)</f>
        <v>40</v>
      </c>
      <c r="AP18" s="38">
        <f>+VLOOKUP(_xlfn.CONCAT(AP$1,$AN18),'PUNTOS 2021'!$R$22:$S$51,2,0)</f>
        <v>20</v>
      </c>
      <c r="AQ18" s="38">
        <f>+VLOOKUP(_xlfn.CONCAT(AQ$1,$AN18),'PUNTOS 2021'!$R$22:$S$51,2,0)</f>
        <v>30</v>
      </c>
      <c r="AR18" s="38">
        <f>+VLOOKUP(_xlfn.CONCAT(AR$1,$AN18),'PUNTOS 2021'!$R$22:$S$51,2,0)</f>
        <v>10</v>
      </c>
      <c r="AS18" s="38">
        <f>+VLOOKUP(_xlfn.CONCAT(AS$1,$AN18),'PUNTOS 2021'!$R$22:$S$51,2,0)</f>
        <v>10</v>
      </c>
      <c r="AT18" s="38">
        <f>+VLOOKUP(_xlfn.CONCAT(AT$1,$AN18),'PUNTOS 2021'!$R$22:$S$51,2,0)</f>
        <v>5</v>
      </c>
      <c r="AU18" s="39">
        <f t="shared" si="4"/>
        <v>2860</v>
      </c>
      <c r="AV18" s="39">
        <f t="shared" si="5"/>
        <v>370</v>
      </c>
      <c r="AW18" s="39">
        <f t="shared" si="6"/>
        <v>3230</v>
      </c>
      <c r="AX18" s="37">
        <v>0</v>
      </c>
      <c r="AY18" s="37">
        <f>+SUMIFS('DESC TC'!$B:$B,'DESC TC'!$A:$A,COMISIONES!C:C,'DESC TC'!$L:$L,"Primera")</f>
        <v>0</v>
      </c>
      <c r="AZ18" s="37">
        <f>+SUMIFS('DESC TC'!$B:$B,'DESC TC'!$A:$A,COMISIONES!C:C,'DESC TC'!$L:$L,"Segunda")</f>
        <v>0</v>
      </c>
      <c r="BA18" s="37">
        <f ca="1">+SUMIF('DESC ADICIONALES'!$A:$B,COMISIONES!$C:$C,'DESC ADICIONALES'!$B:$B)</f>
        <v>0</v>
      </c>
      <c r="BB18" s="37">
        <f>+SUMIF('DESC PRF'!A:A,COMISIONES!C18,'DESC PRF'!J:J)</f>
        <v>0</v>
      </c>
      <c r="BC18" s="39">
        <f t="shared" ca="1" si="11"/>
        <v>3230</v>
      </c>
      <c r="BE18" s="210"/>
    </row>
    <row r="19" spans="1:57">
      <c r="A19" t="s">
        <v>392</v>
      </c>
      <c r="B19" s="116" t="s">
        <v>78</v>
      </c>
      <c r="C19" s="113">
        <v>20004566</v>
      </c>
      <c r="D19" s="113" t="s">
        <v>5</v>
      </c>
      <c r="E19" s="113" t="s">
        <v>40</v>
      </c>
      <c r="F19" s="113" t="s">
        <v>50</v>
      </c>
      <c r="G19" s="113" t="s">
        <v>132</v>
      </c>
      <c r="H19" s="234">
        <v>30</v>
      </c>
      <c r="I19" s="234">
        <v>21</v>
      </c>
      <c r="J19" s="26">
        <f>+COUNTIFS(TC!Q:Q,COMISIONES!C19)</f>
        <v>33</v>
      </c>
      <c r="K19" s="26">
        <f>+COUNTIFS(TC!Q:Q,COMISIONES!C19,TC!H:H,COMISIONES!$K$1)</f>
        <v>29</v>
      </c>
      <c r="L19" s="26">
        <f>+COUNTIFS(TC!Q:Q,COMISIONES!C19,TC!H:H,COMISIONES!$L$1)</f>
        <v>4</v>
      </c>
      <c r="M19" s="27">
        <f t="shared" si="0"/>
        <v>0.87878787878787878</v>
      </c>
      <c r="N19" s="26">
        <f>+COUNTIFS(TC!Q:Q,COMISIONES!C19,TC!G:G,COMISIONES!$N$1)</f>
        <v>3</v>
      </c>
      <c r="O19" s="26">
        <f>+COUNTIFS(TC!Q:Q,COMISIONES!C19,TC!G:G,COMISIONES!$O$1)</f>
        <v>15</v>
      </c>
      <c r="P19" s="26">
        <f>+COUNTIFS(TC!Q:Q,COMISIONES!C19,TC!G:G,COMISIONES!$P$1)</f>
        <v>15</v>
      </c>
      <c r="Q19" s="26">
        <f>+COUNTIFS(TC!Q:Q,COMISIONES!C19,TC!G:G,COMISIONES!$Q$1)</f>
        <v>0</v>
      </c>
      <c r="R19" s="26">
        <f>+SUMIFS(TC!W:W,TC!Q:Q,COMISIONES!C19,TC!H:H,COMISIONES!$K$1)</f>
        <v>167</v>
      </c>
      <c r="S19" s="26">
        <f>+SUMIFS(TC!W:W,TC!Q:Q,COMISIONES!C19,TC!H:H,COMISIONES!$L$1)</f>
        <v>6</v>
      </c>
      <c r="T19" s="261">
        <f t="shared" si="1"/>
        <v>173</v>
      </c>
      <c r="U19" s="40" t="str">
        <f>+VLOOKUP(T19,'PUNTOS 2021'!$A$4:$C$8,3,1)</f>
        <v>PREMIUM</v>
      </c>
      <c r="V19" s="26">
        <f>+COUNTIF(ADICIONALES!A:A,COMISIONES!C19)</f>
        <v>5</v>
      </c>
      <c r="W19" s="211">
        <f t="shared" si="7"/>
        <v>0.16666666666666666</v>
      </c>
      <c r="X19" s="150">
        <f>+IFERROR(IF((V19/H19)&gt;='PUNTOS 2021'!$Q$6,1,0),0)</f>
        <v>1</v>
      </c>
      <c r="Y19" s="26">
        <f>+COUNTIF(PRF!A:A,COMISIONES!C19)</f>
        <v>13</v>
      </c>
      <c r="Z19" s="211">
        <f t="shared" si="8"/>
        <v>0.43333333333333335</v>
      </c>
      <c r="AA19" s="150">
        <f>+IFERROR(IF((Y19/H19)&gt;='PUNTOS 2021'!$Q$5,1,0),0)</f>
        <v>1</v>
      </c>
      <c r="AB19" s="26">
        <v>0</v>
      </c>
      <c r="AC19" s="26">
        <f>+COUNTIF(COMPASS!A:A,COMISIONES!C19)</f>
        <v>18</v>
      </c>
      <c r="AD19" s="217">
        <f>+SUMIFS(COMPASS!O:O,COMPASS!A:A,COMISIONES!C19)</f>
        <v>420</v>
      </c>
      <c r="AE19" s="211">
        <f t="shared" si="9"/>
        <v>0.6</v>
      </c>
      <c r="AF19" s="150">
        <f>+IFERROR(IF((AC19/H19)&gt;='PUNTOS 2021'!$Q$7,1,0),0)</f>
        <v>1</v>
      </c>
      <c r="AG19" s="26">
        <f>+COUNTIF(CUENTAS!A:A,COMISIONES!C19)</f>
        <v>0</v>
      </c>
      <c r="AH19" s="211">
        <f t="shared" si="10"/>
        <v>0</v>
      </c>
      <c r="AI19" s="150">
        <f>+IFERROR(IF((AG19/H19)&gt;='PUNTOS 2021'!$Q$8,1,0),0)</f>
        <v>0</v>
      </c>
      <c r="AJ19" s="26">
        <f>+COUNTIF(KASH!A:A,COMISIONES!C19)</f>
        <v>0</v>
      </c>
      <c r="AK19" s="211">
        <f>+IFERROR(AJ19/'PUNTOS 2021'!$Q$12,0)</f>
        <v>0</v>
      </c>
      <c r="AL19" s="26">
        <f t="shared" si="2"/>
        <v>0</v>
      </c>
      <c r="AM19" s="28">
        <f t="shared" si="3"/>
        <v>3</v>
      </c>
      <c r="AN19" s="26" t="str">
        <f>+VLOOKUP(AM19,'PUNTOS 2021'!$P$15:$Q$20,2,0)</f>
        <v>SENIOR</v>
      </c>
      <c r="AO19" s="38">
        <f>IFERROR(VLOOKUP(_xlfn.CONCAT(E19,U19,AN19),'PUNTOS 2021'!$L:$M,2,0),0)</f>
        <v>60</v>
      </c>
      <c r="AP19" s="38">
        <f>+VLOOKUP(_xlfn.CONCAT(AP$1,$AN19),'PUNTOS 2021'!$R$22:$S$51,2,0)</f>
        <v>40</v>
      </c>
      <c r="AQ19" s="38">
        <f>+VLOOKUP(_xlfn.CONCAT(AQ$1,$AN19),'PUNTOS 2021'!$R$22:$S$51,2,0)</f>
        <v>60</v>
      </c>
      <c r="AR19" s="38">
        <f>+VLOOKUP(_xlfn.CONCAT(AR$1,$AN19),'PUNTOS 2021'!$R$22:$S$51,2,0)</f>
        <v>20</v>
      </c>
      <c r="AS19" s="38">
        <f>+VLOOKUP(_xlfn.CONCAT(AS$1,$AN19),'PUNTOS 2021'!$R$22:$S$51,2,0)</f>
        <v>20</v>
      </c>
      <c r="AT19" s="38">
        <f>+VLOOKUP(_xlfn.CONCAT(AT$1,$AN19),'PUNTOS 2021'!$R$22:$S$51,2,0)</f>
        <v>5</v>
      </c>
      <c r="AU19" s="39">
        <f t="shared" si="4"/>
        <v>10380</v>
      </c>
      <c r="AV19" s="39">
        <f t="shared" si="5"/>
        <v>1400</v>
      </c>
      <c r="AW19" s="39">
        <f t="shared" si="6"/>
        <v>11780</v>
      </c>
      <c r="AX19" s="37">
        <v>0</v>
      </c>
      <c r="AY19" s="37">
        <f>+SUMIFS('DESC TC'!$B:$B,'DESC TC'!$A:$A,COMISIONES!C:C,'DESC TC'!$L:$L,"Primera")</f>
        <v>325</v>
      </c>
      <c r="AZ19" s="37">
        <f>+SUMIFS('DESC TC'!$B:$B,'DESC TC'!$A:$A,COMISIONES!C:C,'DESC TC'!$L:$L,"Segunda")</f>
        <v>0</v>
      </c>
      <c r="BA19" s="37">
        <f ca="1">+SUMIF('DESC ADICIONALES'!$A:$B,COMISIONES!$C:$C,'DESC ADICIONALES'!$B:$B)</f>
        <v>60</v>
      </c>
      <c r="BB19" s="37">
        <f>+SUMIF('DESC PRF'!A:A,COMISIONES!C19,'DESC PRF'!J:J)</f>
        <v>0</v>
      </c>
      <c r="BC19" s="39">
        <f t="shared" ca="1" si="11"/>
        <v>11395</v>
      </c>
      <c r="BE19" s="210"/>
    </row>
    <row r="20" spans="1:57">
      <c r="A20" t="s">
        <v>392</v>
      </c>
      <c r="B20" s="116" t="s">
        <v>78</v>
      </c>
      <c r="C20" s="113">
        <v>20006360</v>
      </c>
      <c r="D20" s="113" t="s">
        <v>14</v>
      </c>
      <c r="E20" s="113" t="s">
        <v>40</v>
      </c>
      <c r="F20" s="113" t="s">
        <v>50</v>
      </c>
      <c r="G20" s="113" t="s">
        <v>132</v>
      </c>
      <c r="H20" s="234">
        <v>30</v>
      </c>
      <c r="I20" s="234">
        <v>21</v>
      </c>
      <c r="J20" s="26">
        <f>+COUNTIFS(TC!Q:Q,COMISIONES!C20)</f>
        <v>18</v>
      </c>
      <c r="K20" s="26">
        <f>+COUNTIFS(TC!Q:Q,COMISIONES!C20,TC!H:H,COMISIONES!$K$1)</f>
        <v>13</v>
      </c>
      <c r="L20" s="26">
        <f>+COUNTIFS(TC!Q:Q,COMISIONES!C20,TC!H:H,COMISIONES!$L$1)</f>
        <v>4</v>
      </c>
      <c r="M20" s="27">
        <f t="shared" si="0"/>
        <v>0.72222222222222221</v>
      </c>
      <c r="N20" s="26">
        <f>+COUNTIFS(TC!Q:Q,COMISIONES!C20,TC!G:G,COMISIONES!$N$1)</f>
        <v>5</v>
      </c>
      <c r="O20" s="26">
        <f>+COUNTIFS(TC!Q:Q,COMISIONES!C20,TC!G:G,COMISIONES!$O$1)</f>
        <v>6</v>
      </c>
      <c r="P20" s="26">
        <f>+COUNTIFS(TC!Q:Q,COMISIONES!C20,TC!G:G,COMISIONES!$P$1)</f>
        <v>7</v>
      </c>
      <c r="Q20" s="26">
        <f>+COUNTIFS(TC!Q:Q,COMISIONES!C20,TC!G:G,COMISIONES!$Q$1)</f>
        <v>0</v>
      </c>
      <c r="R20" s="26">
        <f>+SUMIFS(TC!W:W,TC!Q:Q,COMISIONES!C20,TC!H:H,COMISIONES!$K$1)</f>
        <v>67</v>
      </c>
      <c r="S20" s="26">
        <f>+SUMIFS(TC!W:W,TC!Q:Q,COMISIONES!C20,TC!H:H,COMISIONES!$L$1)</f>
        <v>2</v>
      </c>
      <c r="T20" s="261">
        <f t="shared" si="1"/>
        <v>69</v>
      </c>
      <c r="U20" s="40" t="str">
        <f>+VLOOKUP(T20,'PUNTOS 2021'!$A$4:$C$8,3,1)</f>
        <v>SENIOR</v>
      </c>
      <c r="V20" s="26">
        <f>+COUNTIF(ADICIONALES!A:A,COMISIONES!C20)</f>
        <v>3</v>
      </c>
      <c r="W20" s="211">
        <f t="shared" si="7"/>
        <v>0.1</v>
      </c>
      <c r="X20" s="150">
        <f>+IFERROR(IF((V20/H20)&gt;='PUNTOS 2021'!$Q$6,1,0),0)</f>
        <v>0</v>
      </c>
      <c r="Y20" s="26">
        <f>+COUNTIF(PRF!A:A,COMISIONES!C20)</f>
        <v>6</v>
      </c>
      <c r="Z20" s="211">
        <f t="shared" si="8"/>
        <v>0.2</v>
      </c>
      <c r="AA20" s="150">
        <f>+IFERROR(IF((Y20/H20)&gt;='PUNTOS 2021'!$Q$5,1,0),0)</f>
        <v>0</v>
      </c>
      <c r="AB20" s="26">
        <v>0</v>
      </c>
      <c r="AC20" s="26">
        <f>+COUNTIF(COMPASS!A:A,COMISIONES!C20)</f>
        <v>15</v>
      </c>
      <c r="AD20" s="217">
        <f>+SUMIFS(COMPASS!O:O,COMPASS!A:A,COMISIONES!C20)</f>
        <v>170</v>
      </c>
      <c r="AE20" s="211">
        <f t="shared" si="9"/>
        <v>0.5</v>
      </c>
      <c r="AF20" s="150">
        <f>+IFERROR(IF((AC20/H20)&gt;='PUNTOS 2021'!$Q$7,1,0),0)</f>
        <v>1</v>
      </c>
      <c r="AG20" s="26">
        <f>+COUNTIF(CUENTAS!A:A,COMISIONES!C20)</f>
        <v>0</v>
      </c>
      <c r="AH20" s="211">
        <f t="shared" si="10"/>
        <v>0</v>
      </c>
      <c r="AI20" s="150">
        <f>+IFERROR(IF((AG20/H20)&gt;='PUNTOS 2021'!$Q$8,1,0),0)</f>
        <v>0</v>
      </c>
      <c r="AJ20" s="26">
        <f>+COUNTIF(KASH!A:A,COMISIONES!C20)</f>
        <v>1</v>
      </c>
      <c r="AK20" s="211">
        <f>+IFERROR(AJ20/'PUNTOS 2021'!$Q$12,0)</f>
        <v>0.14285714285714285</v>
      </c>
      <c r="AL20" s="26">
        <f t="shared" si="2"/>
        <v>0</v>
      </c>
      <c r="AM20" s="28">
        <f t="shared" si="3"/>
        <v>1</v>
      </c>
      <c r="AN20" s="26" t="str">
        <f>+VLOOKUP(AM20,'PUNTOS 2021'!$P$15:$Q$20,2,0)</f>
        <v>NOVATO</v>
      </c>
      <c r="AO20" s="38">
        <f>IFERROR(VLOOKUP(_xlfn.CONCAT(E20,U20,AN20),'PUNTOS 2021'!$L:$M,2,0),0)</f>
        <v>40</v>
      </c>
      <c r="AP20" s="38">
        <f>+VLOOKUP(_xlfn.CONCAT(AP$1,$AN20),'PUNTOS 2021'!$R$22:$S$51,2,0)</f>
        <v>20</v>
      </c>
      <c r="AQ20" s="38">
        <f>+VLOOKUP(_xlfn.CONCAT(AQ$1,$AN20),'PUNTOS 2021'!$R$22:$S$51,2,0)</f>
        <v>30</v>
      </c>
      <c r="AR20" s="38">
        <f>+VLOOKUP(_xlfn.CONCAT(AR$1,$AN20),'PUNTOS 2021'!$R$22:$S$51,2,0)</f>
        <v>10</v>
      </c>
      <c r="AS20" s="38">
        <f>+VLOOKUP(_xlfn.CONCAT(AS$1,$AN20),'PUNTOS 2021'!$R$22:$S$51,2,0)</f>
        <v>10</v>
      </c>
      <c r="AT20" s="38">
        <f>+VLOOKUP(_xlfn.CONCAT(AT$1,$AN20),'PUNTOS 2021'!$R$22:$S$51,2,0)</f>
        <v>5</v>
      </c>
      <c r="AU20" s="39">
        <f t="shared" si="4"/>
        <v>2760</v>
      </c>
      <c r="AV20" s="39">
        <f t="shared" si="5"/>
        <v>415</v>
      </c>
      <c r="AW20" s="39">
        <f t="shared" si="6"/>
        <v>3175</v>
      </c>
      <c r="AX20" s="37">
        <v>0</v>
      </c>
      <c r="AY20" s="37">
        <f>+SUMIFS('DESC TC'!$B:$B,'DESC TC'!$A:$A,COMISIONES!C:C,'DESC TC'!$L:$L,"Primera")</f>
        <v>0</v>
      </c>
      <c r="AZ20" s="37">
        <f>+SUMIFS('DESC TC'!$B:$B,'DESC TC'!$A:$A,COMISIONES!C:C,'DESC TC'!$L:$L,"Segunda")</f>
        <v>0</v>
      </c>
      <c r="BA20" s="37">
        <f ca="1">+SUMIF('DESC ADICIONALES'!$A:$B,COMISIONES!$C:$C,'DESC ADICIONALES'!$B:$B)</f>
        <v>0</v>
      </c>
      <c r="BB20" s="37">
        <f>+SUMIF('DESC PRF'!A:A,COMISIONES!C20,'DESC PRF'!J:J)</f>
        <v>0</v>
      </c>
      <c r="BC20" s="39">
        <f t="shared" ca="1" si="11"/>
        <v>3175</v>
      </c>
      <c r="BE20" s="210"/>
    </row>
    <row r="21" spans="1:57">
      <c r="A21" t="s">
        <v>392</v>
      </c>
      <c r="B21" s="116" t="s">
        <v>78</v>
      </c>
      <c r="C21" s="113">
        <v>20008439</v>
      </c>
      <c r="D21" s="113" t="s">
        <v>18</v>
      </c>
      <c r="E21" s="113" t="s">
        <v>40</v>
      </c>
      <c r="F21" s="113" t="s">
        <v>50</v>
      </c>
      <c r="G21" s="113" t="s">
        <v>132</v>
      </c>
      <c r="H21" s="234">
        <v>30</v>
      </c>
      <c r="I21" s="234">
        <v>21</v>
      </c>
      <c r="J21" s="26">
        <f>+COUNTIFS(TC!Q:Q,COMISIONES!C21)</f>
        <v>28</v>
      </c>
      <c r="K21" s="26">
        <f>+COUNTIFS(TC!Q:Q,COMISIONES!C21,TC!H:H,COMISIONES!$K$1)</f>
        <v>24</v>
      </c>
      <c r="L21" s="26">
        <f>+COUNTIFS(TC!Q:Q,COMISIONES!C21,TC!H:H,COMISIONES!$L$1)</f>
        <v>3</v>
      </c>
      <c r="M21" s="27">
        <f t="shared" si="0"/>
        <v>0.8571428571428571</v>
      </c>
      <c r="N21" s="26">
        <f>+COUNTIFS(TC!Q:Q,COMISIONES!C21,TC!G:G,COMISIONES!$N$1)</f>
        <v>4</v>
      </c>
      <c r="O21" s="26">
        <f>+COUNTIFS(TC!Q:Q,COMISIONES!C21,TC!G:G,COMISIONES!$O$1)</f>
        <v>9</v>
      </c>
      <c r="P21" s="26">
        <f>+COUNTIFS(TC!Q:Q,COMISIONES!C21,TC!G:G,COMISIONES!$P$1)</f>
        <v>15</v>
      </c>
      <c r="Q21" s="26">
        <f>+COUNTIFS(TC!Q:Q,COMISIONES!C21,TC!G:G,COMISIONES!$Q$1)</f>
        <v>0</v>
      </c>
      <c r="R21" s="26">
        <f>+SUMIFS(TC!W:W,TC!Q:Q,COMISIONES!C21,TC!H:H,COMISIONES!$K$1)</f>
        <v>142</v>
      </c>
      <c r="S21" s="26">
        <f>+SUMIFS(TC!W:W,TC!Q:Q,COMISIONES!C21,TC!H:H,COMISIONES!$L$1)</f>
        <v>3</v>
      </c>
      <c r="T21" s="261">
        <f t="shared" si="1"/>
        <v>145</v>
      </c>
      <c r="U21" s="40" t="str">
        <f>+VLOOKUP(T21,'PUNTOS 2021'!$A$4:$C$8,3,1)</f>
        <v>PREMIUM</v>
      </c>
      <c r="V21" s="26">
        <f>+COUNTIF(ADICIONALES!A:A,COMISIONES!C21)</f>
        <v>2</v>
      </c>
      <c r="W21" s="211">
        <f t="shared" si="7"/>
        <v>6.6666666666666666E-2</v>
      </c>
      <c r="X21" s="150">
        <f>+IFERROR(IF((V21/H21)&gt;='PUNTOS 2021'!$Q$6,1,0),0)</f>
        <v>0</v>
      </c>
      <c r="Y21" s="26">
        <f>+COUNTIF(PRF!A:A,COMISIONES!C21)</f>
        <v>10</v>
      </c>
      <c r="Z21" s="211">
        <f t="shared" si="8"/>
        <v>0.33333333333333331</v>
      </c>
      <c r="AA21" s="150">
        <f>+IFERROR(IF((Y21/H21)&gt;='PUNTOS 2021'!$Q$5,1,0),0)</f>
        <v>0</v>
      </c>
      <c r="AB21" s="26">
        <v>0</v>
      </c>
      <c r="AC21" s="26">
        <f>+COUNTIF(COMPASS!A:A,COMISIONES!C21)</f>
        <v>21</v>
      </c>
      <c r="AD21" s="217">
        <f>+SUMIFS(COMPASS!O:O,COMPASS!A:A,COMISIONES!C21)</f>
        <v>345</v>
      </c>
      <c r="AE21" s="211">
        <f t="shared" si="9"/>
        <v>0.7</v>
      </c>
      <c r="AF21" s="150">
        <f>+IFERROR(IF((AC21/H21)&gt;='PUNTOS 2021'!$Q$7,1,0),0)</f>
        <v>1</v>
      </c>
      <c r="AG21" s="26">
        <f>+COUNTIF(CUENTAS!A:A,COMISIONES!C21)</f>
        <v>2</v>
      </c>
      <c r="AH21" s="211">
        <f t="shared" si="10"/>
        <v>6.6666666666666666E-2</v>
      </c>
      <c r="AI21" s="150">
        <f>+IFERROR(IF((AG21/H21)&gt;='PUNTOS 2021'!$Q$8,1,0),0)</f>
        <v>1</v>
      </c>
      <c r="AJ21" s="26">
        <f>+COUNTIF(KASH!A:A,COMISIONES!C21)</f>
        <v>4</v>
      </c>
      <c r="AK21" s="211">
        <f>+IFERROR(AJ21/'PUNTOS 2021'!$Q$12,0)</f>
        <v>0.5714285714285714</v>
      </c>
      <c r="AL21" s="26">
        <f t="shared" si="2"/>
        <v>0</v>
      </c>
      <c r="AM21" s="28">
        <f t="shared" si="3"/>
        <v>2</v>
      </c>
      <c r="AN21" s="26" t="str">
        <f>+VLOOKUP(AM21,'PUNTOS 2021'!$P$15:$Q$20,2,0)</f>
        <v>SEMI SENIOR</v>
      </c>
      <c r="AO21" s="38">
        <f>IFERROR(VLOOKUP(_xlfn.CONCAT(E21,U21,AN21),'PUNTOS 2021'!$L:$M,2,0),0)</f>
        <v>60</v>
      </c>
      <c r="AP21" s="38">
        <f>+VLOOKUP(_xlfn.CONCAT(AP$1,$AN21),'PUNTOS 2021'!$R$22:$S$51,2,0)</f>
        <v>30</v>
      </c>
      <c r="AQ21" s="38">
        <f>+VLOOKUP(_xlfn.CONCAT(AQ$1,$AN21),'PUNTOS 2021'!$R$22:$S$51,2,0)</f>
        <v>45</v>
      </c>
      <c r="AR21" s="38">
        <f>+VLOOKUP(_xlfn.CONCAT(AR$1,$AN21),'PUNTOS 2021'!$R$22:$S$51,2,0)</f>
        <v>15</v>
      </c>
      <c r="AS21" s="38">
        <f>+VLOOKUP(_xlfn.CONCAT(AS$1,$AN21),'PUNTOS 2021'!$R$22:$S$51,2,0)</f>
        <v>15</v>
      </c>
      <c r="AT21" s="38">
        <f>+VLOOKUP(_xlfn.CONCAT(AT$1,$AN21),'PUNTOS 2021'!$R$22:$S$51,2,0)</f>
        <v>5</v>
      </c>
      <c r="AU21" s="39">
        <f t="shared" si="4"/>
        <v>8700</v>
      </c>
      <c r="AV21" s="39">
        <f t="shared" si="5"/>
        <v>905</v>
      </c>
      <c r="AW21" s="39">
        <f t="shared" si="6"/>
        <v>9605</v>
      </c>
      <c r="AX21" s="37">
        <v>0</v>
      </c>
      <c r="AY21" s="37">
        <f>+SUMIFS('DESC TC'!$B:$B,'DESC TC'!$A:$A,COMISIONES!C:C,'DESC TC'!$L:$L,"Primera")</f>
        <v>0</v>
      </c>
      <c r="AZ21" s="37">
        <f>+SUMIFS('DESC TC'!$B:$B,'DESC TC'!$A:$A,COMISIONES!C:C,'DESC TC'!$L:$L,"Segunda")</f>
        <v>0</v>
      </c>
      <c r="BA21" s="37">
        <f ca="1">+SUMIF('DESC ADICIONALES'!$A:$B,COMISIONES!$C:$C,'DESC ADICIONALES'!$B:$B)</f>
        <v>0</v>
      </c>
      <c r="BB21" s="37">
        <f>+SUMIF('DESC PRF'!A:A,COMISIONES!C21,'DESC PRF'!J:J)</f>
        <v>0</v>
      </c>
      <c r="BC21" s="39">
        <f t="shared" ca="1" si="11"/>
        <v>9605</v>
      </c>
      <c r="BE21" s="210"/>
    </row>
    <row r="22" spans="1:57">
      <c r="A22" t="s">
        <v>392</v>
      </c>
      <c r="B22" s="116" t="s">
        <v>78</v>
      </c>
      <c r="C22" s="116">
        <v>20008711</v>
      </c>
      <c r="D22" s="113" t="s">
        <v>21</v>
      </c>
      <c r="E22" s="116" t="s">
        <v>40</v>
      </c>
      <c r="F22" s="113" t="s">
        <v>50</v>
      </c>
      <c r="G22" s="113" t="s">
        <v>132</v>
      </c>
      <c r="H22" s="234">
        <v>30</v>
      </c>
      <c r="I22" s="234">
        <v>21</v>
      </c>
      <c r="J22" s="26">
        <f>+COUNTIFS(TC!Q:Q,COMISIONES!C22)</f>
        <v>26</v>
      </c>
      <c r="K22" s="26">
        <f>+COUNTIFS(TC!Q:Q,COMISIONES!C22,TC!H:H,COMISIONES!$K$1)</f>
        <v>18</v>
      </c>
      <c r="L22" s="26">
        <f>+COUNTIFS(TC!Q:Q,COMISIONES!C22,TC!H:H,COMISIONES!$L$1)</f>
        <v>7</v>
      </c>
      <c r="M22" s="27">
        <f t="shared" si="0"/>
        <v>0.69230769230769229</v>
      </c>
      <c r="N22" s="26">
        <f>+COUNTIFS(TC!Q:Q,COMISIONES!C22,TC!G:G,COMISIONES!$N$1)</f>
        <v>6</v>
      </c>
      <c r="O22" s="26">
        <f>+COUNTIFS(TC!Q:Q,COMISIONES!C22,TC!G:G,COMISIONES!$O$1)</f>
        <v>7</v>
      </c>
      <c r="P22" s="26">
        <f>+COUNTIFS(TC!Q:Q,COMISIONES!C22,TC!G:G,COMISIONES!$P$1)</f>
        <v>13</v>
      </c>
      <c r="Q22" s="26">
        <f>+COUNTIFS(TC!Q:Q,COMISIONES!C22,TC!G:G,COMISIONES!$Q$1)</f>
        <v>0</v>
      </c>
      <c r="R22" s="26">
        <f>+SUMIFS(TC!W:W,TC!Q:Q,COMISIONES!C22,TC!H:H,COMISIONES!$K$1)</f>
        <v>104</v>
      </c>
      <c r="S22" s="26">
        <f>+SUMIFS(TC!W:W,TC!Q:Q,COMISIONES!C22,TC!H:H,COMISIONES!$L$1)</f>
        <v>3.5</v>
      </c>
      <c r="T22" s="261">
        <f t="shared" si="1"/>
        <v>107.5</v>
      </c>
      <c r="U22" s="40" t="str">
        <f>+VLOOKUP(T22,'PUNTOS 2021'!$A$4:$C$8,3,1)</f>
        <v>PREMIUM</v>
      </c>
      <c r="V22" s="26">
        <f>+COUNTIF(ADICIONALES!A:A,COMISIONES!C22)</f>
        <v>4</v>
      </c>
      <c r="W22" s="211">
        <f t="shared" si="7"/>
        <v>0.13333333333333333</v>
      </c>
      <c r="X22" s="150">
        <f>+IFERROR(IF((V22/H22)&gt;='PUNTOS 2021'!$Q$6,1,0),0)</f>
        <v>1</v>
      </c>
      <c r="Y22" s="26">
        <f>+COUNTIF(PRF!A:A,COMISIONES!C22)</f>
        <v>9</v>
      </c>
      <c r="Z22" s="211">
        <f t="shared" si="8"/>
        <v>0.3</v>
      </c>
      <c r="AA22" s="150">
        <f>+IFERROR(IF((Y22/H22)&gt;='PUNTOS 2021'!$Q$5,1,0),0)</f>
        <v>0</v>
      </c>
      <c r="AB22" s="26">
        <v>0</v>
      </c>
      <c r="AC22" s="26">
        <f>+COUNTIF(COMPASS!A:A,COMISIONES!C22)</f>
        <v>20</v>
      </c>
      <c r="AD22" s="217">
        <f>+SUMIFS(COMPASS!O:O,COMPASS!A:A,COMISIONES!C22)</f>
        <v>315</v>
      </c>
      <c r="AE22" s="211">
        <f t="shared" si="9"/>
        <v>0.66666666666666663</v>
      </c>
      <c r="AF22" s="150">
        <f>+IFERROR(IF((AC22/H22)&gt;='PUNTOS 2021'!$Q$7,1,0),0)</f>
        <v>1</v>
      </c>
      <c r="AG22" s="26">
        <f>+COUNTIF(CUENTAS!A:A,COMISIONES!C22)</f>
        <v>0</v>
      </c>
      <c r="AH22" s="211">
        <f t="shared" si="10"/>
        <v>0</v>
      </c>
      <c r="AI22" s="150">
        <f>+IFERROR(IF((AG22/H22)&gt;='PUNTOS 2021'!$Q$8,1,0),0)</f>
        <v>0</v>
      </c>
      <c r="AJ22" s="26">
        <f>+COUNTIF(KASH!A:A,COMISIONES!C22)</f>
        <v>0</v>
      </c>
      <c r="AK22" s="211">
        <f>+IFERROR(AJ22/'PUNTOS 2021'!$Q$12,0)</f>
        <v>0</v>
      </c>
      <c r="AL22" s="26">
        <f t="shared" si="2"/>
        <v>0</v>
      </c>
      <c r="AM22" s="28">
        <f t="shared" si="3"/>
        <v>2</v>
      </c>
      <c r="AN22" s="26" t="str">
        <f>+VLOOKUP(AM22,'PUNTOS 2021'!$P$15:$Q$20,2,0)</f>
        <v>SEMI SENIOR</v>
      </c>
      <c r="AO22" s="38">
        <f>IFERROR(VLOOKUP(_xlfn.CONCAT(E22,U22,AN22),'PUNTOS 2021'!$L:$M,2,0),0)</f>
        <v>60</v>
      </c>
      <c r="AP22" s="38">
        <f>+VLOOKUP(_xlfn.CONCAT(AP$1,$AN22),'PUNTOS 2021'!$R$22:$S$51,2,0)</f>
        <v>30</v>
      </c>
      <c r="AQ22" s="38">
        <f>+VLOOKUP(_xlfn.CONCAT(AQ$1,$AN22),'PUNTOS 2021'!$R$22:$S$51,2,0)</f>
        <v>45</v>
      </c>
      <c r="AR22" s="38">
        <f>+VLOOKUP(_xlfn.CONCAT(AR$1,$AN22),'PUNTOS 2021'!$R$22:$S$51,2,0)</f>
        <v>15</v>
      </c>
      <c r="AS22" s="38">
        <f>+VLOOKUP(_xlfn.CONCAT(AS$1,$AN22),'PUNTOS 2021'!$R$22:$S$51,2,0)</f>
        <v>15</v>
      </c>
      <c r="AT22" s="38">
        <f>+VLOOKUP(_xlfn.CONCAT(AT$1,$AN22),'PUNTOS 2021'!$R$22:$S$51,2,0)</f>
        <v>5</v>
      </c>
      <c r="AU22" s="39">
        <f t="shared" si="4"/>
        <v>6450</v>
      </c>
      <c r="AV22" s="39">
        <f t="shared" si="5"/>
        <v>840</v>
      </c>
      <c r="AW22" s="39">
        <f t="shared" si="6"/>
        <v>7290</v>
      </c>
      <c r="AX22" s="37">
        <v>0</v>
      </c>
      <c r="AY22" s="37">
        <f>+SUMIFS('DESC TC'!$B:$B,'DESC TC'!$A:$A,COMISIONES!C:C,'DESC TC'!$L:$L,"Primera")</f>
        <v>0</v>
      </c>
      <c r="AZ22" s="37">
        <f>+SUMIFS('DESC TC'!$B:$B,'DESC TC'!$A:$A,COMISIONES!C:C,'DESC TC'!$L:$L,"Segunda")</f>
        <v>0</v>
      </c>
      <c r="BA22" s="37">
        <f ca="1">+SUMIF('DESC ADICIONALES'!$A:$B,COMISIONES!$C:$C,'DESC ADICIONALES'!$B:$B)</f>
        <v>20</v>
      </c>
      <c r="BB22" s="37">
        <f>+SUMIF('DESC PRF'!A:A,COMISIONES!C22,'DESC PRF'!J:J)</f>
        <v>0</v>
      </c>
      <c r="BC22" s="39">
        <f t="shared" ca="1" si="11"/>
        <v>7270</v>
      </c>
      <c r="BE22" s="210"/>
    </row>
    <row r="23" spans="1:57">
      <c r="A23" t="s">
        <v>392</v>
      </c>
      <c r="B23" s="116" t="s">
        <v>78</v>
      </c>
      <c r="C23" s="116">
        <v>20010604</v>
      </c>
      <c r="D23" s="113" t="s">
        <v>389</v>
      </c>
      <c r="E23" s="116" t="s">
        <v>40</v>
      </c>
      <c r="F23" s="113" t="s">
        <v>50</v>
      </c>
      <c r="G23" s="113" t="s">
        <v>132</v>
      </c>
      <c r="H23" s="234">
        <v>30</v>
      </c>
      <c r="I23" s="234">
        <v>21</v>
      </c>
      <c r="J23" s="26">
        <f>+COUNTIFS(TC!Q:Q,COMISIONES!C23)</f>
        <v>13</v>
      </c>
      <c r="K23" s="26">
        <f>+COUNTIFS(TC!Q:Q,COMISIONES!C23,TC!H:H,COMISIONES!$K$1)</f>
        <v>12</v>
      </c>
      <c r="L23" s="26">
        <f>+COUNTIFS(TC!Q:Q,COMISIONES!C23,TC!H:H,COMISIONES!$L$1)</f>
        <v>1</v>
      </c>
      <c r="M23" s="27">
        <f t="shared" ref="M23" si="40">+IFERROR(K23/J23,0)</f>
        <v>0.92307692307692313</v>
      </c>
      <c r="N23" s="26">
        <f>+COUNTIFS(TC!Q:Q,COMISIONES!C23,TC!G:G,COMISIONES!$N$1)</f>
        <v>2</v>
      </c>
      <c r="O23" s="26">
        <f>+COUNTIFS(TC!Q:Q,COMISIONES!C23,TC!G:G,COMISIONES!$O$1)</f>
        <v>7</v>
      </c>
      <c r="P23" s="26">
        <f>+COUNTIFS(TC!Q:Q,COMISIONES!C23,TC!G:G,COMISIONES!$P$1)</f>
        <v>4</v>
      </c>
      <c r="Q23" s="26">
        <f>+COUNTIFS(TC!Q:Q,COMISIONES!C23,TC!G:G,COMISIONES!$Q$1)</f>
        <v>0</v>
      </c>
      <c r="R23" s="26">
        <f>+SUMIFS(TC!W:W,TC!Q:Q,COMISIONES!C23,TC!H:H,COMISIONES!$K$1)</f>
        <v>66</v>
      </c>
      <c r="S23" s="26">
        <f>+SUMIFS(TC!W:W,TC!Q:Q,COMISIONES!C23,TC!H:H,COMISIONES!$L$1)</f>
        <v>0.5</v>
      </c>
      <c r="T23" s="261">
        <f t="shared" ref="T23" si="41">+SUM(R23:S23)</f>
        <v>66.5</v>
      </c>
      <c r="U23" s="40" t="str">
        <f>+VLOOKUP(T23,'PUNTOS 2021'!$A$4:$C$8,3,1)</f>
        <v>SENIOR</v>
      </c>
      <c r="V23" s="26">
        <f>+COUNTIF(ADICIONALES!A:A,COMISIONES!C23)</f>
        <v>0</v>
      </c>
      <c r="W23" s="211">
        <f t="shared" ref="W23" si="42">+IFERROR(V23/H23,0)</f>
        <v>0</v>
      </c>
      <c r="X23" s="150">
        <f>+IFERROR(IF((V23/H23)&gt;='PUNTOS 2021'!$Q$6,1,0),0)</f>
        <v>0</v>
      </c>
      <c r="Y23" s="26">
        <f>+COUNTIF(PRF!A:A,COMISIONES!C23)</f>
        <v>7</v>
      </c>
      <c r="Z23" s="211">
        <f t="shared" ref="Z23" si="43">+IFERROR(Y23/H23,0)</f>
        <v>0.23333333333333334</v>
      </c>
      <c r="AA23" s="150">
        <f>+IFERROR(IF((Y23/H23)&gt;='PUNTOS 2021'!$Q$5,1,0),0)</f>
        <v>0</v>
      </c>
      <c r="AB23" s="26">
        <v>0</v>
      </c>
      <c r="AC23" s="26">
        <f>+COUNTIF(COMPASS!A:A,COMISIONES!C23)</f>
        <v>12</v>
      </c>
      <c r="AD23" s="217">
        <f>+SUMIFS(COMPASS!O:O,COMPASS!A:A,COMISIONES!C23)</f>
        <v>130</v>
      </c>
      <c r="AE23" s="211">
        <f t="shared" ref="AE23" si="44">+IFERROR(AC23/H23,0)</f>
        <v>0.4</v>
      </c>
      <c r="AF23" s="150">
        <f>+IFERROR(IF((AC23/H23)&gt;='PUNTOS 2021'!$Q$7,1,0),0)</f>
        <v>1</v>
      </c>
      <c r="AG23" s="26">
        <f>+COUNTIF(CUENTAS!A:A,COMISIONES!C23)</f>
        <v>0</v>
      </c>
      <c r="AH23" s="211">
        <f t="shared" ref="AH23" si="45">+IFERROR(AG23/H23,0)</f>
        <v>0</v>
      </c>
      <c r="AI23" s="150">
        <f>+IFERROR(IF((AG23/H23)&gt;='PUNTOS 2021'!$Q$8,1,0),0)</f>
        <v>0</v>
      </c>
      <c r="AJ23" s="26">
        <f>+COUNTIF(KASH!A:A,COMISIONES!C23)</f>
        <v>0</v>
      </c>
      <c r="AK23" s="211">
        <f>+IFERROR(AJ23/'PUNTOS 2021'!$Q$12,0)</f>
        <v>0</v>
      </c>
      <c r="AL23" s="26">
        <f t="shared" ref="AL23" si="46">+IF(AJ23&gt;=7,1,0)</f>
        <v>0</v>
      </c>
      <c r="AM23" s="28">
        <f t="shared" ref="AM23" si="47">+SUM(X23,AA23,AF23,AI23,AL23)</f>
        <v>1</v>
      </c>
      <c r="AN23" s="26" t="str">
        <f>+VLOOKUP(AM23,'PUNTOS 2021'!$P$15:$Q$20,2,0)</f>
        <v>NOVATO</v>
      </c>
      <c r="AO23" s="38">
        <f>IFERROR(VLOOKUP(_xlfn.CONCAT(E23,U23,AN23),'PUNTOS 2021'!$L:$M,2,0),0)</f>
        <v>40</v>
      </c>
      <c r="AP23" s="38">
        <f>+VLOOKUP(_xlfn.CONCAT(AP$1,$AN23),'PUNTOS 2021'!$R$22:$S$51,2,0)</f>
        <v>20</v>
      </c>
      <c r="AQ23" s="38">
        <f>+VLOOKUP(_xlfn.CONCAT(AQ$1,$AN23),'PUNTOS 2021'!$R$22:$S$51,2,0)</f>
        <v>30</v>
      </c>
      <c r="AR23" s="38">
        <f>+VLOOKUP(_xlfn.CONCAT(AR$1,$AN23),'PUNTOS 2021'!$R$22:$S$51,2,0)</f>
        <v>10</v>
      </c>
      <c r="AS23" s="38">
        <f>+VLOOKUP(_xlfn.CONCAT(AS$1,$AN23),'PUNTOS 2021'!$R$22:$S$51,2,0)</f>
        <v>10</v>
      </c>
      <c r="AT23" s="38">
        <f>+VLOOKUP(_xlfn.CONCAT(AT$1,$AN23),'PUNTOS 2021'!$R$22:$S$51,2,0)</f>
        <v>5</v>
      </c>
      <c r="AU23" s="39">
        <f t="shared" ref="AU23" si="48">(AO23*T23)</f>
        <v>2660</v>
      </c>
      <c r="AV23" s="39">
        <f t="shared" ref="AV23" si="49">+(V23*AP23)+(Y23*AQ23)+(AD23)+(AG23*AS23)+(AJ23*AT23)</f>
        <v>340</v>
      </c>
      <c r="AW23" s="39">
        <f t="shared" ref="AW23" si="50">+AU23+AV23</f>
        <v>3000</v>
      </c>
      <c r="AX23" s="37">
        <v>0</v>
      </c>
      <c r="AY23" s="37">
        <f>+SUMIFS('DESC TC'!$B:$B,'DESC TC'!$A:$A,COMISIONES!C:C,'DESC TC'!$L:$L,"Primera")</f>
        <v>0</v>
      </c>
      <c r="AZ23" s="37">
        <f>+SUMIFS('DESC TC'!$B:$B,'DESC TC'!$A:$A,COMISIONES!C:C,'DESC TC'!$L:$L,"Segunda")</f>
        <v>0</v>
      </c>
      <c r="BA23" s="37">
        <f ca="1">+SUMIF('DESC ADICIONALES'!$A:$B,COMISIONES!$C:$C,'DESC ADICIONALES'!$B:$B)</f>
        <v>0</v>
      </c>
      <c r="BB23" s="37">
        <f>+SUMIF('DESC PRF'!A:A,COMISIONES!C23,'DESC PRF'!J:J)</f>
        <v>0</v>
      </c>
      <c r="BC23" s="39">
        <f t="shared" ca="1" si="11"/>
        <v>3000</v>
      </c>
      <c r="BE23" s="210"/>
    </row>
    <row r="24" spans="1:57">
      <c r="A24" t="s">
        <v>392</v>
      </c>
      <c r="B24" s="116" t="s">
        <v>78</v>
      </c>
      <c r="C24" s="116">
        <v>20008700</v>
      </c>
      <c r="D24" s="113" t="s">
        <v>20</v>
      </c>
      <c r="E24" s="116" t="s">
        <v>40</v>
      </c>
      <c r="F24" s="113" t="s">
        <v>50</v>
      </c>
      <c r="G24" s="113" t="s">
        <v>132</v>
      </c>
      <c r="H24" s="234">
        <v>30</v>
      </c>
      <c r="I24" s="234">
        <v>21</v>
      </c>
      <c r="J24" s="26">
        <f>+COUNTIFS(TC!Q:Q,COMISIONES!C24)</f>
        <v>17</v>
      </c>
      <c r="K24" s="26">
        <f>+COUNTIFS(TC!Q:Q,COMISIONES!C24,TC!H:H,COMISIONES!$K$1)</f>
        <v>15</v>
      </c>
      <c r="L24" s="26">
        <f>+COUNTIFS(TC!Q:Q,COMISIONES!C24,TC!H:H,COMISIONES!$L$1)</f>
        <v>1</v>
      </c>
      <c r="M24" s="27">
        <f t="shared" si="0"/>
        <v>0.88235294117647056</v>
      </c>
      <c r="N24" s="26">
        <f>+COUNTIFS(TC!Q:Q,COMISIONES!C24,TC!G:G,COMISIONES!$N$1)</f>
        <v>3</v>
      </c>
      <c r="O24" s="26">
        <f>+COUNTIFS(TC!Q:Q,COMISIONES!C24,TC!G:G,COMISIONES!$O$1)</f>
        <v>4</v>
      </c>
      <c r="P24" s="26">
        <f>+COUNTIFS(TC!Q:Q,COMISIONES!C24,TC!G:G,COMISIONES!$P$1)</f>
        <v>10</v>
      </c>
      <c r="Q24" s="26">
        <f>+COUNTIFS(TC!Q:Q,COMISIONES!C24,TC!G:G,COMISIONES!$Q$1)</f>
        <v>0</v>
      </c>
      <c r="R24" s="26">
        <f>+SUMIFS(TC!W:W,TC!Q:Q,COMISIONES!C24,TC!H:H,COMISIONES!$K$1)</f>
        <v>85</v>
      </c>
      <c r="S24" s="26">
        <f>+SUMIFS(TC!W:W,TC!Q:Q,COMISIONES!C24,TC!H:H,COMISIONES!$L$1)</f>
        <v>0.5</v>
      </c>
      <c r="T24" s="261">
        <f t="shared" si="1"/>
        <v>85.5</v>
      </c>
      <c r="U24" s="40" t="str">
        <f>+VLOOKUP(T24,'PUNTOS 2021'!$A$4:$C$8,3,1)</f>
        <v>SENIOR</v>
      </c>
      <c r="V24" s="26">
        <f>+COUNTIF(ADICIONALES!A:A,COMISIONES!C24)</f>
        <v>3</v>
      </c>
      <c r="W24" s="211">
        <f t="shared" si="7"/>
        <v>0.1</v>
      </c>
      <c r="X24" s="150">
        <f>+IFERROR(IF((V24/H24)&gt;='PUNTOS 2021'!$Q$6,1,0),0)</f>
        <v>0</v>
      </c>
      <c r="Y24" s="26">
        <f>+COUNTIF(PRF!A:A,COMISIONES!C24)</f>
        <v>2</v>
      </c>
      <c r="Z24" s="211">
        <f t="shared" si="8"/>
        <v>6.6666666666666666E-2</v>
      </c>
      <c r="AA24" s="150">
        <f>+IFERROR(IF((Y24/H24)&gt;='PUNTOS 2021'!$Q$5,1,0),0)</f>
        <v>0</v>
      </c>
      <c r="AB24" s="26">
        <v>0</v>
      </c>
      <c r="AC24" s="26">
        <f>+COUNTIF(COMPASS!A:A,COMISIONES!C24)</f>
        <v>9</v>
      </c>
      <c r="AD24" s="217">
        <f>+SUMIFS(COMPASS!O:O,COMPASS!A:A,COMISIONES!C24)</f>
        <v>100</v>
      </c>
      <c r="AE24" s="211">
        <f t="shared" si="9"/>
        <v>0.3</v>
      </c>
      <c r="AF24" s="150">
        <f>+IFERROR(IF((AC24/H24)&gt;='PUNTOS 2021'!$Q$7,1,0),0)</f>
        <v>1</v>
      </c>
      <c r="AG24" s="26">
        <f>+COUNTIF(CUENTAS!A:A,COMISIONES!C24)</f>
        <v>0</v>
      </c>
      <c r="AH24" s="211">
        <f t="shared" si="10"/>
        <v>0</v>
      </c>
      <c r="AI24" s="150">
        <f>+IFERROR(IF((AG24/H24)&gt;='PUNTOS 2021'!$Q$8,1,0),0)</f>
        <v>0</v>
      </c>
      <c r="AJ24" s="26">
        <f>+COUNTIF(KASH!A:A,COMISIONES!C24)</f>
        <v>0</v>
      </c>
      <c r="AK24" s="211">
        <f>+IFERROR(AJ24/'PUNTOS 2021'!$Q$12,0)</f>
        <v>0</v>
      </c>
      <c r="AL24" s="26">
        <f t="shared" si="2"/>
        <v>0</v>
      </c>
      <c r="AM24" s="28">
        <f t="shared" si="3"/>
        <v>1</v>
      </c>
      <c r="AN24" s="26" t="str">
        <f>+VLOOKUP(AM24,'PUNTOS 2021'!$P$15:$Q$20,2,0)</f>
        <v>NOVATO</v>
      </c>
      <c r="AO24" s="38">
        <f>IFERROR(VLOOKUP(_xlfn.CONCAT(E24,U24,AN24),'PUNTOS 2021'!$L:$M,2,0),0)</f>
        <v>40</v>
      </c>
      <c r="AP24" s="38">
        <f>+VLOOKUP(_xlfn.CONCAT(AP$1,$AN24),'PUNTOS 2021'!$R$22:$S$51,2,0)</f>
        <v>20</v>
      </c>
      <c r="AQ24" s="38">
        <f>+VLOOKUP(_xlfn.CONCAT(AQ$1,$AN24),'PUNTOS 2021'!$R$22:$S$51,2,0)</f>
        <v>30</v>
      </c>
      <c r="AR24" s="38">
        <f>+VLOOKUP(_xlfn.CONCAT(AR$1,$AN24),'PUNTOS 2021'!$R$22:$S$51,2,0)</f>
        <v>10</v>
      </c>
      <c r="AS24" s="38">
        <f>+VLOOKUP(_xlfn.CONCAT(AS$1,$AN24),'PUNTOS 2021'!$R$22:$S$51,2,0)</f>
        <v>10</v>
      </c>
      <c r="AT24" s="38">
        <f>+VLOOKUP(_xlfn.CONCAT(AT$1,$AN24),'PUNTOS 2021'!$R$22:$S$51,2,0)</f>
        <v>5</v>
      </c>
      <c r="AU24" s="39">
        <f t="shared" si="4"/>
        <v>3420</v>
      </c>
      <c r="AV24" s="39">
        <f t="shared" si="5"/>
        <v>220</v>
      </c>
      <c r="AW24" s="39">
        <f t="shared" si="6"/>
        <v>3640</v>
      </c>
      <c r="AX24" s="37">
        <v>0</v>
      </c>
      <c r="AY24" s="37">
        <f>+SUMIFS('DESC TC'!$B:$B,'DESC TC'!$A:$A,COMISIONES!C:C,'DESC TC'!$L:$L,"Primera")</f>
        <v>0</v>
      </c>
      <c r="AZ24" s="37">
        <f>+SUMIFS('DESC TC'!$B:$B,'DESC TC'!$A:$A,COMISIONES!C:C,'DESC TC'!$L:$L,"Segunda")</f>
        <v>60</v>
      </c>
      <c r="BA24" s="37">
        <f ca="1">+SUMIF('DESC ADICIONALES'!$A:$B,COMISIONES!$C:$C,'DESC ADICIONALES'!$B:$B)</f>
        <v>0</v>
      </c>
      <c r="BB24" s="37">
        <f>+SUMIF('DESC PRF'!A:A,COMISIONES!C24,'DESC PRF'!J:J)</f>
        <v>0</v>
      </c>
      <c r="BC24" s="39">
        <f t="shared" ca="1" si="11"/>
        <v>3580</v>
      </c>
      <c r="BE24" s="210"/>
    </row>
    <row r="25" spans="1:57">
      <c r="A25" t="s">
        <v>392</v>
      </c>
      <c r="B25" s="116" t="s">
        <v>78</v>
      </c>
      <c r="C25" s="116">
        <v>20006162</v>
      </c>
      <c r="D25" s="113" t="s">
        <v>158</v>
      </c>
      <c r="E25" s="116" t="s">
        <v>40</v>
      </c>
      <c r="F25" s="113" t="s">
        <v>50</v>
      </c>
      <c r="G25" s="113" t="s">
        <v>132</v>
      </c>
      <c r="H25" s="234">
        <v>30</v>
      </c>
      <c r="I25" s="234">
        <v>21</v>
      </c>
      <c r="J25" s="26">
        <f>+COUNTIFS(TC!Q:Q,COMISIONES!C25)</f>
        <v>25</v>
      </c>
      <c r="K25" s="26">
        <f>+COUNTIFS(TC!Q:Q,COMISIONES!C25,TC!H:H,COMISIONES!$K$1)</f>
        <v>20</v>
      </c>
      <c r="L25" s="26">
        <f>+COUNTIFS(TC!Q:Q,COMISIONES!C25,TC!H:H,COMISIONES!$L$1)</f>
        <v>5</v>
      </c>
      <c r="M25" s="27">
        <f t="shared" si="0"/>
        <v>0.8</v>
      </c>
      <c r="N25" s="26">
        <f>+COUNTIFS(TC!Q:Q,COMISIONES!C25,TC!G:G,COMISIONES!$N$1)</f>
        <v>6</v>
      </c>
      <c r="O25" s="26">
        <f>+COUNTIFS(TC!Q:Q,COMISIONES!C25,TC!G:G,COMISIONES!$O$1)</f>
        <v>9</v>
      </c>
      <c r="P25" s="26">
        <f>+COUNTIFS(TC!Q:Q,COMISIONES!C25,TC!G:G,COMISIONES!$P$1)</f>
        <v>10</v>
      </c>
      <c r="Q25" s="26">
        <f>+COUNTIFS(TC!Q:Q,COMISIONES!C25,TC!G:G,COMISIONES!$Q$1)</f>
        <v>0</v>
      </c>
      <c r="R25" s="26">
        <f>+SUMIFS(TC!W:W,TC!Q:Q,COMISIONES!C25,TC!H:H,COMISIONES!$K$1)</f>
        <v>110</v>
      </c>
      <c r="S25" s="26">
        <f>+SUMIFS(TC!W:W,TC!Q:Q,COMISIONES!C25,TC!H:H,COMISIONES!$L$1)</f>
        <v>2.5</v>
      </c>
      <c r="T25" s="261">
        <f t="shared" si="1"/>
        <v>112.5</v>
      </c>
      <c r="U25" s="40" t="str">
        <f>+VLOOKUP(T25,'PUNTOS 2021'!$A$4:$C$8,3,1)</f>
        <v>PREMIUM</v>
      </c>
      <c r="V25" s="26">
        <f>+COUNTIF(ADICIONALES!A:A,COMISIONES!C25)</f>
        <v>4</v>
      </c>
      <c r="W25" s="211">
        <f t="shared" si="7"/>
        <v>0.13333333333333333</v>
      </c>
      <c r="X25" s="150">
        <f>+IFERROR(IF((V25/H25)&gt;='PUNTOS 2021'!$Q$6,1,0),0)</f>
        <v>1</v>
      </c>
      <c r="Y25" s="26">
        <f>+COUNTIF(PRF!A:A,COMISIONES!C25)</f>
        <v>10</v>
      </c>
      <c r="Z25" s="211">
        <f t="shared" si="8"/>
        <v>0.33333333333333331</v>
      </c>
      <c r="AA25" s="150">
        <f>+IFERROR(IF((Y25/H25)&gt;='PUNTOS 2021'!$Q$5,1,0),0)</f>
        <v>0</v>
      </c>
      <c r="AB25" s="26">
        <v>0</v>
      </c>
      <c r="AC25" s="26">
        <f>+COUNTIF(COMPASS!A:A,COMISIONES!C25)</f>
        <v>28</v>
      </c>
      <c r="AD25" s="217">
        <f>+SUMIFS(COMPASS!O:O,COMPASS!A:A,COMISIONES!C25)</f>
        <v>560</v>
      </c>
      <c r="AE25" s="211">
        <f t="shared" si="9"/>
        <v>0.93333333333333335</v>
      </c>
      <c r="AF25" s="150">
        <f>+IFERROR(IF((AC25/H25)&gt;='PUNTOS 2021'!$Q$7,1,0),0)</f>
        <v>1</v>
      </c>
      <c r="AG25" s="26">
        <f>+COUNTIF(CUENTAS!A:A,COMISIONES!C25)</f>
        <v>2</v>
      </c>
      <c r="AH25" s="211">
        <f t="shared" si="10"/>
        <v>6.6666666666666666E-2</v>
      </c>
      <c r="AI25" s="150">
        <f>+IFERROR(IF((AG25/H25)&gt;='PUNTOS 2021'!$Q$8,1,0),0)</f>
        <v>1</v>
      </c>
      <c r="AJ25" s="26">
        <f>+COUNTIF(KASH!A:A,COMISIONES!C25)</f>
        <v>2</v>
      </c>
      <c r="AK25" s="211">
        <f>+IFERROR(AJ25/'PUNTOS 2021'!$Q$12,0)</f>
        <v>0.2857142857142857</v>
      </c>
      <c r="AL25" s="26">
        <f t="shared" si="2"/>
        <v>0</v>
      </c>
      <c r="AM25" s="28">
        <f t="shared" si="3"/>
        <v>3</v>
      </c>
      <c r="AN25" s="26" t="str">
        <f>+VLOOKUP(AM25,'PUNTOS 2021'!$P$15:$Q$20,2,0)</f>
        <v>SENIOR</v>
      </c>
      <c r="AO25" s="38">
        <f>IFERROR(VLOOKUP(_xlfn.CONCAT(E25,U25,AN25),'PUNTOS 2021'!$L:$M,2,0),0)</f>
        <v>60</v>
      </c>
      <c r="AP25" s="38">
        <f>+VLOOKUP(_xlfn.CONCAT(AP$1,$AN25),'PUNTOS 2021'!$R$22:$S$51,2,0)</f>
        <v>40</v>
      </c>
      <c r="AQ25" s="38">
        <f>+VLOOKUP(_xlfn.CONCAT(AQ$1,$AN25),'PUNTOS 2021'!$R$22:$S$51,2,0)</f>
        <v>60</v>
      </c>
      <c r="AR25" s="38">
        <f>+VLOOKUP(_xlfn.CONCAT(AR$1,$AN25),'PUNTOS 2021'!$R$22:$S$51,2,0)</f>
        <v>20</v>
      </c>
      <c r="AS25" s="38">
        <f>+VLOOKUP(_xlfn.CONCAT(AS$1,$AN25),'PUNTOS 2021'!$R$22:$S$51,2,0)</f>
        <v>20</v>
      </c>
      <c r="AT25" s="38">
        <f>+VLOOKUP(_xlfn.CONCAT(AT$1,$AN25),'PUNTOS 2021'!$R$22:$S$51,2,0)</f>
        <v>5</v>
      </c>
      <c r="AU25" s="39">
        <f t="shared" si="4"/>
        <v>6750</v>
      </c>
      <c r="AV25" s="39">
        <f t="shared" si="5"/>
        <v>1370</v>
      </c>
      <c r="AW25" s="39">
        <f t="shared" si="6"/>
        <v>8120</v>
      </c>
      <c r="AX25" s="37">
        <v>0</v>
      </c>
      <c r="AY25" s="37">
        <f>+SUMIFS('DESC TC'!$B:$B,'DESC TC'!$A:$A,COMISIONES!C:C,'DESC TC'!$L:$L,"Primera")</f>
        <v>195</v>
      </c>
      <c r="AZ25" s="37">
        <f>+SUMIFS('DESC TC'!$B:$B,'DESC TC'!$A:$A,COMISIONES!C:C,'DESC TC'!$L:$L,"Segunda")</f>
        <v>120</v>
      </c>
      <c r="BA25" s="37">
        <f ca="1">+SUMIF('DESC ADICIONALES'!$A:$B,COMISIONES!$C:$C,'DESC ADICIONALES'!$B:$B)</f>
        <v>0</v>
      </c>
      <c r="BB25" s="37">
        <f>+SUMIF('DESC PRF'!A:A,COMISIONES!C25,'DESC PRF'!J:J)</f>
        <v>0</v>
      </c>
      <c r="BC25" s="39">
        <f t="shared" ca="1" si="11"/>
        <v>7805</v>
      </c>
      <c r="BE25" s="210"/>
    </row>
    <row r="26" spans="1:57">
      <c r="A26" t="s">
        <v>392</v>
      </c>
      <c r="B26" s="116" t="s">
        <v>78</v>
      </c>
      <c r="C26" s="116">
        <v>20006893</v>
      </c>
      <c r="D26" s="113" t="s">
        <v>237</v>
      </c>
      <c r="E26" s="116" t="s">
        <v>40</v>
      </c>
      <c r="F26" s="113" t="s">
        <v>51</v>
      </c>
      <c r="G26" s="113" t="s">
        <v>132</v>
      </c>
      <c r="H26" s="234">
        <v>30</v>
      </c>
      <c r="I26" s="234">
        <v>21</v>
      </c>
      <c r="J26" s="26">
        <f>+COUNTIFS(TC!Q:Q,COMISIONES!C26)</f>
        <v>17</v>
      </c>
      <c r="K26" s="26">
        <f>+COUNTIFS(TC!Q:Q,COMISIONES!C26,TC!H:H,COMISIONES!$K$1)</f>
        <v>16</v>
      </c>
      <c r="L26" s="26">
        <f>+COUNTIFS(TC!Q:Q,COMISIONES!C26,TC!H:H,COMISIONES!$L$1)</f>
        <v>0</v>
      </c>
      <c r="M26" s="27">
        <f t="shared" si="0"/>
        <v>0.94117647058823528</v>
      </c>
      <c r="N26" s="26">
        <f>+COUNTIFS(TC!Q:Q,COMISIONES!C26,TC!G:G,COMISIONES!$N$1)</f>
        <v>5</v>
      </c>
      <c r="O26" s="26">
        <f>+COUNTIFS(TC!Q:Q,COMISIONES!C26,TC!G:G,COMISIONES!$O$1)</f>
        <v>7</v>
      </c>
      <c r="P26" s="26">
        <f>+COUNTIFS(TC!Q:Q,COMISIONES!C26,TC!G:G,COMISIONES!$P$1)</f>
        <v>5</v>
      </c>
      <c r="Q26" s="26">
        <f>+COUNTIFS(TC!Q:Q,COMISIONES!C26,TC!G:G,COMISIONES!$Q$1)</f>
        <v>0</v>
      </c>
      <c r="R26" s="26">
        <f>+SUMIFS(TC!W:W,TC!Q:Q,COMISIONES!C26,TC!H:H,COMISIONES!$K$1)</f>
        <v>78</v>
      </c>
      <c r="S26" s="26">
        <f>+SUMIFS(TC!W:W,TC!Q:Q,COMISIONES!C26,TC!H:H,COMISIONES!$L$1)</f>
        <v>0</v>
      </c>
      <c r="T26" s="261">
        <f t="shared" si="1"/>
        <v>78</v>
      </c>
      <c r="U26" s="40" t="str">
        <f>+VLOOKUP(T26,'PUNTOS 2021'!$A$4:$C$8,3,1)</f>
        <v>SENIOR</v>
      </c>
      <c r="V26" s="26">
        <f>+COUNTIF(ADICIONALES!A:A,COMISIONES!C26)</f>
        <v>1</v>
      </c>
      <c r="W26" s="211">
        <f t="shared" si="7"/>
        <v>3.3333333333333333E-2</v>
      </c>
      <c r="X26" s="150">
        <f>+IFERROR(IF((V26/H26)&gt;='PUNTOS 2021'!$Q$6,1,0),0)</f>
        <v>0</v>
      </c>
      <c r="Y26" s="26">
        <f>+COUNTIF(PRF!A:A,COMISIONES!C26)</f>
        <v>4</v>
      </c>
      <c r="Z26" s="211">
        <f t="shared" si="8"/>
        <v>0.13333333333333333</v>
      </c>
      <c r="AA26" s="150">
        <f>+IFERROR(IF((Y26/H26)&gt;='PUNTOS 2021'!$Q$5,1,0),0)</f>
        <v>0</v>
      </c>
      <c r="AB26" s="26">
        <v>0</v>
      </c>
      <c r="AC26" s="26">
        <f>+COUNTIF(COMPASS!A:A,COMISIONES!C26)</f>
        <v>15</v>
      </c>
      <c r="AD26" s="217">
        <f>+SUMIFS(COMPASS!O:O,COMPASS!A:A,COMISIONES!C26)</f>
        <v>225</v>
      </c>
      <c r="AE26" s="211">
        <f t="shared" si="9"/>
        <v>0.5</v>
      </c>
      <c r="AF26" s="150">
        <f>+IFERROR(IF((AC26/H26)&gt;='PUNTOS 2021'!$Q$7,1,0),0)</f>
        <v>1</v>
      </c>
      <c r="AG26" s="26">
        <f>+COUNTIF(CUENTAS!A:A,COMISIONES!C26)</f>
        <v>2</v>
      </c>
      <c r="AH26" s="211">
        <f t="shared" si="10"/>
        <v>6.6666666666666666E-2</v>
      </c>
      <c r="AI26" s="150">
        <f>+IFERROR(IF((AG26/H26)&gt;='PUNTOS 2021'!$Q$8,1,0),0)</f>
        <v>1</v>
      </c>
      <c r="AJ26" s="26">
        <f>+COUNTIF(KASH!A:A,COMISIONES!C26)</f>
        <v>0</v>
      </c>
      <c r="AK26" s="211">
        <f>+IFERROR(AJ26/'PUNTOS 2021'!$Q$12,0)</f>
        <v>0</v>
      </c>
      <c r="AL26" s="26">
        <f t="shared" si="2"/>
        <v>0</v>
      </c>
      <c r="AM26" s="28">
        <f t="shared" si="3"/>
        <v>2</v>
      </c>
      <c r="AN26" s="26" t="str">
        <f>+VLOOKUP(AM26,'PUNTOS 2021'!$P$15:$Q$20,2,0)</f>
        <v>SEMI SENIOR</v>
      </c>
      <c r="AO26" s="38">
        <f>IFERROR(VLOOKUP(_xlfn.CONCAT(E26,U26,AN26),'PUNTOS 2021'!$L:$M,2,0),0)</f>
        <v>40</v>
      </c>
      <c r="AP26" s="38">
        <f>+VLOOKUP(_xlfn.CONCAT(AP$1,$AN26),'PUNTOS 2021'!$R$22:$S$51,2,0)</f>
        <v>30</v>
      </c>
      <c r="AQ26" s="38">
        <f>+VLOOKUP(_xlfn.CONCAT(AQ$1,$AN26),'PUNTOS 2021'!$R$22:$S$51,2,0)</f>
        <v>45</v>
      </c>
      <c r="AR26" s="38">
        <f>+VLOOKUP(_xlfn.CONCAT(AR$1,$AN26),'PUNTOS 2021'!$R$22:$S$51,2,0)</f>
        <v>15</v>
      </c>
      <c r="AS26" s="38">
        <f>+VLOOKUP(_xlfn.CONCAT(AS$1,$AN26),'PUNTOS 2021'!$R$22:$S$51,2,0)</f>
        <v>15</v>
      </c>
      <c r="AT26" s="38">
        <f>+VLOOKUP(_xlfn.CONCAT(AT$1,$AN26),'PUNTOS 2021'!$R$22:$S$51,2,0)</f>
        <v>5</v>
      </c>
      <c r="AU26" s="39">
        <f t="shared" si="4"/>
        <v>3120</v>
      </c>
      <c r="AV26" s="39">
        <f t="shared" si="5"/>
        <v>465</v>
      </c>
      <c r="AW26" s="39">
        <f t="shared" si="6"/>
        <v>3585</v>
      </c>
      <c r="AX26" s="37">
        <v>0</v>
      </c>
      <c r="AY26" s="37">
        <f>+SUMIFS('DESC TC'!$B:$B,'DESC TC'!$A:$A,COMISIONES!C:C,'DESC TC'!$L:$L,"Primera")</f>
        <v>0</v>
      </c>
      <c r="AZ26" s="37">
        <f>+SUMIFS('DESC TC'!$B:$B,'DESC TC'!$A:$A,COMISIONES!C:C,'DESC TC'!$L:$L,"Segunda")</f>
        <v>0</v>
      </c>
      <c r="BA26" s="37">
        <f ca="1">+SUMIF('DESC ADICIONALES'!$A:$B,COMISIONES!$C:$C,'DESC ADICIONALES'!$B:$B)</f>
        <v>0</v>
      </c>
      <c r="BB26" s="37">
        <f>+SUMIF('DESC PRF'!A:A,COMISIONES!C26,'DESC PRF'!J:J)</f>
        <v>0</v>
      </c>
      <c r="BC26" s="39">
        <f t="shared" ca="1" si="11"/>
        <v>3585</v>
      </c>
      <c r="BE26" s="210"/>
    </row>
    <row r="27" spans="1:57">
      <c r="A27" t="s">
        <v>392</v>
      </c>
      <c r="B27" s="116" t="s">
        <v>78</v>
      </c>
      <c r="C27" s="116">
        <v>20004638</v>
      </c>
      <c r="D27" s="113" t="s">
        <v>9</v>
      </c>
      <c r="E27" s="116" t="s">
        <v>40</v>
      </c>
      <c r="F27" s="113" t="s">
        <v>51</v>
      </c>
      <c r="G27" s="113" t="s">
        <v>132</v>
      </c>
      <c r="H27" s="234">
        <v>30</v>
      </c>
      <c r="I27" s="234">
        <v>21</v>
      </c>
      <c r="J27" s="26">
        <f>+COUNTIFS(TC!Q:Q,COMISIONES!C27)</f>
        <v>26</v>
      </c>
      <c r="K27" s="26">
        <f>+COUNTIFS(TC!Q:Q,COMISIONES!C27,TC!H:H,COMISIONES!$K$1)</f>
        <v>17</v>
      </c>
      <c r="L27" s="26">
        <f>+COUNTIFS(TC!Q:Q,COMISIONES!C27,TC!H:H,COMISIONES!$L$1)</f>
        <v>8</v>
      </c>
      <c r="M27" s="27">
        <f t="shared" si="0"/>
        <v>0.65384615384615385</v>
      </c>
      <c r="N27" s="26">
        <f>+COUNTIFS(TC!Q:Q,COMISIONES!C27,TC!G:G,COMISIONES!$N$1)</f>
        <v>5</v>
      </c>
      <c r="O27" s="26">
        <f>+COUNTIFS(TC!Q:Q,COMISIONES!C27,TC!G:G,COMISIONES!$O$1)</f>
        <v>6</v>
      </c>
      <c r="P27" s="26">
        <f>+COUNTIFS(TC!Q:Q,COMISIONES!C27,TC!G:G,COMISIONES!$P$1)</f>
        <v>15</v>
      </c>
      <c r="Q27" s="26">
        <f>+COUNTIFS(TC!Q:Q,COMISIONES!C27,TC!G:G,COMISIONES!$Q$1)</f>
        <v>0</v>
      </c>
      <c r="R27" s="26">
        <f>+SUMIFS(TC!W:W,TC!Q:Q,COMISIONES!C27,TC!H:H,COMISIONES!$K$1)</f>
        <v>97</v>
      </c>
      <c r="S27" s="26">
        <f>+SUMIFS(TC!W:W,TC!Q:Q,COMISIONES!C27,TC!H:H,COMISIONES!$L$1)</f>
        <v>4</v>
      </c>
      <c r="T27" s="261">
        <f t="shared" si="1"/>
        <v>101</v>
      </c>
      <c r="U27" s="40" t="str">
        <f>+VLOOKUP(T27,'PUNTOS 2021'!$A$4:$C$8,3,1)</f>
        <v>PREMIUM</v>
      </c>
      <c r="V27" s="26">
        <f>+COUNTIF(ADICIONALES!A:A,COMISIONES!C27)</f>
        <v>3</v>
      </c>
      <c r="W27" s="211">
        <f t="shared" si="7"/>
        <v>0.1</v>
      </c>
      <c r="X27" s="150">
        <f>+IFERROR(IF((V27/H27)&gt;='PUNTOS 2021'!$Q$6,1,0),0)</f>
        <v>0</v>
      </c>
      <c r="Y27" s="26">
        <f>+COUNTIF(PRF!A:A,COMISIONES!C27)</f>
        <v>4</v>
      </c>
      <c r="Z27" s="211">
        <f t="shared" si="8"/>
        <v>0.13333333333333333</v>
      </c>
      <c r="AA27" s="150">
        <f>+IFERROR(IF((Y27/H27)&gt;='PUNTOS 2021'!$Q$5,1,0),0)</f>
        <v>0</v>
      </c>
      <c r="AB27" s="26">
        <v>0</v>
      </c>
      <c r="AC27" s="26">
        <f>+COUNTIF(COMPASS!A:A,COMISIONES!C27)</f>
        <v>21</v>
      </c>
      <c r="AD27" s="217">
        <f>+SUMIFS(COMPASS!O:O,COMPASS!A:A,COMISIONES!C27)</f>
        <v>240</v>
      </c>
      <c r="AE27" s="211">
        <f t="shared" si="9"/>
        <v>0.7</v>
      </c>
      <c r="AF27" s="150">
        <f>+IFERROR(IF((AC27/H27)&gt;='PUNTOS 2021'!$Q$7,1,0),0)</f>
        <v>1</v>
      </c>
      <c r="AG27" s="26">
        <f>+COUNTIF(CUENTAS!A:A,COMISIONES!C27)</f>
        <v>1</v>
      </c>
      <c r="AH27" s="211">
        <f t="shared" si="10"/>
        <v>3.3333333333333333E-2</v>
      </c>
      <c r="AI27" s="150">
        <f>+IFERROR(IF((AG27/H27)&gt;='PUNTOS 2021'!$Q$8,1,0),0)</f>
        <v>0</v>
      </c>
      <c r="AJ27" s="26">
        <f>+COUNTIF(KASH!A:A,COMISIONES!C27)</f>
        <v>0</v>
      </c>
      <c r="AK27" s="211">
        <f>+IFERROR(AJ27/'PUNTOS 2021'!$Q$12,0)</f>
        <v>0</v>
      </c>
      <c r="AL27" s="26">
        <f t="shared" si="2"/>
        <v>0</v>
      </c>
      <c r="AM27" s="28">
        <f t="shared" si="3"/>
        <v>1</v>
      </c>
      <c r="AN27" s="26" t="str">
        <f>+VLOOKUP(AM27,'PUNTOS 2021'!$P$15:$Q$20,2,0)</f>
        <v>NOVATO</v>
      </c>
      <c r="AO27" s="38">
        <f>IFERROR(VLOOKUP(_xlfn.CONCAT(E27,U27,AN27),'PUNTOS 2021'!$L:$M,2,0),0)</f>
        <v>60</v>
      </c>
      <c r="AP27" s="38">
        <f>+VLOOKUP(_xlfn.CONCAT(AP$1,$AN27),'PUNTOS 2021'!$R$22:$S$51,2,0)</f>
        <v>20</v>
      </c>
      <c r="AQ27" s="38">
        <f>+VLOOKUP(_xlfn.CONCAT(AQ$1,$AN27),'PUNTOS 2021'!$R$22:$S$51,2,0)</f>
        <v>30</v>
      </c>
      <c r="AR27" s="38">
        <f>+VLOOKUP(_xlfn.CONCAT(AR$1,$AN27),'PUNTOS 2021'!$R$22:$S$51,2,0)</f>
        <v>10</v>
      </c>
      <c r="AS27" s="38">
        <f>+VLOOKUP(_xlfn.CONCAT(AS$1,$AN27),'PUNTOS 2021'!$R$22:$S$51,2,0)</f>
        <v>10</v>
      </c>
      <c r="AT27" s="38">
        <f>+VLOOKUP(_xlfn.CONCAT(AT$1,$AN27),'PUNTOS 2021'!$R$22:$S$51,2,0)</f>
        <v>5</v>
      </c>
      <c r="AU27" s="39">
        <f t="shared" si="4"/>
        <v>6060</v>
      </c>
      <c r="AV27" s="39">
        <f t="shared" si="5"/>
        <v>430</v>
      </c>
      <c r="AW27" s="39">
        <f t="shared" si="6"/>
        <v>6490</v>
      </c>
      <c r="AX27" s="37">
        <v>0</v>
      </c>
      <c r="AY27" s="37">
        <f>+SUMIFS('DESC TC'!$B:$B,'DESC TC'!$A:$A,COMISIONES!C:C,'DESC TC'!$L:$L,"Primera")</f>
        <v>0</v>
      </c>
      <c r="AZ27" s="37">
        <f>+SUMIFS('DESC TC'!$B:$B,'DESC TC'!$A:$A,COMISIONES!C:C,'DESC TC'!$L:$L,"Segunda")</f>
        <v>0</v>
      </c>
      <c r="BA27" s="37">
        <f ca="1">+SUMIF('DESC ADICIONALES'!$A:$B,COMISIONES!$C:$C,'DESC ADICIONALES'!$B:$B)</f>
        <v>0</v>
      </c>
      <c r="BB27" s="37">
        <f>+SUMIF('DESC PRF'!A:A,COMISIONES!C27,'DESC PRF'!J:J)</f>
        <v>0</v>
      </c>
      <c r="BC27" s="39">
        <f t="shared" ca="1" si="11"/>
        <v>6490</v>
      </c>
      <c r="BE27" s="210"/>
    </row>
    <row r="28" spans="1:57">
      <c r="A28" t="s">
        <v>392</v>
      </c>
      <c r="B28" s="116" t="s">
        <v>78</v>
      </c>
      <c r="C28" s="116">
        <v>20000033</v>
      </c>
      <c r="D28" s="113" t="s">
        <v>4</v>
      </c>
      <c r="E28" s="116" t="s">
        <v>40</v>
      </c>
      <c r="F28" s="113" t="s">
        <v>51</v>
      </c>
      <c r="G28" s="113" t="s">
        <v>132</v>
      </c>
      <c r="H28" s="234">
        <v>30</v>
      </c>
      <c r="I28" s="234">
        <v>21</v>
      </c>
      <c r="J28" s="26">
        <f>+COUNTIFS(TC!Q:Q,COMISIONES!C28)</f>
        <v>26</v>
      </c>
      <c r="K28" s="26">
        <f>+COUNTIFS(TC!Q:Q,COMISIONES!C28,TC!H:H,COMISIONES!$K$1)</f>
        <v>21</v>
      </c>
      <c r="L28" s="26">
        <f>+COUNTIFS(TC!Q:Q,COMISIONES!C28,TC!H:H,COMISIONES!$L$1)</f>
        <v>5</v>
      </c>
      <c r="M28" s="27">
        <f t="shared" si="0"/>
        <v>0.80769230769230771</v>
      </c>
      <c r="N28" s="26">
        <f>+COUNTIFS(TC!Q:Q,COMISIONES!C28,TC!G:G,COMISIONES!$N$1)</f>
        <v>10</v>
      </c>
      <c r="O28" s="26">
        <f>+COUNTIFS(TC!Q:Q,COMISIONES!C28,TC!G:G,COMISIONES!$O$1)</f>
        <v>7</v>
      </c>
      <c r="P28" s="26">
        <f>+COUNTIFS(TC!Q:Q,COMISIONES!C28,TC!G:G,COMISIONES!$P$1)</f>
        <v>9</v>
      </c>
      <c r="Q28" s="26">
        <f>+COUNTIFS(TC!Q:Q,COMISIONES!C28,TC!G:G,COMISIONES!$Q$1)</f>
        <v>0</v>
      </c>
      <c r="R28" s="26">
        <f>+SUMIFS(TC!W:W,TC!Q:Q,COMISIONES!C28,TC!H:H,COMISIONES!$K$1)</f>
        <v>97</v>
      </c>
      <c r="S28" s="26">
        <f>+SUMIFS(TC!W:W,TC!Q:Q,COMISIONES!C28,TC!H:H,COMISIONES!$L$1)</f>
        <v>9</v>
      </c>
      <c r="T28" s="261">
        <f t="shared" si="1"/>
        <v>106</v>
      </c>
      <c r="U28" s="40" t="str">
        <f>+VLOOKUP(T28,'PUNTOS 2021'!$A$4:$C$8,3,1)</f>
        <v>PREMIUM</v>
      </c>
      <c r="V28" s="26">
        <f>+COUNTIF(ADICIONALES!A:A,COMISIONES!C28)</f>
        <v>4</v>
      </c>
      <c r="W28" s="211">
        <f t="shared" si="7"/>
        <v>0.13333333333333333</v>
      </c>
      <c r="X28" s="150">
        <f>+IFERROR(IF((V28/H28)&gt;='PUNTOS 2021'!$Q$6,1,0),0)</f>
        <v>1</v>
      </c>
      <c r="Y28" s="26">
        <f>+COUNTIF(PRF!A:A,COMISIONES!C28)</f>
        <v>10</v>
      </c>
      <c r="Z28" s="211">
        <f t="shared" si="8"/>
        <v>0.33333333333333331</v>
      </c>
      <c r="AA28" s="150">
        <f>+IFERROR(IF((Y28/H28)&gt;='PUNTOS 2021'!$Q$5,1,0),0)</f>
        <v>0</v>
      </c>
      <c r="AB28" s="26">
        <v>0</v>
      </c>
      <c r="AC28" s="26">
        <f>+COUNTIF(COMPASS!A:A,COMISIONES!C28)</f>
        <v>32</v>
      </c>
      <c r="AD28" s="217">
        <f>+SUMIFS(COMPASS!O:O,COMPASS!A:A,COMISIONES!C28)</f>
        <v>510</v>
      </c>
      <c r="AE28" s="211">
        <f t="shared" si="9"/>
        <v>1.0666666666666667</v>
      </c>
      <c r="AF28" s="150">
        <f>+IFERROR(IF((AC28/H28)&gt;='PUNTOS 2021'!$Q$7,1,0),0)</f>
        <v>1</v>
      </c>
      <c r="AG28" s="26">
        <f>+COUNTIF(CUENTAS!A:A,COMISIONES!C28)</f>
        <v>1</v>
      </c>
      <c r="AH28" s="211">
        <f t="shared" si="10"/>
        <v>3.3333333333333333E-2</v>
      </c>
      <c r="AI28" s="150">
        <f>+IFERROR(IF((AG28/H28)&gt;='PUNTOS 2021'!$Q$8,1,0),0)</f>
        <v>0</v>
      </c>
      <c r="AJ28" s="26">
        <f>+COUNTIF(KASH!A:A,COMISIONES!C28)</f>
        <v>0</v>
      </c>
      <c r="AK28" s="211">
        <f>+IFERROR(AJ28/'PUNTOS 2021'!$Q$12,0)</f>
        <v>0</v>
      </c>
      <c r="AL28" s="26">
        <f t="shared" si="2"/>
        <v>0</v>
      </c>
      <c r="AM28" s="28">
        <f t="shared" si="3"/>
        <v>2</v>
      </c>
      <c r="AN28" s="26" t="str">
        <f>+VLOOKUP(AM28,'PUNTOS 2021'!$P$15:$Q$20,2,0)</f>
        <v>SEMI SENIOR</v>
      </c>
      <c r="AO28" s="38">
        <f>IFERROR(VLOOKUP(_xlfn.CONCAT(E28,U28,AN28),'PUNTOS 2021'!$L:$M,2,0),0)</f>
        <v>60</v>
      </c>
      <c r="AP28" s="38">
        <f>+VLOOKUP(_xlfn.CONCAT(AP$1,$AN28),'PUNTOS 2021'!$R$22:$S$51,2,0)</f>
        <v>30</v>
      </c>
      <c r="AQ28" s="38">
        <f>+VLOOKUP(_xlfn.CONCAT(AQ$1,$AN28),'PUNTOS 2021'!$R$22:$S$51,2,0)</f>
        <v>45</v>
      </c>
      <c r="AR28" s="38">
        <f>+VLOOKUP(_xlfn.CONCAT(AR$1,$AN28),'PUNTOS 2021'!$R$22:$S$51,2,0)</f>
        <v>15</v>
      </c>
      <c r="AS28" s="38">
        <f>+VLOOKUP(_xlfn.CONCAT(AS$1,$AN28),'PUNTOS 2021'!$R$22:$S$51,2,0)</f>
        <v>15</v>
      </c>
      <c r="AT28" s="38">
        <f>+VLOOKUP(_xlfn.CONCAT(AT$1,$AN28),'PUNTOS 2021'!$R$22:$S$51,2,0)</f>
        <v>5</v>
      </c>
      <c r="AU28" s="39">
        <f t="shared" si="4"/>
        <v>6360</v>
      </c>
      <c r="AV28" s="39">
        <f t="shared" si="5"/>
        <v>1095</v>
      </c>
      <c r="AW28" s="39">
        <f t="shared" si="6"/>
        <v>7455</v>
      </c>
      <c r="AX28" s="37">
        <v>0</v>
      </c>
      <c r="AY28" s="37">
        <f>+SUMIFS('DESC TC'!$B:$B,'DESC TC'!$A:$A,COMISIONES!C:C,'DESC TC'!$L:$L,"Primera")</f>
        <v>420</v>
      </c>
      <c r="AZ28" s="37">
        <f>+SUMIFS('DESC TC'!$B:$B,'DESC TC'!$A:$A,COMISIONES!C:C,'DESC TC'!$L:$L,"Segunda")</f>
        <v>0</v>
      </c>
      <c r="BA28" s="37">
        <f ca="1">+SUMIF('DESC ADICIONALES'!$A:$B,COMISIONES!$C:$C,'DESC ADICIONALES'!$B:$B)</f>
        <v>0</v>
      </c>
      <c r="BB28" s="37">
        <f>+SUMIF('DESC PRF'!A:A,COMISIONES!C28,'DESC PRF'!J:J)</f>
        <v>0</v>
      </c>
      <c r="BC28" s="39">
        <f t="shared" ca="1" si="11"/>
        <v>7035</v>
      </c>
      <c r="BD28" s="279"/>
      <c r="BE28" s="210"/>
    </row>
    <row r="29" spans="1:57">
      <c r="A29" t="s">
        <v>392</v>
      </c>
      <c r="B29" s="116" t="s">
        <v>78</v>
      </c>
      <c r="C29" s="116">
        <v>20001487</v>
      </c>
      <c r="D29" s="113" t="s">
        <v>6</v>
      </c>
      <c r="E29" s="116" t="s">
        <v>40</v>
      </c>
      <c r="F29" s="113" t="s">
        <v>51</v>
      </c>
      <c r="G29" s="113" t="s">
        <v>132</v>
      </c>
      <c r="H29" s="234">
        <v>30</v>
      </c>
      <c r="I29" s="234">
        <v>21</v>
      </c>
      <c r="J29" s="26">
        <f>+COUNTIFS(TC!Q:Q,COMISIONES!C29)</f>
        <v>37</v>
      </c>
      <c r="K29" s="26">
        <f>+COUNTIFS(TC!Q:Q,COMISIONES!C29,TC!H:H,COMISIONES!$K$1)</f>
        <v>28</v>
      </c>
      <c r="L29" s="26">
        <f>+COUNTIFS(TC!Q:Q,COMISIONES!C29,TC!H:H,COMISIONES!$L$1)</f>
        <v>9</v>
      </c>
      <c r="M29" s="27">
        <f t="shared" si="0"/>
        <v>0.7567567567567568</v>
      </c>
      <c r="N29" s="26">
        <f>+COUNTIFS(TC!Q:Q,COMISIONES!C29,TC!G:G,COMISIONES!$N$1)</f>
        <v>6</v>
      </c>
      <c r="O29" s="26">
        <f>+COUNTIFS(TC!Q:Q,COMISIONES!C29,TC!G:G,COMISIONES!$O$1)</f>
        <v>11</v>
      </c>
      <c r="P29" s="26">
        <f>+COUNTIFS(TC!Q:Q,COMISIONES!C29,TC!G:G,COMISIONES!$P$1)</f>
        <v>20</v>
      </c>
      <c r="Q29" s="26">
        <f>+COUNTIFS(TC!Q:Q,COMISIONES!C29,TC!G:G,COMISIONES!$Q$1)</f>
        <v>0</v>
      </c>
      <c r="R29" s="26">
        <f>+SUMIFS(TC!W:W,TC!Q:Q,COMISIONES!C29,TC!H:H,COMISIONES!$K$1)</f>
        <v>166</v>
      </c>
      <c r="S29" s="26">
        <f>+SUMIFS(TC!W:W,TC!Q:Q,COMISIONES!C29,TC!H:H,COMISIONES!$L$1)</f>
        <v>13</v>
      </c>
      <c r="T29" s="261">
        <f t="shared" si="1"/>
        <v>179</v>
      </c>
      <c r="U29" s="40" t="str">
        <f>+VLOOKUP(T29,'PUNTOS 2021'!$A$4:$C$8,3,1)</f>
        <v>PREMIUM</v>
      </c>
      <c r="V29" s="26">
        <f>+COUNTIF(ADICIONALES!A:A,COMISIONES!C29)</f>
        <v>7</v>
      </c>
      <c r="W29" s="211">
        <f t="shared" si="7"/>
        <v>0.23333333333333334</v>
      </c>
      <c r="X29" s="150">
        <f>+IFERROR(IF((V29/H29)&gt;='PUNTOS 2021'!$Q$6,1,0),0)</f>
        <v>1</v>
      </c>
      <c r="Y29" s="26">
        <f>+COUNTIF(PRF!A:A,COMISIONES!C29)</f>
        <v>18</v>
      </c>
      <c r="Z29" s="211">
        <f t="shared" si="8"/>
        <v>0.6</v>
      </c>
      <c r="AA29" s="150">
        <f>+IFERROR(IF((Y29/H29)&gt;='PUNTOS 2021'!$Q$5,1,0),0)</f>
        <v>1</v>
      </c>
      <c r="AB29" s="26">
        <v>0</v>
      </c>
      <c r="AC29" s="26">
        <f>+COUNTIF(COMPASS!A:A,COMISIONES!C29)</f>
        <v>33</v>
      </c>
      <c r="AD29" s="217">
        <f>+SUMIFS(COMPASS!O:O,COMPASS!A:A,COMISIONES!C29)</f>
        <v>1170</v>
      </c>
      <c r="AE29" s="211">
        <f t="shared" si="9"/>
        <v>1.1000000000000001</v>
      </c>
      <c r="AF29" s="150">
        <f>+IFERROR(IF((AC29/H29)&gt;='PUNTOS 2021'!$Q$7,1,0),0)</f>
        <v>1</v>
      </c>
      <c r="AG29" s="26">
        <f>+COUNTIF(CUENTAS!A:A,COMISIONES!C29)</f>
        <v>3</v>
      </c>
      <c r="AH29" s="211">
        <f t="shared" si="10"/>
        <v>0.1</v>
      </c>
      <c r="AI29" s="150">
        <f>+IFERROR(IF((AG29/H29)&gt;='PUNTOS 2021'!$Q$8,1,0),0)</f>
        <v>1</v>
      </c>
      <c r="AJ29" s="26">
        <f>+COUNTIF(KASH!A:A,COMISIONES!C29)</f>
        <v>0</v>
      </c>
      <c r="AK29" s="211">
        <f>+IFERROR(AJ29/'PUNTOS 2021'!$Q$12,0)</f>
        <v>0</v>
      </c>
      <c r="AL29" s="26">
        <f t="shared" si="2"/>
        <v>0</v>
      </c>
      <c r="AM29" s="28">
        <f t="shared" si="3"/>
        <v>4</v>
      </c>
      <c r="AN29" s="26" t="str">
        <f>+VLOOKUP(AM29,'PUNTOS 2021'!$P$15:$Q$20,2,0)</f>
        <v>PREMIUM</v>
      </c>
      <c r="AO29" s="38">
        <f>IFERROR(VLOOKUP(_xlfn.CONCAT(E29,U29,AN29),'PUNTOS 2021'!$L:$M,2,0),0)</f>
        <v>65</v>
      </c>
      <c r="AP29" s="38">
        <f>+VLOOKUP(_xlfn.CONCAT(AP$1,$AN29),'PUNTOS 2021'!$R$22:$S$51,2,0)</f>
        <v>60</v>
      </c>
      <c r="AQ29" s="38">
        <f>+VLOOKUP(_xlfn.CONCAT(AQ$1,$AN29),'PUNTOS 2021'!$R$22:$S$51,2,0)</f>
        <v>90</v>
      </c>
      <c r="AR29" s="38">
        <f>+VLOOKUP(_xlfn.CONCAT(AR$1,$AN29),'PUNTOS 2021'!$R$22:$S$51,2,0)</f>
        <v>30</v>
      </c>
      <c r="AS29" s="38">
        <f>+VLOOKUP(_xlfn.CONCAT(AS$1,$AN29),'PUNTOS 2021'!$R$22:$S$51,2,0)</f>
        <v>30</v>
      </c>
      <c r="AT29" s="38">
        <f>+VLOOKUP(_xlfn.CONCAT(AT$1,$AN29),'PUNTOS 2021'!$R$22:$S$51,2,0)</f>
        <v>5</v>
      </c>
      <c r="AU29" s="39">
        <f t="shared" si="4"/>
        <v>11635</v>
      </c>
      <c r="AV29" s="39">
        <f t="shared" si="5"/>
        <v>3300</v>
      </c>
      <c r="AW29" s="39">
        <f t="shared" si="6"/>
        <v>14935</v>
      </c>
      <c r="AX29" s="37">
        <v>0</v>
      </c>
      <c r="AY29" s="37">
        <f>+SUMIFS('DESC TC'!$B:$B,'DESC TC'!$A:$A,COMISIONES!C:C,'DESC TC'!$L:$L,"Primera")</f>
        <v>1070</v>
      </c>
      <c r="AZ29" s="37">
        <f>+SUMIFS('DESC TC'!$B:$B,'DESC TC'!$A:$A,COMISIONES!C:C,'DESC TC'!$L:$L,"Segunda")</f>
        <v>0</v>
      </c>
      <c r="BA29" s="37">
        <f ca="1">+SUMIF('DESC ADICIONALES'!$A:$B,COMISIONES!$C:$C,'DESC ADICIONALES'!$B:$B)</f>
        <v>0</v>
      </c>
      <c r="BB29" s="37">
        <f>+SUMIF('DESC PRF'!A:A,COMISIONES!C29,'DESC PRF'!J:J)</f>
        <v>0</v>
      </c>
      <c r="BC29" s="39">
        <f t="shared" ca="1" si="11"/>
        <v>13865</v>
      </c>
      <c r="BE29" s="210"/>
    </row>
    <row r="30" spans="1:57">
      <c r="A30" t="s">
        <v>392</v>
      </c>
      <c r="B30" s="116" t="s">
        <v>78</v>
      </c>
      <c r="C30" s="116">
        <v>20010766</v>
      </c>
      <c r="D30" s="113" t="s">
        <v>1947</v>
      </c>
      <c r="E30" s="116" t="s">
        <v>40</v>
      </c>
      <c r="F30" s="113" t="s">
        <v>51</v>
      </c>
      <c r="G30" s="113" t="s">
        <v>132</v>
      </c>
      <c r="H30" s="234">
        <v>30</v>
      </c>
      <c r="I30" s="234">
        <v>21</v>
      </c>
      <c r="J30" s="26">
        <f>+COUNTIFS(TC!Q:Q,COMISIONES!C30)</f>
        <v>11</v>
      </c>
      <c r="K30" s="26">
        <f>+COUNTIFS(TC!Q:Q,COMISIONES!C30,TC!H:H,COMISIONES!$K$1)</f>
        <v>10</v>
      </c>
      <c r="L30" s="26">
        <f>+COUNTIFS(TC!Q:Q,COMISIONES!C30,TC!H:H,COMISIONES!$L$1)</f>
        <v>1</v>
      </c>
      <c r="M30" s="27">
        <f t="shared" ref="M30" si="51">+IFERROR(K30/J30,0)</f>
        <v>0.90909090909090906</v>
      </c>
      <c r="N30" s="26">
        <f>+COUNTIFS(TC!Q:Q,COMISIONES!C30,TC!G:G,COMISIONES!$N$1)</f>
        <v>4</v>
      </c>
      <c r="O30" s="26">
        <f>+COUNTIFS(TC!Q:Q,COMISIONES!C30,TC!G:G,COMISIONES!$O$1)</f>
        <v>3</v>
      </c>
      <c r="P30" s="26">
        <f>+COUNTIFS(TC!Q:Q,COMISIONES!C30,TC!G:G,COMISIONES!$P$1)</f>
        <v>4</v>
      </c>
      <c r="Q30" s="26">
        <f>+COUNTIFS(TC!Q:Q,COMISIONES!C30,TC!G:G,COMISIONES!$Q$1)</f>
        <v>0</v>
      </c>
      <c r="R30" s="26">
        <f>+SUMIFS(TC!W:W,TC!Q:Q,COMISIONES!C30,TC!H:H,COMISIONES!$K$1)</f>
        <v>48</v>
      </c>
      <c r="S30" s="26">
        <f>+SUMIFS(TC!W:W,TC!Q:Q,COMISIONES!C30,TC!H:H,COMISIONES!$L$1)</f>
        <v>0.5</v>
      </c>
      <c r="T30" s="261">
        <f t="shared" ref="T30" si="52">+SUM(R30:S30)</f>
        <v>48.5</v>
      </c>
      <c r="U30" s="40" t="str">
        <f>+VLOOKUP(T30,'PUNTOS 2021'!$A$4:$C$8,3,1)</f>
        <v>SEMI SENIOR</v>
      </c>
      <c r="V30" s="26">
        <f>+COUNTIF(ADICIONALES!A:A,COMISIONES!C30)</f>
        <v>2</v>
      </c>
      <c r="W30" s="211">
        <f t="shared" ref="W30" si="53">+IFERROR(V30/H30,0)</f>
        <v>6.6666666666666666E-2</v>
      </c>
      <c r="X30" s="150">
        <f>+IFERROR(IF((V30/H30)&gt;='PUNTOS 2021'!$Q$6,1,0),0)</f>
        <v>0</v>
      </c>
      <c r="Y30" s="26">
        <f>+COUNTIF(PRF!A:A,COMISIONES!C30)</f>
        <v>5</v>
      </c>
      <c r="Z30" s="211">
        <f t="shared" ref="Z30" si="54">+IFERROR(Y30/H30,0)</f>
        <v>0.16666666666666666</v>
      </c>
      <c r="AA30" s="150">
        <f>+IFERROR(IF((Y30/H30)&gt;='PUNTOS 2021'!$Q$5,1,0),0)</f>
        <v>0</v>
      </c>
      <c r="AB30" s="26">
        <v>0</v>
      </c>
      <c r="AC30" s="26">
        <f>+COUNTIF(COMPASS!A:A,COMISIONES!C30)</f>
        <v>11</v>
      </c>
      <c r="AD30" s="217">
        <f>+SUMIFS(COMPASS!O:O,COMPASS!A:A,COMISIONES!C30)</f>
        <v>140</v>
      </c>
      <c r="AE30" s="211">
        <f t="shared" ref="AE30" si="55">+IFERROR(AC30/H30,0)</f>
        <v>0.36666666666666664</v>
      </c>
      <c r="AF30" s="150">
        <f>+IFERROR(IF((AC30/H30)&gt;='PUNTOS 2021'!$Q$7,1,0),0)</f>
        <v>1</v>
      </c>
      <c r="AG30" s="26">
        <f>+COUNTIF(CUENTAS!A:A,COMISIONES!C30)</f>
        <v>0</v>
      </c>
      <c r="AH30" s="211">
        <f t="shared" ref="AH30" si="56">+IFERROR(AG30/H30,0)</f>
        <v>0</v>
      </c>
      <c r="AI30" s="150">
        <f>+IFERROR(IF((AG30/H30)&gt;='PUNTOS 2021'!$Q$8,1,0),0)</f>
        <v>0</v>
      </c>
      <c r="AJ30" s="26">
        <f>+COUNTIF(KASH!A:A,COMISIONES!C30)</f>
        <v>0</v>
      </c>
      <c r="AK30" s="211">
        <f>+IFERROR(AJ30/'PUNTOS 2021'!$Q$12,0)</f>
        <v>0</v>
      </c>
      <c r="AL30" s="26">
        <f t="shared" ref="AL30" si="57">+IF(AJ30&gt;=7,1,0)</f>
        <v>0</v>
      </c>
      <c r="AM30" s="28">
        <f t="shared" ref="AM30" si="58">+SUM(X30,AA30,AF30,AI30,AL30)</f>
        <v>1</v>
      </c>
      <c r="AN30" s="26" t="str">
        <f>+VLOOKUP(AM30,'PUNTOS 2021'!$P$15:$Q$20,2,0)</f>
        <v>NOVATO</v>
      </c>
      <c r="AO30" s="38">
        <f>IFERROR(VLOOKUP(_xlfn.CONCAT(E30,U30,AN30),'PUNTOS 2021'!$L:$M,2,0),0)</f>
        <v>20</v>
      </c>
      <c r="AP30" s="38">
        <f>+VLOOKUP(_xlfn.CONCAT(AP$1,$AN30),'PUNTOS 2021'!$R$22:$S$51,2,0)</f>
        <v>20</v>
      </c>
      <c r="AQ30" s="38">
        <f>+VLOOKUP(_xlfn.CONCAT(AQ$1,$AN30),'PUNTOS 2021'!$R$22:$S$51,2,0)</f>
        <v>30</v>
      </c>
      <c r="AR30" s="38">
        <f>+VLOOKUP(_xlfn.CONCAT(AR$1,$AN30),'PUNTOS 2021'!$R$22:$S$51,2,0)</f>
        <v>10</v>
      </c>
      <c r="AS30" s="38">
        <f>+VLOOKUP(_xlfn.CONCAT(AS$1,$AN30),'PUNTOS 2021'!$R$22:$S$51,2,0)</f>
        <v>10</v>
      </c>
      <c r="AT30" s="38">
        <f>+VLOOKUP(_xlfn.CONCAT(AT$1,$AN30),'PUNTOS 2021'!$R$22:$S$51,2,0)</f>
        <v>5</v>
      </c>
      <c r="AU30" s="39">
        <f t="shared" ref="AU30" si="59">(AO30*T30)</f>
        <v>970</v>
      </c>
      <c r="AV30" s="39">
        <f t="shared" ref="AV30" si="60">+(V30*AP30)+(Y30*AQ30)+(AD30)+(AG30*AS30)+(AJ30*AT30)</f>
        <v>330</v>
      </c>
      <c r="AW30" s="39">
        <f t="shared" ref="AW30" si="61">+AU30+AV30</f>
        <v>1300</v>
      </c>
      <c r="AX30" s="37">
        <v>0</v>
      </c>
      <c r="AY30" s="37">
        <f>+SUMIFS('DESC TC'!$B:$B,'DESC TC'!$A:$A,COMISIONES!C:C,'DESC TC'!$L:$L,"Primera")</f>
        <v>0</v>
      </c>
      <c r="AZ30" s="37">
        <f>+SUMIFS('DESC TC'!$B:$B,'DESC TC'!$A:$A,COMISIONES!C:C,'DESC TC'!$L:$L,"Segunda")</f>
        <v>0</v>
      </c>
      <c r="BA30" s="37">
        <f ca="1">+SUMIF('DESC ADICIONALES'!$A:$B,COMISIONES!$C:$C,'DESC ADICIONALES'!$B:$B)</f>
        <v>0</v>
      </c>
      <c r="BB30" s="37">
        <f>+SUMIF('DESC PRF'!A:A,COMISIONES!C30,'DESC PRF'!J:J)</f>
        <v>0</v>
      </c>
      <c r="BC30" s="39">
        <f t="shared" ref="BC30" ca="1" si="62">AW30+AX30-AY30-AZ30-BA30-BB30</f>
        <v>1300</v>
      </c>
      <c r="BE30" s="210"/>
    </row>
    <row r="31" spans="1:57">
      <c r="A31" t="s">
        <v>392</v>
      </c>
      <c r="B31" s="116" t="s">
        <v>78</v>
      </c>
      <c r="C31" s="116">
        <v>20007943</v>
      </c>
      <c r="D31" s="113" t="s">
        <v>274</v>
      </c>
      <c r="E31" s="116" t="s">
        <v>40</v>
      </c>
      <c r="F31" s="113" t="s">
        <v>51</v>
      </c>
      <c r="G31" s="113" t="s">
        <v>132</v>
      </c>
      <c r="H31" s="234">
        <v>30</v>
      </c>
      <c r="I31" s="234">
        <v>21</v>
      </c>
      <c r="J31" s="26">
        <f>+COUNTIFS(TC!Q:Q,COMISIONES!C31)</f>
        <v>14</v>
      </c>
      <c r="K31" s="26">
        <f>+COUNTIFS(TC!Q:Q,COMISIONES!C31,TC!H:H,COMISIONES!$K$1)</f>
        <v>11</v>
      </c>
      <c r="L31" s="26">
        <f>+COUNTIFS(TC!Q:Q,COMISIONES!C31,TC!H:H,COMISIONES!$L$1)</f>
        <v>3</v>
      </c>
      <c r="M31" s="27">
        <f t="shared" ref="M31" si="63">+IFERROR(K31/J31,0)</f>
        <v>0.7857142857142857</v>
      </c>
      <c r="N31" s="26">
        <f>+COUNTIFS(TC!Q:Q,COMISIONES!C31,TC!G:G,COMISIONES!$N$1)</f>
        <v>3</v>
      </c>
      <c r="O31" s="26">
        <f>+COUNTIFS(TC!Q:Q,COMISIONES!C31,TC!G:G,COMISIONES!$O$1)</f>
        <v>5</v>
      </c>
      <c r="P31" s="26">
        <f>+COUNTIFS(TC!Q:Q,COMISIONES!C31,TC!G:G,COMISIONES!$P$1)</f>
        <v>6</v>
      </c>
      <c r="Q31" s="26">
        <f>+COUNTIFS(TC!Q:Q,COMISIONES!C31,TC!G:G,COMISIONES!$Q$1)</f>
        <v>0</v>
      </c>
      <c r="R31" s="26">
        <f>+SUMIFS(TC!W:W,TC!Q:Q,COMISIONES!C31,TC!H:H,COMISIONES!$K$1)</f>
        <v>63</v>
      </c>
      <c r="S31" s="26">
        <f>+SUMIFS(TC!W:W,TC!Q:Q,COMISIONES!C31,TC!H:H,COMISIONES!$L$1)</f>
        <v>1.5</v>
      </c>
      <c r="T31" s="261">
        <f t="shared" ref="T31" si="64">+SUM(R31:S31)</f>
        <v>64.5</v>
      </c>
      <c r="U31" s="40" t="str">
        <f>+VLOOKUP(T31,'PUNTOS 2021'!$A$4:$C$8,3,1)</f>
        <v>SEMI SENIOR</v>
      </c>
      <c r="V31" s="26">
        <f>+COUNTIF(ADICIONALES!A:A,COMISIONES!C31)</f>
        <v>2</v>
      </c>
      <c r="W31" s="211">
        <f t="shared" si="7"/>
        <v>6.6666666666666666E-2</v>
      </c>
      <c r="X31" s="150">
        <f>+IFERROR(IF((V31/H31)&gt;='PUNTOS 2021'!$Q$6,1,0),0)</f>
        <v>0</v>
      </c>
      <c r="Y31" s="26">
        <f>+COUNTIF(PRF!A:A,COMISIONES!C31)</f>
        <v>3</v>
      </c>
      <c r="Z31" s="211">
        <f t="shared" si="8"/>
        <v>0.1</v>
      </c>
      <c r="AA31" s="150">
        <f>+IFERROR(IF((Y31/H31)&gt;='PUNTOS 2021'!$Q$5,1,0),0)</f>
        <v>0</v>
      </c>
      <c r="AB31" s="26">
        <v>0</v>
      </c>
      <c r="AC31" s="26">
        <f>+COUNTIF(COMPASS!A:A,COMISIONES!C31)</f>
        <v>13</v>
      </c>
      <c r="AD31" s="217">
        <f>+SUMIFS(COMPASS!O:O,COMPASS!A:A,COMISIONES!C31)</f>
        <v>160</v>
      </c>
      <c r="AE31" s="211">
        <f t="shared" si="9"/>
        <v>0.43333333333333335</v>
      </c>
      <c r="AF31" s="150">
        <f>+IFERROR(IF((AC31/H31)&gt;='PUNTOS 2021'!$Q$7,1,0),0)</f>
        <v>1</v>
      </c>
      <c r="AG31" s="26">
        <f>+COUNTIF(CUENTAS!A:A,COMISIONES!C31)</f>
        <v>0</v>
      </c>
      <c r="AH31" s="211">
        <f t="shared" si="10"/>
        <v>0</v>
      </c>
      <c r="AI31" s="150">
        <f>+IFERROR(IF((AG31/H31)&gt;='PUNTOS 2021'!$Q$8,1,0),0)</f>
        <v>0</v>
      </c>
      <c r="AJ31" s="26">
        <f>+COUNTIF(KASH!A:A,COMISIONES!C31)</f>
        <v>0</v>
      </c>
      <c r="AK31" s="211">
        <f>+IFERROR(AJ31/'PUNTOS 2021'!$Q$12,0)</f>
        <v>0</v>
      </c>
      <c r="AL31" s="26">
        <f t="shared" ref="AL31" si="65">+IF(AJ31&gt;=7,1,0)</f>
        <v>0</v>
      </c>
      <c r="AM31" s="28">
        <f t="shared" ref="AM31" si="66">+SUM(X31,AA31,AF31,AI31,AL31)</f>
        <v>1</v>
      </c>
      <c r="AN31" s="26" t="str">
        <f>+VLOOKUP(AM31,'PUNTOS 2021'!$P$15:$Q$20,2,0)</f>
        <v>NOVATO</v>
      </c>
      <c r="AO31" s="38">
        <f>IFERROR(VLOOKUP(_xlfn.CONCAT(E31,U31,AN31),'PUNTOS 2021'!$L:$M,2,0),0)</f>
        <v>20</v>
      </c>
      <c r="AP31" s="38">
        <f>+VLOOKUP(_xlfn.CONCAT(AP$1,$AN31),'PUNTOS 2021'!$R$22:$S$51,2,0)</f>
        <v>20</v>
      </c>
      <c r="AQ31" s="38">
        <f>+VLOOKUP(_xlfn.CONCAT(AQ$1,$AN31),'PUNTOS 2021'!$R$22:$S$51,2,0)</f>
        <v>30</v>
      </c>
      <c r="AR31" s="38">
        <f>+VLOOKUP(_xlfn.CONCAT(AR$1,$AN31),'PUNTOS 2021'!$R$22:$S$51,2,0)</f>
        <v>10</v>
      </c>
      <c r="AS31" s="38">
        <f>+VLOOKUP(_xlfn.CONCAT(AS$1,$AN31),'PUNTOS 2021'!$R$22:$S$51,2,0)</f>
        <v>10</v>
      </c>
      <c r="AT31" s="38">
        <f>+VLOOKUP(_xlfn.CONCAT(AT$1,$AN31),'PUNTOS 2021'!$R$22:$S$51,2,0)</f>
        <v>5</v>
      </c>
      <c r="AU31" s="39">
        <f t="shared" ref="AU31" si="67">(AO31*T31)</f>
        <v>1290</v>
      </c>
      <c r="AV31" s="39">
        <f t="shared" ref="AV31" si="68">+(V31*AP31)+(Y31*AQ31)+(AD31)+(AG31*AS31)+(AJ31*AT31)</f>
        <v>290</v>
      </c>
      <c r="AW31" s="39">
        <f t="shared" ref="AW31" si="69">+AU31+AV31</f>
        <v>1580</v>
      </c>
      <c r="AX31" s="37">
        <v>0</v>
      </c>
      <c r="AY31" s="37">
        <f>+SUMIFS('DESC TC'!$B:$B,'DESC TC'!$A:$A,COMISIONES!C:C,'DESC TC'!$L:$L,"Primera")</f>
        <v>0</v>
      </c>
      <c r="AZ31" s="37">
        <f>+SUMIFS('DESC TC'!$B:$B,'DESC TC'!$A:$A,COMISIONES!C:C,'DESC TC'!$L:$L,"Segunda")</f>
        <v>0</v>
      </c>
      <c r="BA31" s="37">
        <f ca="1">+SUMIF('DESC ADICIONALES'!$A:$B,COMISIONES!$C:$C,'DESC ADICIONALES'!$B:$B)</f>
        <v>0</v>
      </c>
      <c r="BB31" s="37">
        <f>+SUMIF('DESC PRF'!A:A,COMISIONES!C31,'DESC PRF'!J:J)</f>
        <v>0</v>
      </c>
      <c r="BC31" s="39">
        <f t="shared" ca="1" si="11"/>
        <v>1580</v>
      </c>
      <c r="BE31" s="210"/>
    </row>
    <row r="32" spans="1:57">
      <c r="A32" t="s">
        <v>392</v>
      </c>
      <c r="B32" s="116" t="s">
        <v>78</v>
      </c>
      <c r="C32" s="116">
        <v>20002636</v>
      </c>
      <c r="D32" s="113" t="s">
        <v>8</v>
      </c>
      <c r="E32" s="116" t="s">
        <v>40</v>
      </c>
      <c r="F32" s="113" t="s">
        <v>51</v>
      </c>
      <c r="G32" s="113" t="s">
        <v>132</v>
      </c>
      <c r="H32" s="234">
        <v>30</v>
      </c>
      <c r="I32" s="234">
        <v>21</v>
      </c>
      <c r="J32" s="26">
        <f>+COUNTIFS(TC!Q:Q,COMISIONES!C32)</f>
        <v>18</v>
      </c>
      <c r="K32" s="26">
        <f>+COUNTIFS(TC!Q:Q,COMISIONES!C32,TC!H:H,COMISIONES!$K$1)</f>
        <v>12</v>
      </c>
      <c r="L32" s="26">
        <f>+COUNTIFS(TC!Q:Q,COMISIONES!C32,TC!H:H,COMISIONES!$L$1)</f>
        <v>6</v>
      </c>
      <c r="M32" s="27">
        <f t="shared" si="0"/>
        <v>0.66666666666666663</v>
      </c>
      <c r="N32" s="26">
        <f>+COUNTIFS(TC!Q:Q,COMISIONES!C32,TC!G:G,COMISIONES!$N$1)</f>
        <v>2</v>
      </c>
      <c r="O32" s="26">
        <f>+COUNTIFS(TC!Q:Q,COMISIONES!C32,TC!G:G,COMISIONES!$O$1)</f>
        <v>6</v>
      </c>
      <c r="P32" s="26">
        <f>+COUNTIFS(TC!Q:Q,COMISIONES!C32,TC!G:G,COMISIONES!$P$1)</f>
        <v>10</v>
      </c>
      <c r="Q32" s="26">
        <f>+COUNTIFS(TC!Q:Q,COMISIONES!C32,TC!G:G,COMISIONES!$Q$1)</f>
        <v>0</v>
      </c>
      <c r="R32" s="26">
        <f>+SUMIFS(TC!W:W,TC!Q:Q,COMISIONES!C32,TC!H:H,COMISIONES!$K$1)</f>
        <v>70</v>
      </c>
      <c r="S32" s="26">
        <f>+SUMIFS(TC!W:W,TC!Q:Q,COMISIONES!C32,TC!H:H,COMISIONES!$L$1)</f>
        <v>3</v>
      </c>
      <c r="T32" s="261">
        <f t="shared" si="1"/>
        <v>73</v>
      </c>
      <c r="U32" s="40" t="str">
        <f>+VLOOKUP(T32,'PUNTOS 2021'!$A$4:$C$8,3,1)</f>
        <v>SENIOR</v>
      </c>
      <c r="V32" s="26">
        <f>+COUNTIF(ADICIONALES!A:A,COMISIONES!C32)</f>
        <v>5</v>
      </c>
      <c r="W32" s="211">
        <f t="shared" si="7"/>
        <v>0.16666666666666666</v>
      </c>
      <c r="X32" s="150">
        <f>+IFERROR(IF((V32/H32)&gt;='PUNTOS 2021'!$Q$6,1,0),0)</f>
        <v>1</v>
      </c>
      <c r="Y32" s="26">
        <f>+COUNTIF(PRF!A:A,COMISIONES!C32)</f>
        <v>4</v>
      </c>
      <c r="Z32" s="211">
        <f t="shared" si="8"/>
        <v>0.13333333333333333</v>
      </c>
      <c r="AA32" s="150">
        <f>+IFERROR(IF((Y32/H32)&gt;='PUNTOS 2021'!$Q$5,1,0),0)</f>
        <v>0</v>
      </c>
      <c r="AB32" s="26">
        <v>0</v>
      </c>
      <c r="AC32" s="26">
        <f>+COUNTIF(COMPASS!A:A,COMISIONES!C32)</f>
        <v>19</v>
      </c>
      <c r="AD32" s="217">
        <f>+SUMIFS(COMPASS!O:O,COMPASS!A:A,COMISIONES!C32)</f>
        <v>330</v>
      </c>
      <c r="AE32" s="211">
        <f t="shared" si="9"/>
        <v>0.6333333333333333</v>
      </c>
      <c r="AF32" s="150">
        <f>+IFERROR(IF((AC32/H32)&gt;='PUNTOS 2021'!$Q$7,1,0),0)</f>
        <v>1</v>
      </c>
      <c r="AG32" s="26">
        <f>+COUNTIF(CUENTAS!A:A,COMISIONES!C32)</f>
        <v>0</v>
      </c>
      <c r="AH32" s="211">
        <f t="shared" si="10"/>
        <v>0</v>
      </c>
      <c r="AI32" s="150">
        <f>+IFERROR(IF((AG32/H32)&gt;='PUNTOS 2021'!$Q$8,1,0),0)</f>
        <v>0</v>
      </c>
      <c r="AJ32" s="26">
        <f>+COUNTIF(KASH!A:A,COMISIONES!C32)</f>
        <v>0</v>
      </c>
      <c r="AK32" s="211">
        <f>+IFERROR(AJ32/'PUNTOS 2021'!$Q$12,0)</f>
        <v>0</v>
      </c>
      <c r="AL32" s="26">
        <f t="shared" si="2"/>
        <v>0</v>
      </c>
      <c r="AM32" s="28">
        <f t="shared" si="3"/>
        <v>2</v>
      </c>
      <c r="AN32" s="26" t="str">
        <f>+VLOOKUP(AM32,'PUNTOS 2021'!$P$15:$Q$20,2,0)</f>
        <v>SEMI SENIOR</v>
      </c>
      <c r="AO32" s="38">
        <f>IFERROR(VLOOKUP(_xlfn.CONCAT(E32,U32,AN32),'PUNTOS 2021'!$L:$M,2,0),0)</f>
        <v>40</v>
      </c>
      <c r="AP32" s="38">
        <f>+VLOOKUP(_xlfn.CONCAT(AP$1,$AN32),'PUNTOS 2021'!$R$22:$S$51,2,0)</f>
        <v>30</v>
      </c>
      <c r="AQ32" s="38">
        <f>+VLOOKUP(_xlfn.CONCAT(AQ$1,$AN32),'PUNTOS 2021'!$R$22:$S$51,2,0)</f>
        <v>45</v>
      </c>
      <c r="AR32" s="38">
        <f>+VLOOKUP(_xlfn.CONCAT(AR$1,$AN32),'PUNTOS 2021'!$R$22:$S$51,2,0)</f>
        <v>15</v>
      </c>
      <c r="AS32" s="38">
        <f>+VLOOKUP(_xlfn.CONCAT(AS$1,$AN32),'PUNTOS 2021'!$R$22:$S$51,2,0)</f>
        <v>15</v>
      </c>
      <c r="AT32" s="38">
        <f>+VLOOKUP(_xlfn.CONCAT(AT$1,$AN32),'PUNTOS 2021'!$R$22:$S$51,2,0)</f>
        <v>5</v>
      </c>
      <c r="AU32" s="39">
        <f t="shared" si="4"/>
        <v>2920</v>
      </c>
      <c r="AV32" s="39">
        <f t="shared" si="5"/>
        <v>660</v>
      </c>
      <c r="AW32" s="39">
        <f t="shared" si="6"/>
        <v>3580</v>
      </c>
      <c r="AX32" s="37">
        <v>0</v>
      </c>
      <c r="AY32" s="37">
        <f>+SUMIFS('DESC TC'!$B:$B,'DESC TC'!$A:$A,COMISIONES!C:C,'DESC TC'!$L:$L,"Primera")</f>
        <v>0</v>
      </c>
      <c r="AZ32" s="37">
        <f>+SUMIFS('DESC TC'!$B:$B,'DESC TC'!$A:$A,COMISIONES!C:C,'DESC TC'!$L:$L,"Segunda")</f>
        <v>0</v>
      </c>
      <c r="BA32" s="37">
        <f ca="1">+SUMIF('DESC ADICIONALES'!$A:$B,COMISIONES!$C:$C,'DESC ADICIONALES'!$B:$B)</f>
        <v>0</v>
      </c>
      <c r="BB32" s="37">
        <f>+SUMIF('DESC PRF'!A:A,COMISIONES!C32,'DESC PRF'!J:J)</f>
        <v>0</v>
      </c>
      <c r="BC32" s="39">
        <f t="shared" ca="1" si="11"/>
        <v>3580</v>
      </c>
      <c r="BE32" s="210"/>
    </row>
    <row r="33" spans="1:57">
      <c r="A33" t="s">
        <v>392</v>
      </c>
      <c r="B33" s="116" t="s">
        <v>78</v>
      </c>
      <c r="C33" s="116">
        <v>20000661</v>
      </c>
      <c r="D33" s="113" t="s">
        <v>10</v>
      </c>
      <c r="E33" s="116" t="s">
        <v>40</v>
      </c>
      <c r="F33" s="113" t="s">
        <v>51</v>
      </c>
      <c r="G33" s="113" t="s">
        <v>132</v>
      </c>
      <c r="H33" s="234">
        <v>30</v>
      </c>
      <c r="I33" s="234">
        <v>21</v>
      </c>
      <c r="J33" s="26">
        <f>+COUNTIFS(TC!Q:Q,COMISIONES!C33)</f>
        <v>30</v>
      </c>
      <c r="K33" s="26">
        <f>+COUNTIFS(TC!Q:Q,COMISIONES!C33,TC!H:H,COMISIONES!$K$1)</f>
        <v>23</v>
      </c>
      <c r="L33" s="26">
        <f>+COUNTIFS(TC!Q:Q,COMISIONES!C33,TC!H:H,COMISIONES!$L$1)</f>
        <v>7</v>
      </c>
      <c r="M33" s="27">
        <f t="shared" si="0"/>
        <v>0.76666666666666672</v>
      </c>
      <c r="N33" s="26">
        <f>+COUNTIFS(TC!Q:Q,COMISIONES!C33,TC!G:G,COMISIONES!$N$1)</f>
        <v>4</v>
      </c>
      <c r="O33" s="26">
        <f>+COUNTIFS(TC!Q:Q,COMISIONES!C33,TC!G:G,COMISIONES!$O$1)</f>
        <v>11</v>
      </c>
      <c r="P33" s="26">
        <f>+COUNTIFS(TC!Q:Q,COMISIONES!C33,TC!G:G,COMISIONES!$P$1)</f>
        <v>15</v>
      </c>
      <c r="Q33" s="26">
        <f>+COUNTIFS(TC!Q:Q,COMISIONES!C33,TC!G:G,COMISIONES!$Q$1)</f>
        <v>0</v>
      </c>
      <c r="R33" s="26">
        <f>+SUMIFS(TC!W:W,TC!Q:Q,COMISIONES!C33,TC!H:H,COMISIONES!$K$1)</f>
        <v>127</v>
      </c>
      <c r="S33" s="26">
        <f>+SUMIFS(TC!W:W,TC!Q:Q,COMISIONES!C33,TC!H:H,COMISIONES!$L$1)</f>
        <v>12</v>
      </c>
      <c r="T33" s="261">
        <f t="shared" si="1"/>
        <v>139</v>
      </c>
      <c r="U33" s="40" t="str">
        <f>+VLOOKUP(T33,'PUNTOS 2021'!$A$4:$C$8,3,1)</f>
        <v>PREMIUM</v>
      </c>
      <c r="V33" s="26">
        <f>+COUNTIF(ADICIONALES!A:A,COMISIONES!C33)</f>
        <v>4</v>
      </c>
      <c r="W33" s="211">
        <f t="shared" si="7"/>
        <v>0.13333333333333333</v>
      </c>
      <c r="X33" s="150">
        <f>+IFERROR(IF((V33/H33)&gt;='PUNTOS 2021'!$Q$6,1,0),0)</f>
        <v>1</v>
      </c>
      <c r="Y33" s="26">
        <f>+COUNTIF(PRF!A:A,COMISIONES!C33)</f>
        <v>7</v>
      </c>
      <c r="Z33" s="211">
        <f t="shared" si="8"/>
        <v>0.23333333333333334</v>
      </c>
      <c r="AA33" s="150">
        <f>+IFERROR(IF((Y33/H33)&gt;='PUNTOS 2021'!$Q$5,1,0),0)</f>
        <v>0</v>
      </c>
      <c r="AB33" s="26">
        <v>0</v>
      </c>
      <c r="AC33" s="26">
        <f>+COUNTIF(COMPASS!A:A,COMISIONES!C33)</f>
        <v>23</v>
      </c>
      <c r="AD33" s="217">
        <f>+SUMIFS(COMPASS!O:O,COMPASS!A:A,COMISIONES!C33)</f>
        <v>390</v>
      </c>
      <c r="AE33" s="211">
        <f t="shared" si="9"/>
        <v>0.76666666666666672</v>
      </c>
      <c r="AF33" s="150">
        <f>+IFERROR(IF((AC33/H33)&gt;='PUNTOS 2021'!$Q$7,1,0),0)</f>
        <v>1</v>
      </c>
      <c r="AG33" s="26">
        <f>+COUNTIF(CUENTAS!A:A,COMISIONES!C33)</f>
        <v>1</v>
      </c>
      <c r="AH33" s="211">
        <f t="shared" si="10"/>
        <v>3.3333333333333333E-2</v>
      </c>
      <c r="AI33" s="150">
        <f>+IFERROR(IF((AG33/H33)&gt;='PUNTOS 2021'!$Q$8,1,0),0)</f>
        <v>0</v>
      </c>
      <c r="AJ33" s="26">
        <f>+COUNTIF(KASH!A:A,COMISIONES!C33)</f>
        <v>1</v>
      </c>
      <c r="AK33" s="211">
        <f>+IFERROR(AJ33/'PUNTOS 2021'!$Q$12,0)</f>
        <v>0.14285714285714285</v>
      </c>
      <c r="AL33" s="26">
        <f t="shared" si="2"/>
        <v>0</v>
      </c>
      <c r="AM33" s="28">
        <f t="shared" si="3"/>
        <v>2</v>
      </c>
      <c r="AN33" s="26" t="str">
        <f>+VLOOKUP(AM33,'PUNTOS 2021'!$P$15:$Q$20,2,0)</f>
        <v>SEMI SENIOR</v>
      </c>
      <c r="AO33" s="38">
        <f>IFERROR(VLOOKUP(_xlfn.CONCAT(E33,U33,AN33),'PUNTOS 2021'!$L:$M,2,0),0)</f>
        <v>60</v>
      </c>
      <c r="AP33" s="38">
        <f>+VLOOKUP(_xlfn.CONCAT(AP$1,$AN33),'PUNTOS 2021'!$R$22:$S$51,2,0)</f>
        <v>30</v>
      </c>
      <c r="AQ33" s="38">
        <f>+VLOOKUP(_xlfn.CONCAT(AQ$1,$AN33),'PUNTOS 2021'!$R$22:$S$51,2,0)</f>
        <v>45</v>
      </c>
      <c r="AR33" s="38">
        <f>+VLOOKUP(_xlfn.CONCAT(AR$1,$AN33),'PUNTOS 2021'!$R$22:$S$51,2,0)</f>
        <v>15</v>
      </c>
      <c r="AS33" s="38">
        <f>+VLOOKUP(_xlfn.CONCAT(AS$1,$AN33),'PUNTOS 2021'!$R$22:$S$51,2,0)</f>
        <v>15</v>
      </c>
      <c r="AT33" s="38">
        <f>+VLOOKUP(_xlfn.CONCAT(AT$1,$AN33),'PUNTOS 2021'!$R$22:$S$51,2,0)</f>
        <v>5</v>
      </c>
      <c r="AU33" s="39">
        <f t="shared" si="4"/>
        <v>8340</v>
      </c>
      <c r="AV33" s="39">
        <f t="shared" si="5"/>
        <v>845</v>
      </c>
      <c r="AW33" s="39">
        <f t="shared" si="6"/>
        <v>9185</v>
      </c>
      <c r="AX33" s="37">
        <v>0</v>
      </c>
      <c r="AY33" s="37">
        <f>+SUMIFS('DESC TC'!$B:$B,'DESC TC'!$A:$A,COMISIONES!C:C,'DESC TC'!$L:$L,"Primera")</f>
        <v>0</v>
      </c>
      <c r="AZ33" s="37">
        <f>+SUMIFS('DESC TC'!$B:$B,'DESC TC'!$A:$A,COMISIONES!C:C,'DESC TC'!$L:$L,"Segunda")</f>
        <v>0</v>
      </c>
      <c r="BA33" s="37">
        <f ca="1">+SUMIF('DESC ADICIONALES'!$A:$B,COMISIONES!$C:$C,'DESC ADICIONALES'!$B:$B)</f>
        <v>0</v>
      </c>
      <c r="BB33" s="37">
        <f>+SUMIF('DESC PRF'!A:A,COMISIONES!C33,'DESC PRF'!J:J)</f>
        <v>0</v>
      </c>
      <c r="BC33" s="39">
        <f t="shared" ca="1" si="11"/>
        <v>9185</v>
      </c>
      <c r="BE33" s="210"/>
    </row>
    <row r="35" spans="1:57" ht="13.5" customHeight="1"/>
  </sheetData>
  <sortState xmlns:xlrd2="http://schemas.microsoft.com/office/spreadsheetml/2017/richdata2" ref="B2:BD33">
    <sortCondition ref="F2:F33"/>
  </sortState>
  <conditionalFormatting sqref="C2:C33">
    <cfRule type="duplicateValues" dxfId="138" priority="8473"/>
  </conditionalFormatting>
  <conditionalFormatting sqref="C4:C6">
    <cfRule type="duplicateValues" dxfId="137" priority="7" stopIfTrue="1"/>
    <cfRule type="duplicateValues" dxfId="136" priority="8" stopIfTrue="1"/>
  </conditionalFormatting>
  <conditionalFormatting sqref="C7:C10 C2:C3 C12:C24 C26:C33">
    <cfRule type="duplicateValues" dxfId="135" priority="5843" stopIfTrue="1"/>
    <cfRule type="duplicateValues" dxfId="134" priority="5844"/>
  </conditionalFormatting>
  <conditionalFormatting sqref="C11">
    <cfRule type="duplicateValues" dxfId="133" priority="29" stopIfTrue="1"/>
    <cfRule type="duplicateValues" dxfId="132" priority="30"/>
  </conditionalFormatting>
  <conditionalFormatting sqref="C25">
    <cfRule type="duplicateValues" dxfId="131" priority="14" stopIfTrue="1"/>
    <cfRule type="duplicateValues" dxfId="130" priority="16" stopIfTrue="1"/>
  </conditionalFormatting>
  <conditionalFormatting sqref="C4:D6 C25">
    <cfRule type="expression" dxfId="129" priority="2" stopIfTrue="1">
      <formula>AND(COUNTIF($A:$B, C4)+COUNTIF($D:$D, C4)&gt;1,NOT(ISBLANK(C4)))</formula>
    </cfRule>
  </conditionalFormatting>
  <conditionalFormatting sqref="D2:D33">
    <cfRule type="duplicateValues" dxfId="128" priority="8478"/>
  </conditionalFormatting>
  <conditionalFormatting sqref="D7:D10 D2:D3 D12:D33">
    <cfRule type="duplicateValues" dxfId="127" priority="5856" stopIfTrue="1"/>
  </conditionalFormatting>
  <conditionalFormatting sqref="D11">
    <cfRule type="duplicateValues" dxfId="126" priority="31" stopIfTrue="1"/>
  </conditionalFormatting>
  <conditionalFormatting sqref="M19:M21">
    <cfRule type="iconSet" priority="4603">
      <iconSet>
        <cfvo type="percent" val="0"/>
        <cfvo type="num" val="0.4"/>
        <cfvo type="num" val="0.7"/>
      </iconSet>
    </cfRule>
  </conditionalFormatting>
  <conditionalFormatting sqref="M22:M23">
    <cfRule type="iconSet" priority="5982">
      <iconSet>
        <cfvo type="percent" val="0"/>
        <cfvo type="num" val="0.4"/>
        <cfvo type="num" val="0.7"/>
      </iconSet>
    </cfRule>
  </conditionalFormatting>
  <conditionalFormatting sqref="M24:M33 M2:M18">
    <cfRule type="iconSet" priority="6033">
      <iconSet>
        <cfvo type="percent" val="0"/>
        <cfvo type="num" val="0.4"/>
        <cfvo type="num" val="0.7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rgb="FF00B050"/>
  </sheetPr>
  <dimension ref="A1:AE1024"/>
  <sheetViews>
    <sheetView showGridLines="0" topLeftCell="I1" zoomScale="90" zoomScaleNormal="90" workbookViewId="0">
      <pane ySplit="1" topLeftCell="A6" activePane="bottomLeft" state="frozen"/>
      <selection activeCell="L3" sqref="L3"/>
      <selection pane="bottomLeft" activeCell="V22" sqref="V22"/>
    </sheetView>
  </sheetViews>
  <sheetFormatPr baseColWidth="10" defaultColWidth="9.85546875" defaultRowHeight="15"/>
  <cols>
    <col min="1" max="1" width="10.140625" style="13" bestFit="1" customWidth="1"/>
    <col min="2" max="2" width="14" style="59" bestFit="1" customWidth="1"/>
    <col min="3" max="3" width="19.140625" style="13" bestFit="1" customWidth="1"/>
    <col min="4" max="4" width="17.5703125" style="13" bestFit="1" customWidth="1"/>
    <col min="5" max="5" width="21.5703125" style="13" customWidth="1"/>
    <col min="6" max="6" width="19.42578125" style="13" customWidth="1"/>
    <col min="7" max="7" width="11.28515625" style="13" customWidth="1"/>
    <col min="8" max="8" width="30.42578125" style="13" customWidth="1"/>
    <col min="9" max="9" width="15.140625" style="13" customWidth="1"/>
    <col min="10" max="10" width="14" style="13" customWidth="1"/>
    <col min="11" max="11" width="25.5703125" style="13" bestFit="1" customWidth="1"/>
    <col min="12" max="12" width="9.42578125" style="135" customWidth="1"/>
    <col min="13" max="13" width="16.5703125" style="13" customWidth="1"/>
    <col min="14" max="14" width="43.28515625" style="13" customWidth="1"/>
    <col min="15" max="15" width="42" style="13" customWidth="1"/>
    <col min="16" max="16" width="18.5703125" style="13" customWidth="1"/>
    <col min="17" max="17" width="24.85546875" style="13" customWidth="1"/>
    <col min="18" max="18" width="17.140625" style="13" customWidth="1"/>
    <col min="19" max="19" width="20.85546875" style="13" customWidth="1"/>
    <col min="20" max="20" width="28.7109375" style="13" customWidth="1"/>
    <col min="21" max="23" width="17.85546875" style="13" customWidth="1"/>
    <col min="24" max="24" width="14.5703125" style="13" customWidth="1"/>
    <col min="25" max="25" width="11.85546875" style="13" customWidth="1"/>
    <col min="26" max="26" width="37.7109375" style="13" customWidth="1"/>
    <col min="27" max="27" width="10.140625" style="13" bestFit="1" customWidth="1"/>
    <col min="28" max="16384" width="9.85546875" style="13"/>
  </cols>
  <sheetData>
    <row r="1" spans="1:31">
      <c r="A1" s="65" t="s">
        <v>82</v>
      </c>
      <c r="B1" s="128" t="s">
        <v>83</v>
      </c>
      <c r="C1" s="65" t="s">
        <v>84</v>
      </c>
      <c r="D1" s="65" t="s">
        <v>85</v>
      </c>
      <c r="E1" s="65" t="s">
        <v>86</v>
      </c>
      <c r="F1" s="65" t="s">
        <v>87</v>
      </c>
      <c r="G1" s="129" t="s">
        <v>88</v>
      </c>
      <c r="H1" s="129" t="s">
        <v>89</v>
      </c>
      <c r="I1" s="65" t="s">
        <v>90</v>
      </c>
      <c r="J1" s="130" t="s">
        <v>91</v>
      </c>
      <c r="K1" s="65" t="s">
        <v>92</v>
      </c>
      <c r="L1" s="134" t="s">
        <v>93</v>
      </c>
      <c r="M1" s="65" t="s">
        <v>94</v>
      </c>
      <c r="N1" s="65" t="s">
        <v>0</v>
      </c>
      <c r="O1" s="65" t="s">
        <v>81</v>
      </c>
      <c r="P1" s="65" t="s">
        <v>95</v>
      </c>
      <c r="Q1" s="65" t="s">
        <v>96</v>
      </c>
      <c r="R1" s="65" t="s">
        <v>97</v>
      </c>
      <c r="S1" s="65" t="s">
        <v>98</v>
      </c>
      <c r="T1" s="65" t="s">
        <v>99</v>
      </c>
      <c r="U1" s="65" t="s">
        <v>100</v>
      </c>
      <c r="V1" s="65" t="s">
        <v>283</v>
      </c>
      <c r="W1" s="256" t="s">
        <v>284</v>
      </c>
      <c r="X1" s="65" t="s">
        <v>101</v>
      </c>
      <c r="Y1" s="65" t="s">
        <v>102</v>
      </c>
      <c r="Z1" s="57" t="s">
        <v>103</v>
      </c>
      <c r="AA1" s="13" t="s">
        <v>243</v>
      </c>
      <c r="AB1" s="13" t="s">
        <v>268</v>
      </c>
    </row>
    <row r="2" spans="1:31" hidden="1">
      <c r="A2" s="117" t="s">
        <v>821</v>
      </c>
      <c r="B2" s="138">
        <v>45139</v>
      </c>
      <c r="C2" s="117" t="s">
        <v>822</v>
      </c>
      <c r="D2" s="117" t="s">
        <v>823</v>
      </c>
      <c r="E2" s="117" t="s">
        <v>824</v>
      </c>
      <c r="F2" s="117"/>
      <c r="G2" s="117" t="s">
        <v>44</v>
      </c>
      <c r="H2" s="117" t="s">
        <v>1</v>
      </c>
      <c r="I2"/>
      <c r="J2"/>
      <c r="K2" s="117" t="s">
        <v>105</v>
      </c>
      <c r="L2">
        <v>5</v>
      </c>
      <c r="M2" s="117" t="s">
        <v>120</v>
      </c>
      <c r="N2" s="117" t="s">
        <v>21</v>
      </c>
      <c r="O2" s="117" t="s">
        <v>50</v>
      </c>
      <c r="P2" s="117" t="s">
        <v>40</v>
      </c>
      <c r="Q2" s="139">
        <v>20008711</v>
      </c>
      <c r="R2" s="117" t="s">
        <v>78</v>
      </c>
      <c r="S2" s="117" t="s">
        <v>109</v>
      </c>
      <c r="T2" s="117" t="s">
        <v>109</v>
      </c>
      <c r="U2" s="117" t="s">
        <v>128</v>
      </c>
      <c r="V2" s="12">
        <f>+IFERROR(IF(VLOOKUP(Q2,COMISIONES!$C$2:$K$33,9,0)&gt;=VLOOKUP(TC!Q2,COMISIONES!$C$2:$I$33,7,0),1,0),0)</f>
        <v>0</v>
      </c>
      <c r="W2" s="262">
        <f>+IF(H2="Segunda",VLOOKUP(_xlfn.CONCAT(P2,G2,H2,V2),'PUNTOS 2021'!$E$23:$F$30,2,0),TC!L2)</f>
        <v>5</v>
      </c>
      <c r="X2" s="67">
        <f>+VLOOKUP(Q2,COMISIONES!$C$2:$AO$33,39,0)</f>
        <v>60</v>
      </c>
      <c r="Y2" s="67">
        <f>X2*W2</f>
        <v>300</v>
      </c>
      <c r="Z2" s="58" t="s">
        <v>80</v>
      </c>
      <c r="AA2" s="13">
        <f>+VLOOKUP(Q2,COMISIONES!$C$2:$C$33,1,0)</f>
        <v>20008711</v>
      </c>
      <c r="AB2" s="13" t="s">
        <v>269</v>
      </c>
    </row>
    <row r="3" spans="1:31" hidden="1">
      <c r="A3" s="117" t="s">
        <v>821</v>
      </c>
      <c r="B3" s="138">
        <v>45139</v>
      </c>
      <c r="C3" s="117" t="s">
        <v>825</v>
      </c>
      <c r="D3" s="117" t="s">
        <v>826</v>
      </c>
      <c r="E3" s="117" t="s">
        <v>827</v>
      </c>
      <c r="F3" s="117"/>
      <c r="G3" s="117" t="s">
        <v>43</v>
      </c>
      <c r="H3" s="117" t="s">
        <v>1</v>
      </c>
      <c r="I3"/>
      <c r="J3"/>
      <c r="K3" s="117" t="s">
        <v>105</v>
      </c>
      <c r="L3">
        <v>3</v>
      </c>
      <c r="M3" s="117" t="s">
        <v>110</v>
      </c>
      <c r="N3" s="117" t="s">
        <v>10</v>
      </c>
      <c r="O3" s="117" t="s">
        <v>51</v>
      </c>
      <c r="P3" s="117" t="s">
        <v>40</v>
      </c>
      <c r="Q3" s="139">
        <v>20000661</v>
      </c>
      <c r="R3" s="117" t="s">
        <v>78</v>
      </c>
      <c r="S3" s="117" t="s">
        <v>109</v>
      </c>
      <c r="T3" s="117" t="s">
        <v>109</v>
      </c>
      <c r="U3" s="117" t="s">
        <v>128</v>
      </c>
      <c r="V3" s="12">
        <f>+IFERROR(IF(VLOOKUP(Q3,COMISIONES!$C$2:$K$33,9,0)&gt;=VLOOKUP(TC!Q3,COMISIONES!$C$2:$I$33,7,0),1,0),0)</f>
        <v>1</v>
      </c>
      <c r="W3" s="262">
        <f>+IF(H3="Segunda",VLOOKUP(_xlfn.CONCAT(P3,G3,H3,V3),'PUNTOS 2021'!$E$23:$F$30,2,0),TC!L3)</f>
        <v>3</v>
      </c>
      <c r="X3" s="67">
        <f>+VLOOKUP(Q3,COMISIONES!$C$2:$AO$33,39,0)</f>
        <v>60</v>
      </c>
      <c r="Y3" s="67">
        <f t="shared" ref="Y3:Y64" si="0">X3*W3</f>
        <v>180</v>
      </c>
      <c r="Z3" s="58" t="s">
        <v>80</v>
      </c>
      <c r="AA3" s="13">
        <f>+VLOOKUP(Q3,COMISIONES!$C$2:$C$33,1,0)</f>
        <v>20000661</v>
      </c>
      <c r="AB3" s="13" t="s">
        <v>269</v>
      </c>
      <c r="AE3"/>
    </row>
    <row r="4" spans="1:31" hidden="1">
      <c r="A4" s="117" t="s">
        <v>821</v>
      </c>
      <c r="B4" s="138">
        <v>45139</v>
      </c>
      <c r="C4" s="117" t="s">
        <v>828</v>
      </c>
      <c r="D4" s="117" t="s">
        <v>829</v>
      </c>
      <c r="E4" s="117" t="s">
        <v>830</v>
      </c>
      <c r="F4" s="117"/>
      <c r="G4" s="117" t="s">
        <v>45</v>
      </c>
      <c r="H4" s="117" t="s">
        <v>1</v>
      </c>
      <c r="I4"/>
      <c r="J4"/>
      <c r="K4" s="117" t="s">
        <v>105</v>
      </c>
      <c r="L4">
        <v>7</v>
      </c>
      <c r="M4" s="117" t="s">
        <v>122</v>
      </c>
      <c r="N4" s="117" t="s">
        <v>5</v>
      </c>
      <c r="O4" s="117" t="s">
        <v>50</v>
      </c>
      <c r="P4" s="117" t="s">
        <v>40</v>
      </c>
      <c r="Q4" s="139">
        <v>20004566</v>
      </c>
      <c r="R4" s="117" t="s">
        <v>78</v>
      </c>
      <c r="S4" s="117" t="s">
        <v>109</v>
      </c>
      <c r="T4" s="117"/>
      <c r="U4" s="117" t="s">
        <v>108</v>
      </c>
      <c r="V4" s="12">
        <f>+IFERROR(IF(VLOOKUP(Q4,COMISIONES!$C$2:$K$33,9,0)&gt;=VLOOKUP(TC!Q4,COMISIONES!$C$2:$I$33,7,0),1,0),0)</f>
        <v>1</v>
      </c>
      <c r="W4" s="262">
        <f>+IF(H4="Segunda",VLOOKUP(_xlfn.CONCAT(P4,G4,H4,V4),'PUNTOS 2021'!$E$23:$F$30,2,0),TC!L4)</f>
        <v>7</v>
      </c>
      <c r="X4" s="67">
        <f>+VLOOKUP(Q4,COMISIONES!$C$2:$AO$33,39,0)</f>
        <v>60</v>
      </c>
      <c r="Y4" s="67">
        <f t="shared" si="0"/>
        <v>420</v>
      </c>
      <c r="Z4" s="58" t="s">
        <v>80</v>
      </c>
      <c r="AA4" s="13">
        <f>+VLOOKUP(Q4,COMISIONES!$C$2:$C$33,1,0)</f>
        <v>20004566</v>
      </c>
      <c r="AB4" s="13" t="s">
        <v>269</v>
      </c>
      <c r="AE4"/>
    </row>
    <row r="5" spans="1:31" hidden="1">
      <c r="A5" s="117" t="s">
        <v>821</v>
      </c>
      <c r="B5" s="138">
        <v>45139</v>
      </c>
      <c r="C5" s="117" t="s">
        <v>831</v>
      </c>
      <c r="D5" s="117" t="s">
        <v>832</v>
      </c>
      <c r="E5" s="117" t="s">
        <v>833</v>
      </c>
      <c r="F5" s="117"/>
      <c r="G5" s="117" t="s">
        <v>45</v>
      </c>
      <c r="H5" s="117" t="s">
        <v>1</v>
      </c>
      <c r="I5"/>
      <c r="J5"/>
      <c r="K5" s="117" t="s">
        <v>105</v>
      </c>
      <c r="L5">
        <v>7</v>
      </c>
      <c r="M5" s="117" t="s">
        <v>122</v>
      </c>
      <c r="N5" s="117" t="s">
        <v>5</v>
      </c>
      <c r="O5" s="117" t="s">
        <v>50</v>
      </c>
      <c r="P5" s="117" t="s">
        <v>40</v>
      </c>
      <c r="Q5" s="139">
        <v>20004566</v>
      </c>
      <c r="R5" s="117" t="s">
        <v>78</v>
      </c>
      <c r="S5" s="117" t="s">
        <v>109</v>
      </c>
      <c r="T5" s="117" t="s">
        <v>109</v>
      </c>
      <c r="U5" s="117" t="s">
        <v>128</v>
      </c>
      <c r="V5" s="12">
        <f>+IFERROR(IF(VLOOKUP(Q5,COMISIONES!$C$2:$K$33,9,0)&gt;=VLOOKUP(TC!Q5,COMISIONES!$C$2:$I$33,7,0),1,0),0)</f>
        <v>1</v>
      </c>
      <c r="W5" s="262">
        <f>+IF(H5="Segunda",VLOOKUP(_xlfn.CONCAT(P5,G5,H5,V5),'PUNTOS 2021'!$E$23:$F$30,2,0),TC!L5)</f>
        <v>7</v>
      </c>
      <c r="X5" s="67">
        <f>+VLOOKUP(Q5,COMISIONES!$C$2:$AO$33,39,0)</f>
        <v>60</v>
      </c>
      <c r="Y5" s="67">
        <f t="shared" si="0"/>
        <v>420</v>
      </c>
      <c r="Z5" s="58" t="s">
        <v>80</v>
      </c>
      <c r="AA5" s="13">
        <f>+VLOOKUP(Q5,COMISIONES!$C$2:$C$33,1,0)</f>
        <v>20004566</v>
      </c>
      <c r="AB5" s="13" t="s">
        <v>269</v>
      </c>
      <c r="AE5"/>
    </row>
    <row r="6" spans="1:31">
      <c r="A6" s="117" t="s">
        <v>821</v>
      </c>
      <c r="B6" s="138">
        <v>45139</v>
      </c>
      <c r="C6" s="117" t="s">
        <v>834</v>
      </c>
      <c r="D6" s="117" t="s">
        <v>835</v>
      </c>
      <c r="E6" s="117" t="s">
        <v>836</v>
      </c>
      <c r="F6" s="117"/>
      <c r="G6" s="117" t="s">
        <v>45</v>
      </c>
      <c r="H6" s="117" t="s">
        <v>2</v>
      </c>
      <c r="I6"/>
      <c r="J6"/>
      <c r="K6" s="117" t="s">
        <v>129</v>
      </c>
      <c r="L6">
        <v>2</v>
      </c>
      <c r="M6" s="117" t="s">
        <v>119</v>
      </c>
      <c r="N6" s="117" t="s">
        <v>22</v>
      </c>
      <c r="O6" s="117" t="s">
        <v>52</v>
      </c>
      <c r="P6" s="117" t="s">
        <v>40</v>
      </c>
      <c r="Q6" s="139">
        <v>20009174</v>
      </c>
      <c r="R6" s="117" t="s">
        <v>78</v>
      </c>
      <c r="S6" s="117" t="s">
        <v>109</v>
      </c>
      <c r="T6" s="117" t="s">
        <v>109</v>
      </c>
      <c r="U6" s="117" t="s">
        <v>128</v>
      </c>
      <c r="V6" s="12">
        <f>+IFERROR(IF(VLOOKUP(Q6,COMISIONES!$C$2:$K$33,9,0)&gt;=VLOOKUP(TC!Q6,COMISIONES!$C$2:$I$33,7,0),1,0),0)</f>
        <v>0</v>
      </c>
      <c r="W6" s="262">
        <f>+IF(H6="Segunda",VLOOKUP(_xlfn.CONCAT(P6,G6,H6,V6),'PUNTOS 2021'!$E$23:$F$30,2,0),TC!L6)</f>
        <v>0.5</v>
      </c>
      <c r="X6" s="67">
        <f>+VLOOKUP(Q6,COMISIONES!$C$2:$AO$33,39,0)</f>
        <v>60</v>
      </c>
      <c r="Y6" s="67">
        <f t="shared" si="0"/>
        <v>30</v>
      </c>
      <c r="Z6" s="58" t="s">
        <v>80</v>
      </c>
      <c r="AA6" s="13">
        <f>+VLOOKUP(Q6,COMISIONES!$C$2:$C$33,1,0)</f>
        <v>20009174</v>
      </c>
      <c r="AB6" s="13" t="s">
        <v>269</v>
      </c>
      <c r="AE6"/>
    </row>
    <row r="7" spans="1:31" hidden="1">
      <c r="A7" s="117" t="s">
        <v>821</v>
      </c>
      <c r="B7" s="138">
        <v>45139</v>
      </c>
      <c r="C7" s="117" t="s">
        <v>837</v>
      </c>
      <c r="D7" s="117" t="s">
        <v>838</v>
      </c>
      <c r="E7" s="117" t="s">
        <v>839</v>
      </c>
      <c r="F7" s="117"/>
      <c r="G7" s="117" t="s">
        <v>45</v>
      </c>
      <c r="H7" s="117" t="s">
        <v>1</v>
      </c>
      <c r="I7"/>
      <c r="J7"/>
      <c r="K7" s="117" t="s">
        <v>105</v>
      </c>
      <c r="L7">
        <v>7</v>
      </c>
      <c r="M7" s="117" t="s">
        <v>125</v>
      </c>
      <c r="N7" s="117" t="s">
        <v>18</v>
      </c>
      <c r="O7" s="117" t="s">
        <v>50</v>
      </c>
      <c r="P7" s="117" t="s">
        <v>40</v>
      </c>
      <c r="Q7" s="139">
        <v>20008439</v>
      </c>
      <c r="R7" s="117" t="s">
        <v>78</v>
      </c>
      <c r="S7" s="117" t="s">
        <v>109</v>
      </c>
      <c r="T7" s="117" t="s">
        <v>109</v>
      </c>
      <c r="U7" s="117" t="s">
        <v>128</v>
      </c>
      <c r="V7" s="12">
        <f>+IFERROR(IF(VLOOKUP(Q7,COMISIONES!$C$2:$K$33,9,0)&gt;=VLOOKUP(TC!Q7,COMISIONES!$C$2:$I$33,7,0),1,0),0)</f>
        <v>1</v>
      </c>
      <c r="W7" s="262">
        <f>+IF(H7="Segunda",VLOOKUP(_xlfn.CONCAT(P7,G7,H7,V7),'PUNTOS 2021'!$E$23:$F$30,2,0),TC!L7)</f>
        <v>7</v>
      </c>
      <c r="X7" s="67">
        <f>+VLOOKUP(Q7,COMISIONES!$C$2:$AO$33,39,0)</f>
        <v>60</v>
      </c>
      <c r="Y7" s="67">
        <f t="shared" si="0"/>
        <v>420</v>
      </c>
      <c r="Z7" s="58" t="s">
        <v>80</v>
      </c>
      <c r="AA7" s="13">
        <f>+VLOOKUP(Q7,COMISIONES!$C$2:$C$33,1,0)</f>
        <v>20008439</v>
      </c>
      <c r="AB7" s="13" t="s">
        <v>269</v>
      </c>
      <c r="AE7"/>
    </row>
    <row r="8" spans="1:31" hidden="1">
      <c r="A8" s="117" t="s">
        <v>821</v>
      </c>
      <c r="B8" s="138">
        <v>45139</v>
      </c>
      <c r="C8" s="117" t="s">
        <v>840</v>
      </c>
      <c r="D8" s="117" t="s">
        <v>841</v>
      </c>
      <c r="E8" s="117" t="s">
        <v>842</v>
      </c>
      <c r="F8" s="117"/>
      <c r="G8" s="117" t="s">
        <v>44</v>
      </c>
      <c r="H8" s="117" t="s">
        <v>1</v>
      </c>
      <c r="I8"/>
      <c r="J8"/>
      <c r="K8" s="117" t="s">
        <v>129</v>
      </c>
      <c r="L8">
        <v>5</v>
      </c>
      <c r="M8" s="117" t="s">
        <v>122</v>
      </c>
      <c r="N8" s="117" t="s">
        <v>5</v>
      </c>
      <c r="O8" s="117" t="s">
        <v>50</v>
      </c>
      <c r="P8" s="117" t="s">
        <v>40</v>
      </c>
      <c r="Q8" s="139">
        <v>20004566</v>
      </c>
      <c r="R8" s="117" t="s">
        <v>78</v>
      </c>
      <c r="S8" s="117" t="s">
        <v>109</v>
      </c>
      <c r="T8" s="117" t="s">
        <v>109</v>
      </c>
      <c r="U8" s="117" t="s">
        <v>128</v>
      </c>
      <c r="V8" s="12">
        <f>+IFERROR(IF(VLOOKUP(Q8,COMISIONES!$C$2:$K$33,9,0)&gt;=VLOOKUP(TC!Q8,COMISIONES!$C$2:$I$33,7,0),1,0),0)</f>
        <v>1</v>
      </c>
      <c r="W8" s="262">
        <f>+IF(H8="Segunda",VLOOKUP(_xlfn.CONCAT(P8,G8,H8,V8),'PUNTOS 2021'!$E$23:$F$30,2,0),TC!L8)</f>
        <v>5</v>
      </c>
      <c r="X8" s="67">
        <f>+VLOOKUP(Q8,COMISIONES!$C$2:$AO$33,39,0)</f>
        <v>60</v>
      </c>
      <c r="Y8" s="67">
        <f t="shared" si="0"/>
        <v>300</v>
      </c>
      <c r="Z8" s="58" t="s">
        <v>80</v>
      </c>
      <c r="AA8" s="13">
        <f>+VLOOKUP(Q8,COMISIONES!$C$2:$C$33,1,0)</f>
        <v>20004566</v>
      </c>
      <c r="AB8" s="13" t="s">
        <v>269</v>
      </c>
      <c r="AE8"/>
    </row>
    <row r="9" spans="1:31" hidden="1">
      <c r="A9" s="117" t="s">
        <v>821</v>
      </c>
      <c r="B9" s="138">
        <v>45139</v>
      </c>
      <c r="C9" s="117" t="s">
        <v>843</v>
      </c>
      <c r="D9" s="117" t="s">
        <v>844</v>
      </c>
      <c r="E9" s="117" t="s">
        <v>845</v>
      </c>
      <c r="F9" s="117"/>
      <c r="G9" s="117" t="s">
        <v>45</v>
      </c>
      <c r="H9" s="117" t="s">
        <v>1</v>
      </c>
      <c r="I9"/>
      <c r="J9"/>
      <c r="K9" s="117" t="s">
        <v>105</v>
      </c>
      <c r="L9">
        <v>7</v>
      </c>
      <c r="M9" s="117" t="s">
        <v>119</v>
      </c>
      <c r="N9" s="117" t="s">
        <v>22</v>
      </c>
      <c r="O9" s="117" t="s">
        <v>52</v>
      </c>
      <c r="P9" s="117" t="s">
        <v>40</v>
      </c>
      <c r="Q9" s="139">
        <v>20009174</v>
      </c>
      <c r="R9" s="117" t="s">
        <v>78</v>
      </c>
      <c r="S9" s="117" t="s">
        <v>109</v>
      </c>
      <c r="T9" s="117"/>
      <c r="U9" s="117" t="s">
        <v>108</v>
      </c>
      <c r="V9" s="12">
        <f>+IFERROR(IF(VLOOKUP(Q9,COMISIONES!$C$2:$K$33,9,0)&gt;=VLOOKUP(TC!Q9,COMISIONES!$C$2:$I$33,7,0),1,0),0)</f>
        <v>0</v>
      </c>
      <c r="W9" s="262">
        <f>+IF(H9="Segunda",VLOOKUP(_xlfn.CONCAT(P9,G9,H9,V9),'PUNTOS 2021'!$E$23:$F$30,2,0),TC!L9)</f>
        <v>7</v>
      </c>
      <c r="X9" s="67">
        <f>+VLOOKUP(Q9,COMISIONES!$C$2:$AO$33,39,0)</f>
        <v>60</v>
      </c>
      <c r="Y9" s="67">
        <f t="shared" si="0"/>
        <v>420</v>
      </c>
      <c r="Z9" s="58" t="s">
        <v>80</v>
      </c>
      <c r="AA9" s="13">
        <f>+VLOOKUP(Q9,COMISIONES!$C$2:$C$33,1,0)</f>
        <v>20009174</v>
      </c>
      <c r="AB9" s="13" t="s">
        <v>269</v>
      </c>
      <c r="AE9"/>
    </row>
    <row r="10" spans="1:31" hidden="1">
      <c r="A10" s="117" t="s">
        <v>821</v>
      </c>
      <c r="B10" s="138">
        <v>45139</v>
      </c>
      <c r="C10" s="117" t="s">
        <v>846</v>
      </c>
      <c r="D10" s="117" t="s">
        <v>847</v>
      </c>
      <c r="E10" s="117" t="s">
        <v>848</v>
      </c>
      <c r="F10" s="117"/>
      <c r="G10" s="117" t="s">
        <v>45</v>
      </c>
      <c r="H10" s="117" t="s">
        <v>1</v>
      </c>
      <c r="I10"/>
      <c r="J10"/>
      <c r="K10" s="117" t="s">
        <v>105</v>
      </c>
      <c r="L10">
        <v>7</v>
      </c>
      <c r="M10" s="117" t="s">
        <v>110</v>
      </c>
      <c r="N10" s="117" t="s">
        <v>10</v>
      </c>
      <c r="O10" s="117" t="s">
        <v>51</v>
      </c>
      <c r="P10" s="117" t="s">
        <v>40</v>
      </c>
      <c r="Q10" s="139">
        <v>20000661</v>
      </c>
      <c r="R10" s="117" t="s">
        <v>78</v>
      </c>
      <c r="S10" s="117" t="s">
        <v>109</v>
      </c>
      <c r="T10" s="117"/>
      <c r="U10" s="117" t="s">
        <v>108</v>
      </c>
      <c r="V10" s="12">
        <f>+IFERROR(IF(VLOOKUP(Q10,COMISIONES!$C$2:$K$33,9,0)&gt;=VLOOKUP(TC!Q10,COMISIONES!$C$2:$I$33,7,0),1,0),0)</f>
        <v>1</v>
      </c>
      <c r="W10" s="262">
        <f>+IF(H10="Segunda",VLOOKUP(_xlfn.CONCAT(P10,G10,H10,V10),'PUNTOS 2021'!$E$23:$F$30,2,0),TC!L10)</f>
        <v>7</v>
      </c>
      <c r="X10" s="67">
        <f>+VLOOKUP(Q10,COMISIONES!$C$2:$AO$33,39,0)</f>
        <v>60</v>
      </c>
      <c r="Y10" s="67">
        <f t="shared" si="0"/>
        <v>420</v>
      </c>
      <c r="Z10" s="58" t="s">
        <v>80</v>
      </c>
      <c r="AA10" s="13">
        <f>+VLOOKUP(Q10,COMISIONES!$C$2:$C$33,1,0)</f>
        <v>20000661</v>
      </c>
      <c r="AB10" s="13" t="s">
        <v>269</v>
      </c>
      <c r="AE10"/>
    </row>
    <row r="11" spans="1:31" hidden="1">
      <c r="A11" s="117" t="s">
        <v>821</v>
      </c>
      <c r="B11" s="138">
        <v>45139</v>
      </c>
      <c r="C11" s="117" t="s">
        <v>849</v>
      </c>
      <c r="D11" s="117" t="s">
        <v>850</v>
      </c>
      <c r="E11" s="117" t="s">
        <v>851</v>
      </c>
      <c r="F11" s="117"/>
      <c r="G11" s="117" t="s">
        <v>45</v>
      </c>
      <c r="H11" s="117" t="s">
        <v>1</v>
      </c>
      <c r="I11"/>
      <c r="J11"/>
      <c r="K11" s="117" t="s">
        <v>105</v>
      </c>
      <c r="L11">
        <v>7</v>
      </c>
      <c r="M11" s="117" t="s">
        <v>413</v>
      </c>
      <c r="N11" s="117" t="s">
        <v>390</v>
      </c>
      <c r="O11" s="117" t="s">
        <v>49</v>
      </c>
      <c r="P11" s="117" t="s">
        <v>40</v>
      </c>
      <c r="Q11" s="139">
        <v>20010617</v>
      </c>
      <c r="R11" s="117" t="s">
        <v>78</v>
      </c>
      <c r="S11" s="117" t="s">
        <v>109</v>
      </c>
      <c r="T11" s="117"/>
      <c r="U11" s="117" t="s">
        <v>108</v>
      </c>
      <c r="V11" s="12">
        <f>+IFERROR(IF(VLOOKUP(Q11,COMISIONES!$C$2:$K$33,9,0)&gt;=VLOOKUP(TC!Q11,COMISIONES!$C$2:$I$33,7,0),1,0),0)</f>
        <v>0</v>
      </c>
      <c r="W11" s="262">
        <f>+IF(H11="Segunda",VLOOKUP(_xlfn.CONCAT(P11,G11,H11,V11),'PUNTOS 2021'!$E$23:$F$30,2,0),TC!L11)</f>
        <v>7</v>
      </c>
      <c r="X11" s="67">
        <f>+VLOOKUP(Q11,COMISIONES!$C$2:$AO$33,39,0)</f>
        <v>18</v>
      </c>
      <c r="Y11" s="67">
        <f t="shared" si="0"/>
        <v>126</v>
      </c>
      <c r="Z11" s="58" t="s">
        <v>80</v>
      </c>
      <c r="AA11" s="13">
        <f>+VLOOKUP(Q11,COMISIONES!$C$2:$C$33,1,0)</f>
        <v>20010617</v>
      </c>
      <c r="AB11" s="13" t="s">
        <v>269</v>
      </c>
      <c r="AE11"/>
    </row>
    <row r="12" spans="1:31">
      <c r="A12" s="117" t="s">
        <v>821</v>
      </c>
      <c r="B12" s="138">
        <v>45139</v>
      </c>
      <c r="C12" s="117" t="s">
        <v>852</v>
      </c>
      <c r="D12" s="117" t="s">
        <v>853</v>
      </c>
      <c r="E12" s="117" t="s">
        <v>854</v>
      </c>
      <c r="F12" s="117"/>
      <c r="G12" s="117" t="s">
        <v>43</v>
      </c>
      <c r="H12" s="117" t="s">
        <v>2</v>
      </c>
      <c r="I12"/>
      <c r="J12"/>
      <c r="K12" s="117" t="s">
        <v>105</v>
      </c>
      <c r="L12">
        <v>1</v>
      </c>
      <c r="M12" s="117" t="s">
        <v>119</v>
      </c>
      <c r="N12" s="117" t="s">
        <v>22</v>
      </c>
      <c r="O12" s="117" t="s">
        <v>52</v>
      </c>
      <c r="P12" s="117" t="s">
        <v>40</v>
      </c>
      <c r="Q12" s="139">
        <v>20009174</v>
      </c>
      <c r="R12" s="117" t="s">
        <v>78</v>
      </c>
      <c r="S12" s="117" t="s">
        <v>109</v>
      </c>
      <c r="T12" s="117"/>
      <c r="U12" s="117" t="s">
        <v>108</v>
      </c>
      <c r="V12" s="12">
        <f>+IFERROR(IF(VLOOKUP(Q12,COMISIONES!$C$2:$K$33,9,0)&gt;=VLOOKUP(TC!Q12,COMISIONES!$C$2:$I$33,7,0),1,0),0)</f>
        <v>0</v>
      </c>
      <c r="W12" s="262">
        <f>+IF(H12="Segunda",VLOOKUP(_xlfn.CONCAT(P12,G12,H12,V12),'PUNTOS 2021'!$E$23:$F$30,2,0),TC!L12)</f>
        <v>0.5</v>
      </c>
      <c r="X12" s="67">
        <f>+VLOOKUP(Q12,COMISIONES!$C$2:$AO$33,39,0)</f>
        <v>60</v>
      </c>
      <c r="Y12" s="67">
        <f t="shared" si="0"/>
        <v>30</v>
      </c>
      <c r="Z12" s="58" t="s">
        <v>80</v>
      </c>
      <c r="AA12" s="13">
        <f>+VLOOKUP(Q12,COMISIONES!$C$2:$C$33,1,0)</f>
        <v>20009174</v>
      </c>
      <c r="AB12" s="13" t="s">
        <v>269</v>
      </c>
      <c r="AE12"/>
    </row>
    <row r="13" spans="1:31" hidden="1">
      <c r="A13" s="117" t="s">
        <v>821</v>
      </c>
      <c r="B13" s="138">
        <v>45139</v>
      </c>
      <c r="C13" s="117" t="s">
        <v>855</v>
      </c>
      <c r="D13" s="117" t="s">
        <v>856</v>
      </c>
      <c r="E13" s="117" t="s">
        <v>857</v>
      </c>
      <c r="F13" s="117"/>
      <c r="G13" s="117" t="s">
        <v>45</v>
      </c>
      <c r="H13" s="117" t="s">
        <v>1</v>
      </c>
      <c r="I13"/>
      <c r="J13"/>
      <c r="K13" s="117" t="s">
        <v>105</v>
      </c>
      <c r="L13">
        <v>7</v>
      </c>
      <c r="M13" s="117" t="s">
        <v>402</v>
      </c>
      <c r="N13" s="117" t="s">
        <v>389</v>
      </c>
      <c r="O13" s="117" t="s">
        <v>50</v>
      </c>
      <c r="P13" s="117" t="s">
        <v>40</v>
      </c>
      <c r="Q13" s="139">
        <v>20010604</v>
      </c>
      <c r="R13" s="117" t="s">
        <v>78</v>
      </c>
      <c r="S13" s="117" t="s">
        <v>109</v>
      </c>
      <c r="T13" s="117"/>
      <c r="U13" s="117" t="s">
        <v>108</v>
      </c>
      <c r="V13" s="12">
        <f>+IFERROR(IF(VLOOKUP(Q13,COMISIONES!$C$2:$K$33,9,0)&gt;=VLOOKUP(TC!Q13,COMISIONES!$C$2:$I$33,7,0),1,0),0)</f>
        <v>0</v>
      </c>
      <c r="W13" s="262">
        <f>+IF(H13="Segunda",VLOOKUP(_xlfn.CONCAT(P13,G13,H13,V13),'PUNTOS 2021'!$E$23:$F$30,2,0),TC!L13)</f>
        <v>7</v>
      </c>
      <c r="X13" s="67">
        <f>+VLOOKUP(Q13,COMISIONES!$C$2:$AO$33,39,0)</f>
        <v>40</v>
      </c>
      <c r="Y13" s="67">
        <f t="shared" si="0"/>
        <v>280</v>
      </c>
      <c r="Z13" s="58" t="s">
        <v>80</v>
      </c>
      <c r="AA13" s="13">
        <f>+VLOOKUP(Q13,COMISIONES!$C$2:$C$33,1,0)</f>
        <v>20010604</v>
      </c>
      <c r="AB13" s="13" t="s">
        <v>269</v>
      </c>
      <c r="AE13"/>
    </row>
    <row r="14" spans="1:31" hidden="1">
      <c r="A14" s="117" t="s">
        <v>821</v>
      </c>
      <c r="B14" s="138">
        <v>45139</v>
      </c>
      <c r="C14" s="117" t="s">
        <v>858</v>
      </c>
      <c r="D14" s="117" t="s">
        <v>859</v>
      </c>
      <c r="E14" s="117" t="s">
        <v>860</v>
      </c>
      <c r="F14" s="117"/>
      <c r="G14" s="117" t="s">
        <v>44</v>
      </c>
      <c r="H14" s="117" t="s">
        <v>1</v>
      </c>
      <c r="I14"/>
      <c r="J14"/>
      <c r="K14" s="117" t="s">
        <v>105</v>
      </c>
      <c r="L14">
        <v>5</v>
      </c>
      <c r="M14" s="117" t="s">
        <v>113</v>
      </c>
      <c r="N14" s="117" t="s">
        <v>12</v>
      </c>
      <c r="O14" s="117" t="s">
        <v>49</v>
      </c>
      <c r="P14" s="117" t="s">
        <v>40</v>
      </c>
      <c r="Q14" s="139">
        <v>20007726</v>
      </c>
      <c r="R14" s="117" t="s">
        <v>78</v>
      </c>
      <c r="S14" s="117" t="s">
        <v>109</v>
      </c>
      <c r="T14" s="117" t="s">
        <v>109</v>
      </c>
      <c r="U14" s="117" t="s">
        <v>128</v>
      </c>
      <c r="V14" s="12">
        <f>+IFERROR(IF(VLOOKUP(Q14,COMISIONES!$C$2:$K$33,9,0)&gt;=VLOOKUP(TC!Q14,COMISIONES!$C$2:$I$33,7,0),1,0),0)</f>
        <v>1</v>
      </c>
      <c r="W14" s="262">
        <f>+IF(H14="Segunda",VLOOKUP(_xlfn.CONCAT(P14,G14,H14,V14),'PUNTOS 2021'!$E$23:$F$30,2,0),TC!L14)</f>
        <v>5</v>
      </c>
      <c r="X14" s="67">
        <f>+VLOOKUP(Q14,COMISIONES!$C$2:$AO$33,39,0)</f>
        <v>65</v>
      </c>
      <c r="Y14" s="67">
        <f t="shared" si="0"/>
        <v>325</v>
      </c>
      <c r="Z14" s="58" t="s">
        <v>80</v>
      </c>
      <c r="AA14" s="13">
        <f>+VLOOKUP(Q14,COMISIONES!$C$2:$C$33,1,0)</f>
        <v>20007726</v>
      </c>
      <c r="AB14" s="13" t="s">
        <v>269</v>
      </c>
      <c r="AE14"/>
    </row>
    <row r="15" spans="1:31" hidden="1">
      <c r="A15" s="117" t="s">
        <v>821</v>
      </c>
      <c r="B15" s="138">
        <v>45139</v>
      </c>
      <c r="C15" s="117" t="s">
        <v>861</v>
      </c>
      <c r="D15" s="117" t="s">
        <v>862</v>
      </c>
      <c r="E15" s="117" t="s">
        <v>863</v>
      </c>
      <c r="F15" s="117"/>
      <c r="G15" s="117" t="s">
        <v>45</v>
      </c>
      <c r="H15" s="117" t="s">
        <v>1</v>
      </c>
      <c r="I15"/>
      <c r="J15"/>
      <c r="K15" s="117" t="s">
        <v>105</v>
      </c>
      <c r="L15">
        <v>7</v>
      </c>
      <c r="M15" s="117" t="s">
        <v>120</v>
      </c>
      <c r="N15" s="117" t="s">
        <v>21</v>
      </c>
      <c r="O15" s="117" t="s">
        <v>50</v>
      </c>
      <c r="P15" s="117" t="s">
        <v>40</v>
      </c>
      <c r="Q15" s="139">
        <v>20008711</v>
      </c>
      <c r="R15" s="117" t="s">
        <v>78</v>
      </c>
      <c r="S15" s="117" t="s">
        <v>109</v>
      </c>
      <c r="T15" s="117"/>
      <c r="U15" s="117" t="s">
        <v>108</v>
      </c>
      <c r="V15" s="12">
        <f>+IFERROR(IF(VLOOKUP(Q15,COMISIONES!$C$2:$K$33,9,0)&gt;=VLOOKUP(TC!Q15,COMISIONES!$C$2:$I$33,7,0),1,0),0)</f>
        <v>0</v>
      </c>
      <c r="W15" s="262">
        <f>+IF(H15="Segunda",VLOOKUP(_xlfn.CONCAT(P15,G15,H15,V15),'PUNTOS 2021'!$E$23:$F$30,2,0),TC!L15)</f>
        <v>7</v>
      </c>
      <c r="X15" s="67">
        <f>+VLOOKUP(Q15,COMISIONES!$C$2:$AO$33,39,0)</f>
        <v>60</v>
      </c>
      <c r="Y15" s="67">
        <f t="shared" si="0"/>
        <v>420</v>
      </c>
      <c r="Z15" s="58" t="s">
        <v>80</v>
      </c>
      <c r="AA15" s="13">
        <f>+VLOOKUP(Q15,COMISIONES!$C$2:$C$33,1,0)</f>
        <v>20008711</v>
      </c>
      <c r="AB15" s="13" t="s">
        <v>269</v>
      </c>
      <c r="AE15"/>
    </row>
    <row r="16" spans="1:31">
      <c r="A16" s="117" t="s">
        <v>821</v>
      </c>
      <c r="B16" s="138">
        <v>45139</v>
      </c>
      <c r="C16" s="117" t="s">
        <v>864</v>
      </c>
      <c r="D16" s="117" t="s">
        <v>865</v>
      </c>
      <c r="E16" s="117" t="s">
        <v>866</v>
      </c>
      <c r="F16" s="117"/>
      <c r="G16" s="117" t="s">
        <v>45</v>
      </c>
      <c r="H16" s="117" t="s">
        <v>2</v>
      </c>
      <c r="I16"/>
      <c r="J16"/>
      <c r="K16" s="117" t="s">
        <v>105</v>
      </c>
      <c r="L16">
        <v>2</v>
      </c>
      <c r="M16" s="117" t="s">
        <v>114</v>
      </c>
      <c r="N16" s="117" t="s">
        <v>19</v>
      </c>
      <c r="O16" s="117" t="s">
        <v>49</v>
      </c>
      <c r="P16" s="117" t="s">
        <v>40</v>
      </c>
      <c r="Q16" s="139">
        <v>20008625</v>
      </c>
      <c r="R16" s="117" t="s">
        <v>78</v>
      </c>
      <c r="S16" s="117" t="s">
        <v>109</v>
      </c>
      <c r="T16" s="117"/>
      <c r="U16" s="117" t="s">
        <v>108</v>
      </c>
      <c r="V16" s="12">
        <f>+IFERROR(IF(VLOOKUP(Q16,COMISIONES!$C$2:$K$33,9,0)&gt;=VLOOKUP(TC!Q16,COMISIONES!$C$2:$I$33,7,0),1,0),0)</f>
        <v>0</v>
      </c>
      <c r="W16" s="262">
        <f>+IF(H16="Segunda",VLOOKUP(_xlfn.CONCAT(P16,G16,H16,V16),'PUNTOS 2021'!$E$23:$F$30,2,0),TC!L16)</f>
        <v>0.5</v>
      </c>
      <c r="X16" s="67">
        <f>+VLOOKUP(Q16,COMISIONES!$C$2:$AO$33,39,0)</f>
        <v>20</v>
      </c>
      <c r="Y16" s="67">
        <f t="shared" si="0"/>
        <v>10</v>
      </c>
      <c r="Z16" s="58" t="s">
        <v>80</v>
      </c>
      <c r="AA16" s="13">
        <f>+VLOOKUP(Q16,COMISIONES!$C$2:$C$33,1,0)</f>
        <v>20008625</v>
      </c>
      <c r="AB16" s="13" t="s">
        <v>269</v>
      </c>
      <c r="AE16"/>
    </row>
    <row r="17" spans="1:31" hidden="1">
      <c r="A17" s="117" t="s">
        <v>821</v>
      </c>
      <c r="B17" s="138">
        <v>45139</v>
      </c>
      <c r="C17" s="117" t="s">
        <v>867</v>
      </c>
      <c r="D17" s="117" t="s">
        <v>868</v>
      </c>
      <c r="E17" s="117" t="s">
        <v>869</v>
      </c>
      <c r="F17" s="117"/>
      <c r="G17" s="117" t="s">
        <v>45</v>
      </c>
      <c r="H17" s="117" t="s">
        <v>1</v>
      </c>
      <c r="I17"/>
      <c r="J17"/>
      <c r="K17" s="117" t="s">
        <v>105</v>
      </c>
      <c r="L17">
        <v>7</v>
      </c>
      <c r="M17" s="117" t="s">
        <v>113</v>
      </c>
      <c r="N17" s="117" t="s">
        <v>12</v>
      </c>
      <c r="O17" s="117" t="s">
        <v>49</v>
      </c>
      <c r="P17" s="117" t="s">
        <v>40</v>
      </c>
      <c r="Q17" s="139">
        <v>20007726</v>
      </c>
      <c r="R17" s="117" t="s">
        <v>78</v>
      </c>
      <c r="S17" s="117" t="s">
        <v>109</v>
      </c>
      <c r="T17" s="117"/>
      <c r="U17" s="117" t="s">
        <v>108</v>
      </c>
      <c r="V17" s="12">
        <f>+IFERROR(IF(VLOOKUP(Q17,COMISIONES!$C$2:$K$33,9,0)&gt;=VLOOKUP(TC!Q17,COMISIONES!$C$2:$I$33,7,0),1,0),0)</f>
        <v>1</v>
      </c>
      <c r="W17" s="262">
        <f>+IF(H17="Segunda",VLOOKUP(_xlfn.CONCAT(P17,G17,H17,V17),'PUNTOS 2021'!$E$23:$F$30,2,0),TC!L17)</f>
        <v>7</v>
      </c>
      <c r="X17" s="67">
        <f>+VLOOKUP(Q17,COMISIONES!$C$2:$AO$33,39,0)</f>
        <v>65</v>
      </c>
      <c r="Y17" s="67">
        <f t="shared" si="0"/>
        <v>455</v>
      </c>
      <c r="Z17" s="58" t="s">
        <v>80</v>
      </c>
      <c r="AA17" s="13">
        <f>+VLOOKUP(Q17,COMISIONES!$C$2:$C$33,1,0)</f>
        <v>20007726</v>
      </c>
      <c r="AB17" s="13" t="s">
        <v>269</v>
      </c>
      <c r="AE17"/>
    </row>
    <row r="18" spans="1:31">
      <c r="A18" s="117" t="s">
        <v>821</v>
      </c>
      <c r="B18" s="138">
        <v>45139</v>
      </c>
      <c r="C18" s="117" t="s">
        <v>870</v>
      </c>
      <c r="D18" s="117" t="s">
        <v>871</v>
      </c>
      <c r="E18" s="117" t="s">
        <v>872</v>
      </c>
      <c r="F18" s="117"/>
      <c r="G18" s="117" t="s">
        <v>45</v>
      </c>
      <c r="H18" s="117" t="s">
        <v>2</v>
      </c>
      <c r="I18"/>
      <c r="J18"/>
      <c r="K18" s="117" t="s">
        <v>105</v>
      </c>
      <c r="L18">
        <v>2</v>
      </c>
      <c r="M18" s="117" t="s">
        <v>113</v>
      </c>
      <c r="N18" s="117" t="s">
        <v>12</v>
      </c>
      <c r="O18" s="117" t="s">
        <v>49</v>
      </c>
      <c r="P18" s="117" t="s">
        <v>40</v>
      </c>
      <c r="Q18" s="139">
        <v>20007726</v>
      </c>
      <c r="R18" s="117" t="s">
        <v>78</v>
      </c>
      <c r="S18" s="117" t="s">
        <v>109</v>
      </c>
      <c r="T18" s="117" t="s">
        <v>109</v>
      </c>
      <c r="U18" s="117" t="s">
        <v>118</v>
      </c>
      <c r="V18" s="12">
        <f>+IFERROR(IF(VLOOKUP(Q18,COMISIONES!$C$2:$K$33,9,0)&gt;=VLOOKUP(TC!Q18,COMISIONES!$C$2:$I$33,7,0),1,0),0)</f>
        <v>1</v>
      </c>
      <c r="W18" s="262">
        <f>+IF(H18="Segunda",VLOOKUP(_xlfn.CONCAT(P18,G18,H18,V18),'PUNTOS 2021'!$E$23:$F$30,2,0),TC!L18)</f>
        <v>2</v>
      </c>
      <c r="X18" s="67">
        <f>+VLOOKUP(Q18,COMISIONES!$C$2:$AO$33,39,0)</f>
        <v>65</v>
      </c>
      <c r="Y18" s="67">
        <f t="shared" si="0"/>
        <v>130</v>
      </c>
      <c r="Z18" s="58" t="s">
        <v>80</v>
      </c>
      <c r="AA18" s="13">
        <f>+VLOOKUP(Q18,COMISIONES!$C$2:$C$33,1,0)</f>
        <v>20007726</v>
      </c>
      <c r="AB18" s="13" t="s">
        <v>269</v>
      </c>
      <c r="AE18"/>
    </row>
    <row r="19" spans="1:31">
      <c r="A19" s="117" t="s">
        <v>821</v>
      </c>
      <c r="B19" s="138">
        <v>45139</v>
      </c>
      <c r="C19" s="117" t="s">
        <v>873</v>
      </c>
      <c r="D19" s="117" t="s">
        <v>874</v>
      </c>
      <c r="E19" s="117" t="s">
        <v>875</v>
      </c>
      <c r="F19" s="117"/>
      <c r="G19" s="117" t="s">
        <v>44</v>
      </c>
      <c r="H19" s="117" t="s">
        <v>2</v>
      </c>
      <c r="I19"/>
      <c r="J19"/>
      <c r="K19" s="117" t="s">
        <v>105</v>
      </c>
      <c r="L19">
        <v>1</v>
      </c>
      <c r="M19" s="117" t="s">
        <v>113</v>
      </c>
      <c r="N19" s="117" t="s">
        <v>12</v>
      </c>
      <c r="O19" s="117" t="s">
        <v>49</v>
      </c>
      <c r="P19" s="117" t="s">
        <v>40</v>
      </c>
      <c r="Q19" s="139">
        <v>20007726</v>
      </c>
      <c r="R19" s="117" t="s">
        <v>78</v>
      </c>
      <c r="S19" s="117" t="s">
        <v>109</v>
      </c>
      <c r="T19" s="117" t="s">
        <v>109</v>
      </c>
      <c r="U19" s="117" t="s">
        <v>118</v>
      </c>
      <c r="V19" s="12">
        <f>+IFERROR(IF(VLOOKUP(Q19,COMISIONES!$C$2:$K$33,9,0)&gt;=VLOOKUP(TC!Q19,COMISIONES!$C$2:$I$33,7,0),1,0),0)</f>
        <v>1</v>
      </c>
      <c r="W19" s="262">
        <f>+IF(H19="Segunda",VLOOKUP(_xlfn.CONCAT(P19,G19,H19,V19),'PUNTOS 2021'!$E$23:$F$30,2,0),TC!L19)</f>
        <v>1</v>
      </c>
      <c r="X19" s="67">
        <f>+VLOOKUP(Q19,COMISIONES!$C$2:$AO$33,39,0)</f>
        <v>65</v>
      </c>
      <c r="Y19" s="67">
        <f t="shared" si="0"/>
        <v>65</v>
      </c>
      <c r="Z19" s="58" t="s">
        <v>80</v>
      </c>
      <c r="AA19" s="13">
        <f>+VLOOKUP(Q19,COMISIONES!$C$2:$C$33,1,0)</f>
        <v>20007726</v>
      </c>
      <c r="AB19" s="13" t="s">
        <v>269</v>
      </c>
      <c r="AE19"/>
    </row>
    <row r="20" spans="1:31">
      <c r="A20" s="117" t="s">
        <v>821</v>
      </c>
      <c r="B20" s="138">
        <v>45139</v>
      </c>
      <c r="C20" s="117" t="s">
        <v>876</v>
      </c>
      <c r="D20" s="117" t="s">
        <v>877</v>
      </c>
      <c r="E20" s="117" t="s">
        <v>878</v>
      </c>
      <c r="F20" s="117"/>
      <c r="G20" s="117" t="s">
        <v>45</v>
      </c>
      <c r="H20" s="117" t="s">
        <v>2</v>
      </c>
      <c r="I20"/>
      <c r="J20"/>
      <c r="K20" s="117" t="s">
        <v>105</v>
      </c>
      <c r="L20">
        <v>2</v>
      </c>
      <c r="M20" s="117" t="s">
        <v>113</v>
      </c>
      <c r="N20" s="117" t="s">
        <v>12</v>
      </c>
      <c r="O20" s="117" t="s">
        <v>49</v>
      </c>
      <c r="P20" s="117" t="s">
        <v>40</v>
      </c>
      <c r="Q20" s="139">
        <v>20007726</v>
      </c>
      <c r="R20" s="117" t="s">
        <v>78</v>
      </c>
      <c r="S20" s="117" t="s">
        <v>109</v>
      </c>
      <c r="T20" s="117" t="s">
        <v>109</v>
      </c>
      <c r="U20" s="117" t="s">
        <v>118</v>
      </c>
      <c r="V20" s="12">
        <f>+IFERROR(IF(VLOOKUP(Q20,COMISIONES!$C$2:$K$33,9,0)&gt;=VLOOKUP(TC!Q20,COMISIONES!$C$2:$I$33,7,0),1,0),0)</f>
        <v>1</v>
      </c>
      <c r="W20" s="262">
        <f>+IF(H20="Segunda",VLOOKUP(_xlfn.CONCAT(P20,G20,H20,V20),'PUNTOS 2021'!$E$23:$F$30,2,0),TC!L20)</f>
        <v>2</v>
      </c>
      <c r="X20" s="67" t="s">
        <v>3963</v>
      </c>
      <c r="Y20" s="67" t="e">
        <f>X20*W20</f>
        <v>#VALUE!</v>
      </c>
      <c r="Z20" s="58" t="s">
        <v>80</v>
      </c>
      <c r="AA20" s="13">
        <f>+VLOOKUP(Q20,COMISIONES!$C$2:$C$33,1,0)</f>
        <v>20007726</v>
      </c>
      <c r="AB20" s="13" t="s">
        <v>269</v>
      </c>
      <c r="AE20"/>
    </row>
    <row r="21" spans="1:31">
      <c r="A21" s="117" t="s">
        <v>821</v>
      </c>
      <c r="B21" s="138">
        <v>45139</v>
      </c>
      <c r="C21" s="117" t="s">
        <v>879</v>
      </c>
      <c r="D21" s="117" t="s">
        <v>880</v>
      </c>
      <c r="E21" s="117" t="s">
        <v>881</v>
      </c>
      <c r="F21" s="117"/>
      <c r="G21" s="117" t="s">
        <v>44</v>
      </c>
      <c r="H21" s="117" t="s">
        <v>2</v>
      </c>
      <c r="I21"/>
      <c r="J21"/>
      <c r="K21" s="117" t="s">
        <v>105</v>
      </c>
      <c r="L21">
        <v>1</v>
      </c>
      <c r="M21" s="117" t="s">
        <v>113</v>
      </c>
      <c r="N21" s="117" t="s">
        <v>12</v>
      </c>
      <c r="O21" s="117" t="s">
        <v>49</v>
      </c>
      <c r="P21" s="117" t="s">
        <v>40</v>
      </c>
      <c r="Q21" s="139">
        <v>20007726</v>
      </c>
      <c r="R21" s="117" t="s">
        <v>78</v>
      </c>
      <c r="S21" s="117" t="s">
        <v>109</v>
      </c>
      <c r="T21" s="117" t="s">
        <v>109</v>
      </c>
      <c r="U21" s="117" t="s">
        <v>118</v>
      </c>
      <c r="V21" s="12">
        <f>+IFERROR(IF(VLOOKUP(Q21,COMISIONES!$C$2:$K$33,9,0)&gt;=VLOOKUP(TC!Q21,COMISIONES!$C$2:$I$33,7,0),1,0),0)</f>
        <v>1</v>
      </c>
      <c r="W21" s="262">
        <f>+IF(H21="Segunda",VLOOKUP(_xlfn.CONCAT(P21,G21,H21,V21),'PUNTOS 2021'!$E$23:$F$30,2,0),TC!L21)</f>
        <v>1</v>
      </c>
      <c r="X21" s="67">
        <f>+VLOOKUP(Q21,COMISIONES!$C$2:$AO$33,39,0)</f>
        <v>65</v>
      </c>
      <c r="Y21" s="67">
        <f t="shared" si="0"/>
        <v>65</v>
      </c>
      <c r="Z21" s="58" t="s">
        <v>80</v>
      </c>
      <c r="AA21" s="13">
        <f>+VLOOKUP(Q21,COMISIONES!$C$2:$C$33,1,0)</f>
        <v>20007726</v>
      </c>
      <c r="AB21" s="13" t="s">
        <v>269</v>
      </c>
    </row>
    <row r="22" spans="1:31">
      <c r="A22" s="117" t="s">
        <v>821</v>
      </c>
      <c r="B22" s="138">
        <v>45139</v>
      </c>
      <c r="C22" s="117" t="s">
        <v>882</v>
      </c>
      <c r="D22" s="117" t="s">
        <v>883</v>
      </c>
      <c r="E22" s="117" t="s">
        <v>884</v>
      </c>
      <c r="F22" s="117"/>
      <c r="G22" s="117" t="s">
        <v>43</v>
      </c>
      <c r="H22" s="117" t="s">
        <v>2</v>
      </c>
      <c r="I22"/>
      <c r="J22"/>
      <c r="K22" s="117" t="s">
        <v>130</v>
      </c>
      <c r="L22">
        <v>1</v>
      </c>
      <c r="M22" s="117" t="s">
        <v>273</v>
      </c>
      <c r="N22" s="117" t="s">
        <v>292</v>
      </c>
      <c r="O22" s="117" t="s">
        <v>51</v>
      </c>
      <c r="P22" s="117" t="s">
        <v>40</v>
      </c>
      <c r="Q22" s="139">
        <v>20007943</v>
      </c>
      <c r="R22" s="117" t="s">
        <v>78</v>
      </c>
      <c r="S22" s="117" t="s">
        <v>109</v>
      </c>
      <c r="T22" s="117" t="s">
        <v>109</v>
      </c>
      <c r="U22" s="117" t="s">
        <v>118</v>
      </c>
      <c r="V22" s="12">
        <f>+IFERROR(IF(VLOOKUP(Q22,COMISIONES!$C$2:$K$33,9,0)&gt;=VLOOKUP(TC!Q22,COMISIONES!$C$2:$I$33,7,0),1,0),0)</f>
        <v>0</v>
      </c>
      <c r="W22" s="262">
        <f>+IF(H22="Segunda",VLOOKUP(_xlfn.CONCAT(P22,G22,H22,V22),'PUNTOS 2021'!$E$23:$F$30,2,0),TC!L22)</f>
        <v>0.5</v>
      </c>
      <c r="X22" s="67">
        <f>+VLOOKUP(Q22,COMISIONES!$C$2:$AO$33,39,0)</f>
        <v>20</v>
      </c>
      <c r="Y22" s="67">
        <f t="shared" si="0"/>
        <v>10</v>
      </c>
      <c r="Z22" s="58" t="s">
        <v>80</v>
      </c>
      <c r="AA22" s="13">
        <f>+VLOOKUP(Q22,COMISIONES!$C$2:$C$33,1,0)</f>
        <v>20007943</v>
      </c>
      <c r="AB22" s="13" t="s">
        <v>269</v>
      </c>
    </row>
    <row r="23" spans="1:31" hidden="1">
      <c r="A23" s="117" t="s">
        <v>821</v>
      </c>
      <c r="B23" s="138">
        <v>45139</v>
      </c>
      <c r="C23" s="117" t="s">
        <v>885</v>
      </c>
      <c r="D23" s="117" t="s">
        <v>835</v>
      </c>
      <c r="E23" s="117" t="s">
        <v>886</v>
      </c>
      <c r="F23" s="117"/>
      <c r="G23" s="117" t="s">
        <v>45</v>
      </c>
      <c r="H23" s="117" t="s">
        <v>1</v>
      </c>
      <c r="I23"/>
      <c r="J23"/>
      <c r="K23" s="117" t="s">
        <v>105</v>
      </c>
      <c r="L23">
        <v>7</v>
      </c>
      <c r="M23" s="117" t="s">
        <v>119</v>
      </c>
      <c r="N23" s="117" t="s">
        <v>22</v>
      </c>
      <c r="O23" s="117" t="s">
        <v>52</v>
      </c>
      <c r="P23" s="117" t="s">
        <v>40</v>
      </c>
      <c r="Q23" s="139">
        <v>20009174</v>
      </c>
      <c r="R23" s="117" t="s">
        <v>78</v>
      </c>
      <c r="S23" s="117" t="s">
        <v>109</v>
      </c>
      <c r="T23" s="117" t="s">
        <v>109</v>
      </c>
      <c r="U23" s="117" t="s">
        <v>128</v>
      </c>
      <c r="V23" s="12">
        <f>+IFERROR(IF(VLOOKUP(Q23,COMISIONES!$C$2:$K$33,9,0)&gt;=VLOOKUP(TC!Q23,COMISIONES!$C$2:$I$33,7,0),1,0),0)</f>
        <v>0</v>
      </c>
      <c r="W23" s="262">
        <f>+IF(H23="Segunda",VLOOKUP(_xlfn.CONCAT(P23,G23,H23,V23),'PUNTOS 2021'!$E$23:$F$30,2,0),TC!L23)</f>
        <v>7</v>
      </c>
      <c r="X23" s="67">
        <f>+VLOOKUP(Q23,COMISIONES!$C$2:$AO$33,39,0)</f>
        <v>60</v>
      </c>
      <c r="Y23" s="67">
        <f t="shared" si="0"/>
        <v>420</v>
      </c>
      <c r="Z23" s="58" t="s">
        <v>80</v>
      </c>
      <c r="AA23" s="13">
        <f>+VLOOKUP(Q23,COMISIONES!$C$2:$C$33,1,0)</f>
        <v>20009174</v>
      </c>
      <c r="AB23" s="13" t="s">
        <v>269</v>
      </c>
    </row>
    <row r="24" spans="1:31" hidden="1">
      <c r="A24" s="117" t="s">
        <v>821</v>
      </c>
      <c r="B24" s="138">
        <v>45140</v>
      </c>
      <c r="C24" s="117" t="s">
        <v>887</v>
      </c>
      <c r="D24" s="117" t="s">
        <v>888</v>
      </c>
      <c r="E24" s="117" t="s">
        <v>889</v>
      </c>
      <c r="F24" s="117"/>
      <c r="G24" s="117" t="s">
        <v>44</v>
      </c>
      <c r="H24" s="117" t="s">
        <v>1</v>
      </c>
      <c r="I24"/>
      <c r="J24"/>
      <c r="K24" s="117" t="s">
        <v>129</v>
      </c>
      <c r="L24">
        <v>5</v>
      </c>
      <c r="M24" s="117" t="s">
        <v>270</v>
      </c>
      <c r="N24" s="117" t="s">
        <v>271</v>
      </c>
      <c r="O24" s="117" t="s">
        <v>52</v>
      </c>
      <c r="P24" s="117" t="s">
        <v>40</v>
      </c>
      <c r="Q24" s="139">
        <v>20009592</v>
      </c>
      <c r="R24" s="117" t="s">
        <v>78</v>
      </c>
      <c r="S24" s="117" t="s">
        <v>109</v>
      </c>
      <c r="T24" s="117" t="s">
        <v>109</v>
      </c>
      <c r="U24" s="117" t="s">
        <v>128</v>
      </c>
      <c r="V24" s="12">
        <f>+IFERROR(IF(VLOOKUP(Q24,COMISIONES!$C$2:$K$33,9,0)&gt;=VLOOKUP(TC!Q24,COMISIONES!$C$2:$I$33,7,0),1,0),0)</f>
        <v>1</v>
      </c>
      <c r="W24" s="262">
        <f>+IF(H24="Segunda",VLOOKUP(_xlfn.CONCAT(P24,G24,H24,V24),'PUNTOS 2021'!$E$23:$F$30,2,0),TC!L24)</f>
        <v>5</v>
      </c>
      <c r="X24" s="67">
        <f>+VLOOKUP(Q24,COMISIONES!$C$2:$AO$33,39,0)</f>
        <v>60</v>
      </c>
      <c r="Y24" s="67">
        <f t="shared" si="0"/>
        <v>300</v>
      </c>
      <c r="Z24" s="58" t="s">
        <v>80</v>
      </c>
      <c r="AA24" s="13">
        <f>+VLOOKUP(Q24,COMISIONES!$C$2:$C$33,1,0)</f>
        <v>20009592</v>
      </c>
      <c r="AB24" s="13" t="s">
        <v>269</v>
      </c>
    </row>
    <row r="25" spans="1:31" hidden="1">
      <c r="A25" s="117" t="s">
        <v>821</v>
      </c>
      <c r="B25" s="138">
        <v>45140</v>
      </c>
      <c r="C25" s="117" t="s">
        <v>890</v>
      </c>
      <c r="D25" s="117" t="s">
        <v>891</v>
      </c>
      <c r="E25" s="117" t="s">
        <v>892</v>
      </c>
      <c r="F25" s="117"/>
      <c r="G25" s="117" t="s">
        <v>45</v>
      </c>
      <c r="H25" s="117" t="s">
        <v>1</v>
      </c>
      <c r="I25"/>
      <c r="J25"/>
      <c r="K25" s="117" t="s">
        <v>105</v>
      </c>
      <c r="L25">
        <v>7</v>
      </c>
      <c r="M25" s="117" t="s">
        <v>127</v>
      </c>
      <c r="N25" s="117" t="s">
        <v>16</v>
      </c>
      <c r="O25" s="117" t="s">
        <v>49</v>
      </c>
      <c r="P25" s="117" t="s">
        <v>40</v>
      </c>
      <c r="Q25" s="139">
        <v>20002708</v>
      </c>
      <c r="R25" s="117" t="s">
        <v>78</v>
      </c>
      <c r="S25" s="117" t="s">
        <v>109</v>
      </c>
      <c r="T25" s="117"/>
      <c r="U25" s="117" t="s">
        <v>108</v>
      </c>
      <c r="V25" s="12">
        <f>+IFERROR(IF(VLOOKUP(Q25,COMISIONES!$C$2:$K$33,9,0)&gt;=VLOOKUP(TC!Q25,COMISIONES!$C$2:$I$33,7,0),1,0),0)</f>
        <v>0</v>
      </c>
      <c r="W25" s="262">
        <f>+IF(H25="Segunda",VLOOKUP(_xlfn.CONCAT(P25,G25,H25,V25),'PUNTOS 2021'!$E$23:$F$30,2,0),TC!L25)</f>
        <v>7</v>
      </c>
      <c r="X25" s="67">
        <f>+VLOOKUP(Q25,COMISIONES!$C$2:$AO$33,39,0)</f>
        <v>60</v>
      </c>
      <c r="Y25" s="67">
        <f t="shared" si="0"/>
        <v>420</v>
      </c>
      <c r="Z25" s="58" t="s">
        <v>80</v>
      </c>
      <c r="AA25" s="13">
        <f>+VLOOKUP(Q25,COMISIONES!$C$2:$C$33,1,0)</f>
        <v>20002708</v>
      </c>
      <c r="AB25" s="13" t="s">
        <v>269</v>
      </c>
    </row>
    <row r="26" spans="1:31" hidden="1">
      <c r="A26" s="117" t="s">
        <v>821</v>
      </c>
      <c r="B26" s="138">
        <v>45140</v>
      </c>
      <c r="C26" s="117" t="s">
        <v>893</v>
      </c>
      <c r="D26" s="117" t="s">
        <v>894</v>
      </c>
      <c r="E26" s="117" t="s">
        <v>895</v>
      </c>
      <c r="F26" s="117"/>
      <c r="G26" s="117" t="s">
        <v>43</v>
      </c>
      <c r="H26" s="117" t="s">
        <v>1</v>
      </c>
      <c r="I26"/>
      <c r="J26"/>
      <c r="K26" s="117" t="s">
        <v>105</v>
      </c>
      <c r="L26">
        <v>3</v>
      </c>
      <c r="M26" s="117" t="s">
        <v>120</v>
      </c>
      <c r="N26" s="117" t="s">
        <v>21</v>
      </c>
      <c r="O26" s="117" t="s">
        <v>50</v>
      </c>
      <c r="P26" s="117" t="s">
        <v>40</v>
      </c>
      <c r="Q26" s="139">
        <v>20008711</v>
      </c>
      <c r="R26" s="117" t="s">
        <v>78</v>
      </c>
      <c r="S26" s="117" t="s">
        <v>109</v>
      </c>
      <c r="T26" s="117" t="s">
        <v>109</v>
      </c>
      <c r="U26" s="117" t="s">
        <v>128</v>
      </c>
      <c r="V26" s="12">
        <f>+IFERROR(IF(VLOOKUP(Q26,COMISIONES!$C$2:$K$33,9,0)&gt;=VLOOKUP(TC!Q26,COMISIONES!$C$2:$I$33,7,0),1,0),0)</f>
        <v>0</v>
      </c>
      <c r="W26" s="262">
        <f>+IF(H26="Segunda",VLOOKUP(_xlfn.CONCAT(P26,G26,H26,V26),'PUNTOS 2021'!$E$23:$F$30,2,0),TC!L26)</f>
        <v>3</v>
      </c>
      <c r="X26" s="67">
        <f>+VLOOKUP(Q26,COMISIONES!$C$2:$AO$33,39,0)</f>
        <v>60</v>
      </c>
      <c r="Y26" s="67">
        <f t="shared" si="0"/>
        <v>180</v>
      </c>
      <c r="Z26" s="58" t="s">
        <v>80</v>
      </c>
      <c r="AA26" s="13">
        <f>+VLOOKUP(Q26,COMISIONES!$C$2:$C$33,1,0)</f>
        <v>20008711</v>
      </c>
      <c r="AB26" s="13" t="s">
        <v>269</v>
      </c>
    </row>
    <row r="27" spans="1:31" hidden="1">
      <c r="A27" s="117" t="s">
        <v>821</v>
      </c>
      <c r="B27" s="138">
        <v>45140</v>
      </c>
      <c r="C27" s="117" t="s">
        <v>896</v>
      </c>
      <c r="D27" s="117" t="s">
        <v>897</v>
      </c>
      <c r="E27" s="117" t="s">
        <v>898</v>
      </c>
      <c r="F27" s="117"/>
      <c r="G27" s="117" t="s">
        <v>44</v>
      </c>
      <c r="H27" s="117" t="s">
        <v>1</v>
      </c>
      <c r="I27"/>
      <c r="J27"/>
      <c r="K27" s="117" t="s">
        <v>105</v>
      </c>
      <c r="L27">
        <v>5</v>
      </c>
      <c r="M27" s="117" t="s">
        <v>119</v>
      </c>
      <c r="N27" s="117" t="s">
        <v>22</v>
      </c>
      <c r="O27" s="117" t="s">
        <v>52</v>
      </c>
      <c r="P27" s="117" t="s">
        <v>40</v>
      </c>
      <c r="Q27" s="139">
        <v>20009174</v>
      </c>
      <c r="R27" s="117" t="s">
        <v>78</v>
      </c>
      <c r="S27" s="117" t="s">
        <v>109</v>
      </c>
      <c r="T27" s="117" t="s">
        <v>109</v>
      </c>
      <c r="U27" s="117" t="s">
        <v>128</v>
      </c>
      <c r="V27" s="12">
        <f>+IFERROR(IF(VLOOKUP(Q27,COMISIONES!$C$2:$K$33,9,0)&gt;=VLOOKUP(TC!Q27,COMISIONES!$C$2:$I$33,7,0),1,0),0)</f>
        <v>0</v>
      </c>
      <c r="W27" s="262">
        <f>+IF(H27="Segunda",VLOOKUP(_xlfn.CONCAT(P27,G27,H27,V27),'PUNTOS 2021'!$E$23:$F$30,2,0),TC!L27)</f>
        <v>5</v>
      </c>
      <c r="X27" s="67">
        <f>+VLOOKUP(Q27,COMISIONES!$C$2:$AO$33,39,0)</f>
        <v>60</v>
      </c>
      <c r="Y27" s="67">
        <f t="shared" si="0"/>
        <v>300</v>
      </c>
      <c r="Z27" s="58" t="s">
        <v>80</v>
      </c>
      <c r="AA27" s="13">
        <f>+VLOOKUP(Q27,COMISIONES!$C$2:$C$33,1,0)</f>
        <v>20009174</v>
      </c>
      <c r="AB27" s="13" t="s">
        <v>269</v>
      </c>
    </row>
    <row r="28" spans="1:31" hidden="1">
      <c r="A28" s="117" t="s">
        <v>821</v>
      </c>
      <c r="B28" s="138">
        <v>45140</v>
      </c>
      <c r="C28" s="117" t="s">
        <v>899</v>
      </c>
      <c r="D28" s="117" t="s">
        <v>900</v>
      </c>
      <c r="E28" s="117" t="s">
        <v>901</v>
      </c>
      <c r="F28" s="117"/>
      <c r="G28" s="117" t="s">
        <v>44</v>
      </c>
      <c r="H28" s="117" t="s">
        <v>1</v>
      </c>
      <c r="I28"/>
      <c r="J28"/>
      <c r="K28" s="117" t="s">
        <v>105</v>
      </c>
      <c r="L28">
        <v>5</v>
      </c>
      <c r="M28" s="117" t="s">
        <v>122</v>
      </c>
      <c r="N28" s="117" t="s">
        <v>5</v>
      </c>
      <c r="O28" s="117" t="s">
        <v>50</v>
      </c>
      <c r="P28" s="117" t="s">
        <v>40</v>
      </c>
      <c r="Q28" s="139">
        <v>20004566</v>
      </c>
      <c r="R28" s="117" t="s">
        <v>78</v>
      </c>
      <c r="S28" s="117" t="s">
        <v>109</v>
      </c>
      <c r="T28" s="117"/>
      <c r="U28" s="117" t="s">
        <v>108</v>
      </c>
      <c r="V28" s="12">
        <f>+IFERROR(IF(VLOOKUP(Q28,COMISIONES!$C$2:$K$33,9,0)&gt;=VLOOKUP(TC!Q28,COMISIONES!$C$2:$I$33,7,0),1,0),0)</f>
        <v>1</v>
      </c>
      <c r="W28" s="262">
        <f>+IF(H28="Segunda",VLOOKUP(_xlfn.CONCAT(P28,G28,H28,V28),'PUNTOS 2021'!$E$23:$F$30,2,0),TC!L28)</f>
        <v>5</v>
      </c>
      <c r="X28" s="67">
        <f>+VLOOKUP(Q28,COMISIONES!$C$2:$AO$33,39,0)</f>
        <v>60</v>
      </c>
      <c r="Y28" s="67">
        <f t="shared" si="0"/>
        <v>300</v>
      </c>
      <c r="Z28" s="58" t="s">
        <v>80</v>
      </c>
      <c r="AA28" s="13">
        <f>+VLOOKUP(Q28,COMISIONES!$C$2:$C$33,1,0)</f>
        <v>20004566</v>
      </c>
      <c r="AB28" s="13" t="s">
        <v>269</v>
      </c>
    </row>
    <row r="29" spans="1:31" hidden="1">
      <c r="A29" s="117" t="s">
        <v>821</v>
      </c>
      <c r="B29" s="138">
        <v>45140</v>
      </c>
      <c r="C29" s="117" t="s">
        <v>902</v>
      </c>
      <c r="D29" s="117" t="s">
        <v>903</v>
      </c>
      <c r="E29" s="117" t="s">
        <v>904</v>
      </c>
      <c r="F29" s="117"/>
      <c r="G29" s="117" t="s">
        <v>44</v>
      </c>
      <c r="H29" s="117" t="s">
        <v>1</v>
      </c>
      <c r="I29"/>
      <c r="J29"/>
      <c r="K29" s="117" t="s">
        <v>105</v>
      </c>
      <c r="L29">
        <v>5</v>
      </c>
      <c r="M29" s="117" t="s">
        <v>402</v>
      </c>
      <c r="N29" s="117" t="s">
        <v>389</v>
      </c>
      <c r="O29" s="117" t="s">
        <v>50</v>
      </c>
      <c r="P29" s="117" t="s">
        <v>40</v>
      </c>
      <c r="Q29" s="139">
        <v>20010604</v>
      </c>
      <c r="R29" s="117" t="s">
        <v>78</v>
      </c>
      <c r="S29" s="117" t="s">
        <v>109</v>
      </c>
      <c r="T29" s="117" t="s">
        <v>109</v>
      </c>
      <c r="U29" s="117" t="s">
        <v>128</v>
      </c>
      <c r="V29" s="12">
        <f>+IFERROR(IF(VLOOKUP(Q29,COMISIONES!$C$2:$K$33,9,0)&gt;=VLOOKUP(TC!Q29,COMISIONES!$C$2:$I$33,7,0),1,0),0)</f>
        <v>0</v>
      </c>
      <c r="W29" s="262">
        <f>+IF(H29="Segunda",VLOOKUP(_xlfn.CONCAT(P29,G29,H29,V29),'PUNTOS 2021'!$E$23:$F$30,2,0),TC!L29)</f>
        <v>5</v>
      </c>
      <c r="X29" s="67">
        <f>+VLOOKUP(Q29,COMISIONES!$C$2:$AO$33,39,0)</f>
        <v>40</v>
      </c>
      <c r="Y29" s="67">
        <f t="shared" si="0"/>
        <v>200</v>
      </c>
      <c r="Z29" s="58" t="s">
        <v>80</v>
      </c>
      <c r="AA29" s="13">
        <f>+VLOOKUP(Q29,COMISIONES!$C$2:$C$33,1,0)</f>
        <v>20010604</v>
      </c>
      <c r="AB29" s="13" t="s">
        <v>269</v>
      </c>
    </row>
    <row r="30" spans="1:31">
      <c r="A30" s="117" t="s">
        <v>821</v>
      </c>
      <c r="B30" s="138">
        <v>45140</v>
      </c>
      <c r="C30" s="117" t="s">
        <v>905</v>
      </c>
      <c r="D30" s="117" t="s">
        <v>906</v>
      </c>
      <c r="E30" s="117" t="s">
        <v>907</v>
      </c>
      <c r="F30" s="117"/>
      <c r="G30" s="117" t="s">
        <v>45</v>
      </c>
      <c r="H30" s="117" t="s">
        <v>2</v>
      </c>
      <c r="I30"/>
      <c r="J30"/>
      <c r="K30" s="117" t="s">
        <v>105</v>
      </c>
      <c r="L30">
        <v>2</v>
      </c>
      <c r="M30" s="117" t="s">
        <v>121</v>
      </c>
      <c r="N30" s="117" t="s">
        <v>3</v>
      </c>
      <c r="O30" s="117" t="s">
        <v>49</v>
      </c>
      <c r="P30" s="117" t="s">
        <v>40</v>
      </c>
      <c r="Q30" s="139">
        <v>20004161</v>
      </c>
      <c r="R30" s="117" t="s">
        <v>78</v>
      </c>
      <c r="S30" s="117" t="s">
        <v>109</v>
      </c>
      <c r="T30" s="117"/>
      <c r="U30" s="117" t="s">
        <v>108</v>
      </c>
      <c r="V30" s="12">
        <f>+IFERROR(IF(VLOOKUP(Q30,COMISIONES!$C$2:$K$33,9,0)&gt;=VLOOKUP(TC!Q30,COMISIONES!$C$2:$I$33,7,0),1,0),0)</f>
        <v>1</v>
      </c>
      <c r="W30" s="262">
        <f>+IF(H30="Segunda",VLOOKUP(_xlfn.CONCAT(P30,G30,H30,V30),'PUNTOS 2021'!$E$23:$F$30,2,0),TC!L30)</f>
        <v>2</v>
      </c>
      <c r="X30" s="67">
        <f>+VLOOKUP(Q30,COMISIONES!$C$2:$AO$33,39,0)</f>
        <v>65</v>
      </c>
      <c r="Y30" s="67">
        <f t="shared" si="0"/>
        <v>130</v>
      </c>
      <c r="Z30" s="58" t="s">
        <v>80</v>
      </c>
      <c r="AA30" s="13">
        <f>+VLOOKUP(Q30,COMISIONES!$C$2:$C$33,1,0)</f>
        <v>20004161</v>
      </c>
      <c r="AB30" s="13" t="s">
        <v>269</v>
      </c>
    </row>
    <row r="31" spans="1:31" hidden="1">
      <c r="A31" s="117" t="s">
        <v>821</v>
      </c>
      <c r="B31" s="138">
        <v>45140</v>
      </c>
      <c r="C31" s="117" t="s">
        <v>908</v>
      </c>
      <c r="D31" s="117" t="s">
        <v>909</v>
      </c>
      <c r="E31" s="117" t="s">
        <v>910</v>
      </c>
      <c r="F31" s="117"/>
      <c r="G31" s="117" t="s">
        <v>44</v>
      </c>
      <c r="H31" s="117" t="s">
        <v>1</v>
      </c>
      <c r="I31"/>
      <c r="J31"/>
      <c r="K31" s="117" t="s">
        <v>105</v>
      </c>
      <c r="L31">
        <v>5</v>
      </c>
      <c r="M31" s="117" t="s">
        <v>123</v>
      </c>
      <c r="N31" s="117" t="s">
        <v>23</v>
      </c>
      <c r="O31" s="117" t="s">
        <v>49</v>
      </c>
      <c r="P31" s="117" t="s">
        <v>40</v>
      </c>
      <c r="Q31" s="139">
        <v>20009269</v>
      </c>
      <c r="R31" s="117" t="s">
        <v>78</v>
      </c>
      <c r="S31" s="117" t="s">
        <v>109</v>
      </c>
      <c r="T31" s="117" t="s">
        <v>109</v>
      </c>
      <c r="U31" s="117" t="s">
        <v>128</v>
      </c>
      <c r="V31" s="12">
        <f>+IFERROR(IF(VLOOKUP(Q31,COMISIONES!$C$2:$K$33,9,0)&gt;=VLOOKUP(TC!Q31,COMISIONES!$C$2:$I$33,7,0),1,0),0)</f>
        <v>1</v>
      </c>
      <c r="W31" s="262">
        <f>+IF(H31="Segunda",VLOOKUP(_xlfn.CONCAT(P31,G31,H31,V31),'PUNTOS 2021'!$E$23:$F$30,2,0),TC!L31)</f>
        <v>5</v>
      </c>
      <c r="X31" s="67">
        <f>+VLOOKUP(Q31,COMISIONES!$C$2:$AO$33,39,0)</f>
        <v>65</v>
      </c>
      <c r="Y31" s="67">
        <f t="shared" si="0"/>
        <v>325</v>
      </c>
      <c r="Z31" s="58" t="s">
        <v>80</v>
      </c>
      <c r="AA31" s="13">
        <f>+VLOOKUP(Q31,COMISIONES!$C$2:$C$33,1,0)</f>
        <v>20009269</v>
      </c>
      <c r="AB31" s="13" t="s">
        <v>269</v>
      </c>
    </row>
    <row r="32" spans="1:31" hidden="1">
      <c r="A32" s="117" t="s">
        <v>821</v>
      </c>
      <c r="B32" s="138">
        <v>45140</v>
      </c>
      <c r="C32" s="117" t="s">
        <v>911</v>
      </c>
      <c r="D32" s="117" t="s">
        <v>912</v>
      </c>
      <c r="E32" s="117" t="s">
        <v>913</v>
      </c>
      <c r="F32" s="117"/>
      <c r="G32" s="117" t="s">
        <v>45</v>
      </c>
      <c r="H32" s="117" t="s">
        <v>1</v>
      </c>
      <c r="I32"/>
      <c r="J32"/>
      <c r="K32" s="117" t="s">
        <v>105</v>
      </c>
      <c r="L32">
        <v>7</v>
      </c>
      <c r="M32" s="117" t="s">
        <v>113</v>
      </c>
      <c r="N32" s="117" t="s">
        <v>12</v>
      </c>
      <c r="O32" s="117" t="s">
        <v>49</v>
      </c>
      <c r="P32" s="117" t="s">
        <v>40</v>
      </c>
      <c r="Q32" s="139">
        <v>20007726</v>
      </c>
      <c r="R32" s="117" t="s">
        <v>78</v>
      </c>
      <c r="S32" s="117" t="s">
        <v>109</v>
      </c>
      <c r="T32" s="117"/>
      <c r="U32" s="117" t="s">
        <v>108</v>
      </c>
      <c r="V32" s="12">
        <f>+IFERROR(IF(VLOOKUP(Q32,COMISIONES!$C$2:$K$33,9,0)&gt;=VLOOKUP(TC!Q32,COMISIONES!$C$2:$I$33,7,0),1,0),0)</f>
        <v>1</v>
      </c>
      <c r="W32" s="262">
        <f>+IF(H32="Segunda",VLOOKUP(_xlfn.CONCAT(P32,G32,H32,V32),'PUNTOS 2021'!$E$23:$F$30,2,0),TC!L32)</f>
        <v>7</v>
      </c>
      <c r="X32" s="67">
        <f>+VLOOKUP(Q32,COMISIONES!$C$2:$AO$33,39,0)</f>
        <v>65</v>
      </c>
      <c r="Y32" s="67">
        <f t="shared" si="0"/>
        <v>455</v>
      </c>
      <c r="Z32" s="58" t="s">
        <v>80</v>
      </c>
      <c r="AA32" s="13">
        <f>+VLOOKUP(Q32,COMISIONES!$C$2:$C$33,1,0)</f>
        <v>20007726</v>
      </c>
      <c r="AB32" s="13" t="s">
        <v>269</v>
      </c>
    </row>
    <row r="33" spans="1:28" hidden="1">
      <c r="A33" s="117" t="s">
        <v>821</v>
      </c>
      <c r="B33" s="138">
        <v>45140</v>
      </c>
      <c r="C33" s="117" t="s">
        <v>914</v>
      </c>
      <c r="D33" s="117" t="s">
        <v>915</v>
      </c>
      <c r="E33" s="117" t="s">
        <v>916</v>
      </c>
      <c r="F33" s="117"/>
      <c r="G33" s="117" t="s">
        <v>45</v>
      </c>
      <c r="H33" s="117" t="s">
        <v>1</v>
      </c>
      <c r="I33"/>
      <c r="J33"/>
      <c r="K33" s="117" t="s">
        <v>105</v>
      </c>
      <c r="L33">
        <v>7</v>
      </c>
      <c r="M33" s="117" t="s">
        <v>125</v>
      </c>
      <c r="N33" s="117" t="s">
        <v>18</v>
      </c>
      <c r="O33" s="117" t="s">
        <v>50</v>
      </c>
      <c r="P33" s="117" t="s">
        <v>40</v>
      </c>
      <c r="Q33" s="139">
        <v>20008439</v>
      </c>
      <c r="R33" s="117" t="s">
        <v>78</v>
      </c>
      <c r="S33" s="117" t="s">
        <v>109</v>
      </c>
      <c r="T33" s="117"/>
      <c r="U33" s="117" t="s">
        <v>108</v>
      </c>
      <c r="V33" s="12">
        <f>+IFERROR(IF(VLOOKUP(Q33,COMISIONES!$C$2:$K$33,9,0)&gt;=VLOOKUP(TC!Q33,COMISIONES!$C$2:$I$33,7,0),1,0),0)</f>
        <v>1</v>
      </c>
      <c r="W33" s="262">
        <f>+IF(H33="Segunda",VLOOKUP(_xlfn.CONCAT(P33,G33,H33,V33),'PUNTOS 2021'!$E$23:$F$30,2,0),TC!L33)</f>
        <v>7</v>
      </c>
      <c r="X33" s="67">
        <f>+VLOOKUP(Q33,COMISIONES!$C$2:$AO$33,39,0)</f>
        <v>60</v>
      </c>
      <c r="Y33" s="67">
        <f t="shared" si="0"/>
        <v>420</v>
      </c>
      <c r="Z33" s="58" t="s">
        <v>80</v>
      </c>
      <c r="AA33" s="13">
        <f>+VLOOKUP(Q33,COMISIONES!$C$2:$C$33,1,0)</f>
        <v>20008439</v>
      </c>
      <c r="AB33" s="13" t="s">
        <v>269</v>
      </c>
    </row>
    <row r="34" spans="1:28" hidden="1">
      <c r="A34" s="117" t="s">
        <v>821</v>
      </c>
      <c r="B34" s="138">
        <v>45140</v>
      </c>
      <c r="C34" s="117" t="s">
        <v>917</v>
      </c>
      <c r="D34" s="117" t="s">
        <v>918</v>
      </c>
      <c r="E34" s="117" t="s">
        <v>919</v>
      </c>
      <c r="F34" s="117"/>
      <c r="G34" s="117" t="s">
        <v>45</v>
      </c>
      <c r="H34" s="117" t="s">
        <v>1</v>
      </c>
      <c r="I34"/>
      <c r="J34"/>
      <c r="K34" s="117" t="s">
        <v>105</v>
      </c>
      <c r="L34">
        <v>7</v>
      </c>
      <c r="M34" s="117" t="s">
        <v>121</v>
      </c>
      <c r="N34" s="117" t="s">
        <v>3</v>
      </c>
      <c r="O34" s="117" t="s">
        <v>49</v>
      </c>
      <c r="P34" s="117" t="s">
        <v>40</v>
      </c>
      <c r="Q34" s="139">
        <v>20004161</v>
      </c>
      <c r="R34" s="117" t="s">
        <v>78</v>
      </c>
      <c r="S34" s="117" t="s">
        <v>109</v>
      </c>
      <c r="T34" s="117"/>
      <c r="U34" s="117" t="s">
        <v>108</v>
      </c>
      <c r="V34" s="12">
        <f>+IFERROR(IF(VLOOKUP(Q34,COMISIONES!$C$2:$K$33,9,0)&gt;=VLOOKUP(TC!Q34,COMISIONES!$C$2:$I$33,7,0),1,0),0)</f>
        <v>1</v>
      </c>
      <c r="W34" s="262">
        <f>+IF(H34="Segunda",VLOOKUP(_xlfn.CONCAT(P34,G34,H34,V34),'PUNTOS 2021'!$E$23:$F$30,2,0),TC!L34)</f>
        <v>7</v>
      </c>
      <c r="X34" s="67">
        <f>+VLOOKUP(Q34,COMISIONES!$C$2:$AO$33,39,0)</f>
        <v>65</v>
      </c>
      <c r="Y34" s="67">
        <f t="shared" si="0"/>
        <v>455</v>
      </c>
      <c r="Z34" s="58" t="s">
        <v>80</v>
      </c>
      <c r="AA34" s="13">
        <f>+VLOOKUP(Q34,COMISIONES!$C$2:$C$33,1,0)</f>
        <v>20004161</v>
      </c>
      <c r="AB34" s="13" t="s">
        <v>269</v>
      </c>
    </row>
    <row r="35" spans="1:28">
      <c r="A35" s="117" t="s">
        <v>821</v>
      </c>
      <c r="B35" s="138">
        <v>45140</v>
      </c>
      <c r="C35" s="117" t="s">
        <v>920</v>
      </c>
      <c r="D35" s="117" t="s">
        <v>921</v>
      </c>
      <c r="E35" s="117" t="s">
        <v>922</v>
      </c>
      <c r="F35" s="117"/>
      <c r="G35" s="117" t="s">
        <v>45</v>
      </c>
      <c r="H35" s="117" t="s">
        <v>2</v>
      </c>
      <c r="I35"/>
      <c r="J35"/>
      <c r="K35" s="117" t="s">
        <v>105</v>
      </c>
      <c r="L35">
        <v>2</v>
      </c>
      <c r="M35" s="117" t="s">
        <v>126</v>
      </c>
      <c r="N35" s="117" t="s">
        <v>11</v>
      </c>
      <c r="O35" s="117" t="s">
        <v>49</v>
      </c>
      <c r="P35" s="117" t="s">
        <v>40</v>
      </c>
      <c r="Q35" s="139">
        <v>20004235</v>
      </c>
      <c r="R35" s="117" t="s">
        <v>78</v>
      </c>
      <c r="S35" s="117" t="s">
        <v>109</v>
      </c>
      <c r="T35" s="117"/>
      <c r="U35" s="117" t="s">
        <v>108</v>
      </c>
      <c r="V35" s="12">
        <f>+IFERROR(IF(VLOOKUP(Q35,COMISIONES!$C$2:$K$33,9,0)&gt;=VLOOKUP(TC!Q35,COMISIONES!$C$2:$I$33,7,0),1,0),0)</f>
        <v>0</v>
      </c>
      <c r="W35" s="262">
        <f>+IF(H35="Segunda",VLOOKUP(_xlfn.CONCAT(P35,G35,H35,V35),'PUNTOS 2021'!$E$23:$F$30,2,0),TC!L35)</f>
        <v>0.5</v>
      </c>
      <c r="X35" s="67">
        <f>+VLOOKUP(Q35,COMISIONES!$C$2:$AO$33,39,0)</f>
        <v>40</v>
      </c>
      <c r="Y35" s="67">
        <f t="shared" si="0"/>
        <v>20</v>
      </c>
      <c r="Z35" s="58" t="s">
        <v>80</v>
      </c>
      <c r="AA35" s="13">
        <f>+VLOOKUP(Q35,COMISIONES!$C$2:$C$33,1,0)</f>
        <v>20004235</v>
      </c>
      <c r="AB35" s="13" t="s">
        <v>269</v>
      </c>
    </row>
    <row r="36" spans="1:28" hidden="1">
      <c r="A36" s="117" t="s">
        <v>821</v>
      </c>
      <c r="B36" s="138">
        <v>45140</v>
      </c>
      <c r="C36" s="117" t="s">
        <v>923</v>
      </c>
      <c r="D36" s="117" t="s">
        <v>924</v>
      </c>
      <c r="E36" s="117" t="s">
        <v>925</v>
      </c>
      <c r="F36" s="117"/>
      <c r="G36" s="117" t="s">
        <v>44</v>
      </c>
      <c r="H36" s="117" t="s">
        <v>1</v>
      </c>
      <c r="I36"/>
      <c r="J36"/>
      <c r="K36" s="117" t="s">
        <v>105</v>
      </c>
      <c r="L36">
        <v>5</v>
      </c>
      <c r="M36" s="117" t="s">
        <v>127</v>
      </c>
      <c r="N36" s="117" t="s">
        <v>16</v>
      </c>
      <c r="O36" s="117" t="s">
        <v>49</v>
      </c>
      <c r="P36" s="117" t="s">
        <v>40</v>
      </c>
      <c r="Q36" s="139">
        <v>20002708</v>
      </c>
      <c r="R36" s="117" t="s">
        <v>78</v>
      </c>
      <c r="S36" s="117" t="s">
        <v>109</v>
      </c>
      <c r="T36" s="117" t="s">
        <v>109</v>
      </c>
      <c r="U36" s="117" t="s">
        <v>128</v>
      </c>
      <c r="V36" s="12">
        <f>+IFERROR(IF(VLOOKUP(Q36,COMISIONES!$C$2:$K$33,9,0)&gt;=VLOOKUP(TC!Q36,COMISIONES!$C$2:$I$33,7,0),1,0),0)</f>
        <v>0</v>
      </c>
      <c r="W36" s="262">
        <f>+IF(H36="Segunda",VLOOKUP(_xlfn.CONCAT(P36,G36,H36,V36),'PUNTOS 2021'!$E$23:$F$30,2,0),TC!L36)</f>
        <v>5</v>
      </c>
      <c r="X36" s="67">
        <f>+VLOOKUP(Q36,COMISIONES!$C$2:$AO$33,39,0)</f>
        <v>60</v>
      </c>
      <c r="Y36" s="67">
        <f t="shared" si="0"/>
        <v>300</v>
      </c>
      <c r="Z36" s="58" t="s">
        <v>80</v>
      </c>
      <c r="AA36" s="13">
        <f>+VLOOKUP(Q36,COMISIONES!$C$2:$C$33,1,0)</f>
        <v>20002708</v>
      </c>
      <c r="AB36" s="13" t="s">
        <v>269</v>
      </c>
    </row>
    <row r="37" spans="1:28">
      <c r="A37" s="117" t="s">
        <v>821</v>
      </c>
      <c r="B37" s="138">
        <v>45141</v>
      </c>
      <c r="C37" s="117" t="s">
        <v>427</v>
      </c>
      <c r="D37" s="117" t="s">
        <v>428</v>
      </c>
      <c r="E37" s="117" t="s">
        <v>429</v>
      </c>
      <c r="F37" s="117"/>
      <c r="G37" s="117" t="s">
        <v>45</v>
      </c>
      <c r="H37" s="117" t="s">
        <v>2</v>
      </c>
      <c r="I37"/>
      <c r="J37"/>
      <c r="K37" s="117" t="s">
        <v>105</v>
      </c>
      <c r="L37">
        <v>2</v>
      </c>
      <c r="M37" s="117" t="s">
        <v>256</v>
      </c>
      <c r="N37" s="117" t="s">
        <v>236</v>
      </c>
      <c r="O37" s="117" t="s">
        <v>49</v>
      </c>
      <c r="P37" s="117" t="s">
        <v>40</v>
      </c>
      <c r="Q37" s="139">
        <v>20010101</v>
      </c>
      <c r="R37" s="117" t="s">
        <v>78</v>
      </c>
      <c r="S37" s="117" t="s">
        <v>109</v>
      </c>
      <c r="T37" s="117"/>
      <c r="U37" s="117" t="s">
        <v>108</v>
      </c>
      <c r="V37" s="12">
        <f>+IFERROR(IF(VLOOKUP(Q37,COMISIONES!$C$2:$K$33,9,0)&gt;=VLOOKUP(TC!Q37,COMISIONES!$C$2:$I$33,7,0),1,0),0)</f>
        <v>0</v>
      </c>
      <c r="W37" s="262">
        <f>+IF(H37="Segunda",VLOOKUP(_xlfn.CONCAT(P37,G37,H37,V37),'PUNTOS 2021'!$E$23:$F$30,2,0),TC!L37)</f>
        <v>0.5</v>
      </c>
      <c r="X37" s="67">
        <f>+VLOOKUP(Q37,COMISIONES!$C$2:$AO$33,39,0)</f>
        <v>65</v>
      </c>
      <c r="Y37" s="67">
        <f t="shared" si="0"/>
        <v>32.5</v>
      </c>
      <c r="Z37" s="58" t="s">
        <v>80</v>
      </c>
      <c r="AA37" s="13">
        <f>+VLOOKUP(Q37,COMISIONES!$C$2:$C$33,1,0)</f>
        <v>20010101</v>
      </c>
      <c r="AB37" s="13" t="s">
        <v>269</v>
      </c>
    </row>
    <row r="38" spans="1:28" hidden="1">
      <c r="A38" s="117" t="s">
        <v>821</v>
      </c>
      <c r="B38" s="138">
        <v>45141</v>
      </c>
      <c r="C38" s="117" t="s">
        <v>926</v>
      </c>
      <c r="D38" s="117" t="s">
        <v>927</v>
      </c>
      <c r="E38" s="117" t="s">
        <v>928</v>
      </c>
      <c r="F38" s="117"/>
      <c r="G38" s="117" t="s">
        <v>45</v>
      </c>
      <c r="H38" s="117" t="s">
        <v>1</v>
      </c>
      <c r="I38"/>
      <c r="J38"/>
      <c r="K38" s="117" t="s">
        <v>129</v>
      </c>
      <c r="L38">
        <v>7</v>
      </c>
      <c r="M38" s="117" t="s">
        <v>125</v>
      </c>
      <c r="N38" s="117" t="s">
        <v>18</v>
      </c>
      <c r="O38" s="117" t="s">
        <v>50</v>
      </c>
      <c r="P38" s="117" t="s">
        <v>40</v>
      </c>
      <c r="Q38" s="139">
        <v>20008439</v>
      </c>
      <c r="R38" s="117" t="s">
        <v>78</v>
      </c>
      <c r="S38" s="117" t="s">
        <v>109</v>
      </c>
      <c r="T38" s="117" t="s">
        <v>109</v>
      </c>
      <c r="U38" s="117" t="s">
        <v>128</v>
      </c>
      <c r="V38" s="12">
        <f>+IFERROR(IF(VLOOKUP(Q38,COMISIONES!$C$2:$K$33,9,0)&gt;=VLOOKUP(TC!Q38,COMISIONES!$C$2:$I$33,7,0),1,0),0)</f>
        <v>1</v>
      </c>
      <c r="W38" s="262">
        <f>+IF(H38="Segunda",VLOOKUP(_xlfn.CONCAT(P38,G38,H38,V38),'PUNTOS 2021'!$E$23:$F$30,2,0),TC!L38)</f>
        <v>7</v>
      </c>
      <c r="X38" s="67">
        <f>+VLOOKUP(Q38,COMISIONES!$C$2:$AO$33,39,0)</f>
        <v>60</v>
      </c>
      <c r="Y38" s="67">
        <f t="shared" si="0"/>
        <v>420</v>
      </c>
      <c r="Z38" s="58" t="s">
        <v>80</v>
      </c>
      <c r="AA38" s="13">
        <f>+VLOOKUP(Q38,COMISIONES!$C$2:$C$33,1,0)</f>
        <v>20008439</v>
      </c>
      <c r="AB38" s="13" t="s">
        <v>269</v>
      </c>
    </row>
    <row r="39" spans="1:28" hidden="1">
      <c r="A39" s="117" t="s">
        <v>821</v>
      </c>
      <c r="B39" s="138">
        <v>45141</v>
      </c>
      <c r="C39" s="117" t="s">
        <v>929</v>
      </c>
      <c r="D39" s="117" t="s">
        <v>930</v>
      </c>
      <c r="E39" s="117" t="s">
        <v>931</v>
      </c>
      <c r="F39" s="117"/>
      <c r="G39" s="117" t="s">
        <v>45</v>
      </c>
      <c r="H39" s="117" t="s">
        <v>1</v>
      </c>
      <c r="I39"/>
      <c r="J39"/>
      <c r="K39" s="117" t="s">
        <v>242</v>
      </c>
      <c r="L39">
        <v>7</v>
      </c>
      <c r="M39" s="117" t="s">
        <v>159</v>
      </c>
      <c r="N39" s="117" t="s">
        <v>227</v>
      </c>
      <c r="O39" s="117" t="s">
        <v>49</v>
      </c>
      <c r="P39" s="117" t="s">
        <v>40</v>
      </c>
      <c r="Q39" s="139">
        <v>20009690</v>
      </c>
      <c r="R39" s="117" t="s">
        <v>78</v>
      </c>
      <c r="S39" s="117" t="s">
        <v>109</v>
      </c>
      <c r="T39" s="117" t="s">
        <v>109</v>
      </c>
      <c r="U39" s="117" t="s">
        <v>128</v>
      </c>
      <c r="V39" s="12">
        <f>+IFERROR(IF(VLOOKUP(Q39,COMISIONES!$C$2:$K$33,9,0)&gt;=VLOOKUP(TC!Q39,COMISIONES!$C$2:$I$33,7,0),1,0),0)</f>
        <v>0</v>
      </c>
      <c r="W39" s="262">
        <f>+IF(H39="Segunda",VLOOKUP(_xlfn.CONCAT(P39,G39,H39,V39),'PUNTOS 2021'!$E$23:$F$30,2,0),TC!L39)</f>
        <v>7</v>
      </c>
      <c r="X39" s="67">
        <f>+VLOOKUP(Q39,COMISIONES!$C$2:$AO$33,39,0)</f>
        <v>45</v>
      </c>
      <c r="Y39" s="67">
        <f t="shared" si="0"/>
        <v>315</v>
      </c>
      <c r="Z39" s="58" t="s">
        <v>80</v>
      </c>
      <c r="AA39" s="13">
        <f>+VLOOKUP(Q39,COMISIONES!$C$2:$C$33,1,0)</f>
        <v>20009690</v>
      </c>
      <c r="AB39" s="13" t="s">
        <v>269</v>
      </c>
    </row>
    <row r="40" spans="1:28" hidden="1">
      <c r="A40" s="117" t="s">
        <v>821</v>
      </c>
      <c r="B40" s="138">
        <v>45141</v>
      </c>
      <c r="C40" s="117" t="s">
        <v>932</v>
      </c>
      <c r="D40" s="117" t="s">
        <v>933</v>
      </c>
      <c r="E40" s="117" t="s">
        <v>934</v>
      </c>
      <c r="F40" s="117"/>
      <c r="G40" s="117" t="s">
        <v>43</v>
      </c>
      <c r="H40" s="117" t="s">
        <v>1</v>
      </c>
      <c r="I40"/>
      <c r="J40"/>
      <c r="K40" s="117" t="s">
        <v>105</v>
      </c>
      <c r="L40">
        <v>3</v>
      </c>
      <c r="M40" s="117" t="s">
        <v>114</v>
      </c>
      <c r="N40" s="117" t="s">
        <v>19</v>
      </c>
      <c r="O40" s="117" t="s">
        <v>49</v>
      </c>
      <c r="P40" s="117" t="s">
        <v>40</v>
      </c>
      <c r="Q40" s="139">
        <v>20008625</v>
      </c>
      <c r="R40" s="117" t="s">
        <v>78</v>
      </c>
      <c r="S40" s="117" t="s">
        <v>109</v>
      </c>
      <c r="T40" s="117"/>
      <c r="U40" s="117" t="s">
        <v>108</v>
      </c>
      <c r="V40" s="12">
        <f>+IFERROR(IF(VLOOKUP(Q40,COMISIONES!$C$2:$K$33,9,0)&gt;=VLOOKUP(TC!Q40,COMISIONES!$C$2:$I$33,7,0),1,0),0)</f>
        <v>0</v>
      </c>
      <c r="W40" s="262">
        <f>+IF(H40="Segunda",VLOOKUP(_xlfn.CONCAT(P40,G40,H40,V40),'PUNTOS 2021'!$E$23:$F$30,2,0),TC!L40)</f>
        <v>3</v>
      </c>
      <c r="X40" s="67">
        <f>+VLOOKUP(Q40,COMISIONES!$C$2:$AO$33,39,0)</f>
        <v>20</v>
      </c>
      <c r="Y40" s="67">
        <f t="shared" si="0"/>
        <v>60</v>
      </c>
      <c r="Z40" s="58" t="s">
        <v>80</v>
      </c>
      <c r="AA40" s="13">
        <f>+VLOOKUP(Q40,COMISIONES!$C$2:$C$33,1,0)</f>
        <v>20008625</v>
      </c>
      <c r="AB40" s="13" t="s">
        <v>269</v>
      </c>
    </row>
    <row r="41" spans="1:28">
      <c r="A41" s="117" t="s">
        <v>821</v>
      </c>
      <c r="B41" s="138">
        <v>45141</v>
      </c>
      <c r="C41" s="117" t="s">
        <v>935</v>
      </c>
      <c r="D41" s="117" t="s">
        <v>936</v>
      </c>
      <c r="E41" s="117" t="s">
        <v>937</v>
      </c>
      <c r="F41" s="117"/>
      <c r="G41" s="117" t="s">
        <v>45</v>
      </c>
      <c r="H41" s="117" t="s">
        <v>2</v>
      </c>
      <c r="I41"/>
      <c r="J41"/>
      <c r="K41" s="117" t="s">
        <v>105</v>
      </c>
      <c r="L41">
        <v>2</v>
      </c>
      <c r="M41" s="117" t="s">
        <v>116</v>
      </c>
      <c r="N41" s="117" t="s">
        <v>13</v>
      </c>
      <c r="O41" s="117" t="s">
        <v>50</v>
      </c>
      <c r="P41" s="117" t="s">
        <v>40</v>
      </c>
      <c r="Q41" s="139">
        <v>20007020</v>
      </c>
      <c r="R41" s="117" t="s">
        <v>78</v>
      </c>
      <c r="S41" s="117" t="s">
        <v>109</v>
      </c>
      <c r="T41" s="117"/>
      <c r="U41" s="117" t="s">
        <v>108</v>
      </c>
      <c r="V41" s="12">
        <f>+IFERROR(IF(VLOOKUP(Q41,COMISIONES!$C$2:$K$33,9,0)&gt;=VLOOKUP(TC!Q41,COMISIONES!$C$2:$I$33,7,0),1,0),0)</f>
        <v>0</v>
      </c>
      <c r="W41" s="262">
        <f>+IF(H41="Segunda",VLOOKUP(_xlfn.CONCAT(P41,G41,H41,V41),'PUNTOS 2021'!$E$23:$F$30,2,0),TC!L41)</f>
        <v>0.5</v>
      </c>
      <c r="X41" s="67">
        <v>0</v>
      </c>
      <c r="Y41" s="67">
        <f t="shared" si="0"/>
        <v>0</v>
      </c>
      <c r="Z41" s="58" t="s">
        <v>80</v>
      </c>
      <c r="AB41" s="13" t="s">
        <v>269</v>
      </c>
    </row>
    <row r="42" spans="1:28">
      <c r="A42" s="117" t="s">
        <v>821</v>
      </c>
      <c r="B42" s="138">
        <v>45141</v>
      </c>
      <c r="C42" s="117" t="s">
        <v>938</v>
      </c>
      <c r="D42" s="117" t="s">
        <v>939</v>
      </c>
      <c r="E42" s="117" t="s">
        <v>940</v>
      </c>
      <c r="F42" s="117"/>
      <c r="G42" s="117" t="s">
        <v>45</v>
      </c>
      <c r="H42" s="117" t="s">
        <v>2</v>
      </c>
      <c r="I42"/>
      <c r="J42"/>
      <c r="K42" s="117" t="s">
        <v>105</v>
      </c>
      <c r="L42">
        <v>2</v>
      </c>
      <c r="M42" s="117" t="s">
        <v>121</v>
      </c>
      <c r="N42" s="117" t="s">
        <v>3</v>
      </c>
      <c r="O42" s="117" t="s">
        <v>49</v>
      </c>
      <c r="P42" s="117" t="s">
        <v>40</v>
      </c>
      <c r="Q42" s="139">
        <v>20004161</v>
      </c>
      <c r="R42" s="117" t="s">
        <v>78</v>
      </c>
      <c r="S42" s="117" t="s">
        <v>109</v>
      </c>
      <c r="T42" s="117"/>
      <c r="U42" s="117" t="s">
        <v>108</v>
      </c>
      <c r="V42" s="12">
        <f>+IFERROR(IF(VLOOKUP(Q42,COMISIONES!$C$2:$K$33,9,0)&gt;=VLOOKUP(TC!Q42,COMISIONES!$C$2:$I$33,7,0),1,0),0)</f>
        <v>1</v>
      </c>
      <c r="W42" s="262">
        <f>+IF(H42="Segunda",VLOOKUP(_xlfn.CONCAT(P42,G42,H42,V42),'PUNTOS 2021'!$E$23:$F$30,2,0),TC!L42)</f>
        <v>2</v>
      </c>
      <c r="X42" s="67">
        <f>+VLOOKUP(Q42,COMISIONES!$C$2:$AO$33,39,0)</f>
        <v>65</v>
      </c>
      <c r="Y42" s="67">
        <f t="shared" si="0"/>
        <v>130</v>
      </c>
      <c r="Z42" s="58" t="s">
        <v>80</v>
      </c>
      <c r="AA42" s="13">
        <f>+VLOOKUP(Q42,COMISIONES!$C$2:$C$33,1,0)</f>
        <v>20004161</v>
      </c>
      <c r="AB42" s="13" t="s">
        <v>269</v>
      </c>
    </row>
    <row r="43" spans="1:28" hidden="1">
      <c r="A43" s="117" t="s">
        <v>821</v>
      </c>
      <c r="B43" s="138">
        <v>45141</v>
      </c>
      <c r="C43" s="117" t="s">
        <v>941</v>
      </c>
      <c r="D43" s="117" t="s">
        <v>942</v>
      </c>
      <c r="E43" s="117" t="s">
        <v>943</v>
      </c>
      <c r="F43" s="117"/>
      <c r="G43" s="117" t="s">
        <v>44</v>
      </c>
      <c r="H43" s="117" t="s">
        <v>1</v>
      </c>
      <c r="I43"/>
      <c r="J43"/>
      <c r="K43" s="117" t="s">
        <v>105</v>
      </c>
      <c r="L43">
        <v>5</v>
      </c>
      <c r="M43" s="117" t="s">
        <v>116</v>
      </c>
      <c r="N43" s="117" t="s">
        <v>13</v>
      </c>
      <c r="O43" s="117" t="s">
        <v>50</v>
      </c>
      <c r="P43" s="117" t="s">
        <v>40</v>
      </c>
      <c r="Q43" s="139">
        <v>20007020</v>
      </c>
      <c r="R43" s="117" t="s">
        <v>78</v>
      </c>
      <c r="S43" s="117" t="s">
        <v>109</v>
      </c>
      <c r="T43" s="117"/>
      <c r="U43" s="117" t="s">
        <v>108</v>
      </c>
      <c r="V43" s="12">
        <f>+IFERROR(IF(VLOOKUP(Q43,COMISIONES!$C$2:$K$33,9,0)&gt;=VLOOKUP(TC!Q43,COMISIONES!$C$2:$I$33,7,0),1,0),0)</f>
        <v>0</v>
      </c>
      <c r="W43" s="262">
        <f>+IF(H43="Segunda",VLOOKUP(_xlfn.CONCAT(P43,G43,H43,V43),'PUNTOS 2021'!$E$23:$F$30,2,0),TC!L43)</f>
        <v>5</v>
      </c>
      <c r="X43" s="67">
        <f>+VLOOKUP(Q43,COMISIONES!$C$2:$AO$33,39,0)</f>
        <v>40</v>
      </c>
      <c r="Y43" s="67">
        <f t="shared" si="0"/>
        <v>200</v>
      </c>
      <c r="Z43" s="58" t="s">
        <v>80</v>
      </c>
      <c r="AA43" s="13">
        <f>+VLOOKUP(Q43,COMISIONES!$C$2:$C$33,1,0)</f>
        <v>20007020</v>
      </c>
      <c r="AB43" s="13" t="s">
        <v>269</v>
      </c>
    </row>
    <row r="44" spans="1:28" ht="17.100000000000001" hidden="1" customHeight="1">
      <c r="A44" s="117" t="s">
        <v>821</v>
      </c>
      <c r="B44" s="138">
        <v>45141</v>
      </c>
      <c r="C44" s="117" t="s">
        <v>944</v>
      </c>
      <c r="D44" s="117" t="s">
        <v>945</v>
      </c>
      <c r="E44" s="117" t="s">
        <v>946</v>
      </c>
      <c r="F44" s="117"/>
      <c r="G44" s="117" t="s">
        <v>45</v>
      </c>
      <c r="H44" s="117" t="s">
        <v>1</v>
      </c>
      <c r="I44"/>
      <c r="J44"/>
      <c r="K44" s="117" t="s">
        <v>105</v>
      </c>
      <c r="L44">
        <v>7</v>
      </c>
      <c r="M44" s="117" t="s">
        <v>106</v>
      </c>
      <c r="N44" s="117" t="s">
        <v>8</v>
      </c>
      <c r="O44" s="117" t="s">
        <v>51</v>
      </c>
      <c r="P44" s="117" t="s">
        <v>40</v>
      </c>
      <c r="Q44" s="139">
        <v>20002636</v>
      </c>
      <c r="R44" s="117" t="s">
        <v>78</v>
      </c>
      <c r="S44" s="117" t="s">
        <v>109</v>
      </c>
      <c r="T44" s="117"/>
      <c r="U44" s="117" t="s">
        <v>108</v>
      </c>
      <c r="V44" s="12">
        <f>+IFERROR(IF(VLOOKUP(Q44,COMISIONES!$C$2:$K$33,9,0)&gt;=VLOOKUP(TC!Q44,COMISIONES!$C$2:$I$33,7,0),1,0),0)</f>
        <v>0</v>
      </c>
      <c r="W44" s="262">
        <f>+IF(H44="Segunda",VLOOKUP(_xlfn.CONCAT(P44,G44,H44,V44),'PUNTOS 2021'!$E$23:$F$30,2,0),TC!L44)</f>
        <v>7</v>
      </c>
      <c r="X44" s="67">
        <f>+VLOOKUP(Q44,COMISIONES!$C$2:$AO$33,39,0)</f>
        <v>40</v>
      </c>
      <c r="Y44" s="67">
        <f t="shared" si="0"/>
        <v>280</v>
      </c>
      <c r="Z44" s="58" t="s">
        <v>80</v>
      </c>
      <c r="AA44" s="13">
        <f>+VLOOKUP(Q44,COMISIONES!$C$2:$C$33,1,0)</f>
        <v>20002636</v>
      </c>
      <c r="AB44" s="13" t="s">
        <v>269</v>
      </c>
    </row>
    <row r="45" spans="1:28">
      <c r="A45" s="117" t="s">
        <v>821</v>
      </c>
      <c r="B45" s="138">
        <v>45141</v>
      </c>
      <c r="C45" s="117" t="s">
        <v>947</v>
      </c>
      <c r="D45" s="117" t="s">
        <v>948</v>
      </c>
      <c r="E45" s="117" t="s">
        <v>949</v>
      </c>
      <c r="F45" s="117"/>
      <c r="G45" s="117" t="s">
        <v>43</v>
      </c>
      <c r="H45" s="117" t="s">
        <v>2</v>
      </c>
      <c r="I45"/>
      <c r="J45"/>
      <c r="K45" s="117" t="s">
        <v>105</v>
      </c>
      <c r="L45">
        <v>1</v>
      </c>
      <c r="M45" s="117" t="s">
        <v>115</v>
      </c>
      <c r="N45" s="117" t="s">
        <v>6</v>
      </c>
      <c r="O45" s="117" t="s">
        <v>51</v>
      </c>
      <c r="P45" s="117" t="s">
        <v>40</v>
      </c>
      <c r="Q45" s="139">
        <v>20001487</v>
      </c>
      <c r="R45" s="117" t="s">
        <v>78</v>
      </c>
      <c r="S45" s="117" t="s">
        <v>109</v>
      </c>
      <c r="T45" s="117"/>
      <c r="U45" s="117" t="s">
        <v>108</v>
      </c>
      <c r="V45" s="12">
        <f>+IFERROR(IF(VLOOKUP(Q45,COMISIONES!$C$2:$K$33,9,0)&gt;=VLOOKUP(TC!Q45,COMISIONES!$C$2:$I$33,7,0),1,0),0)</f>
        <v>1</v>
      </c>
      <c r="W45" s="262">
        <f>+IF(H45="Segunda",VLOOKUP(_xlfn.CONCAT(P45,G45,H45,V45),'PUNTOS 2021'!$E$23:$F$30,2,0),TC!L45)</f>
        <v>1</v>
      </c>
      <c r="X45" s="67">
        <f>+VLOOKUP(Q45,COMISIONES!$C$2:$AO$33,39,0)</f>
        <v>65</v>
      </c>
      <c r="Y45" s="67">
        <f t="shared" si="0"/>
        <v>65</v>
      </c>
      <c r="Z45" s="58" t="s">
        <v>80</v>
      </c>
      <c r="AA45" s="13">
        <f>+VLOOKUP(Q45,COMISIONES!$C$2:$C$33,1,0)</f>
        <v>20001487</v>
      </c>
      <c r="AB45" s="13" t="s">
        <v>269</v>
      </c>
    </row>
    <row r="46" spans="1:28" hidden="1">
      <c r="A46" s="117" t="s">
        <v>821</v>
      </c>
      <c r="B46" s="138">
        <v>45141</v>
      </c>
      <c r="C46" s="117" t="s">
        <v>950</v>
      </c>
      <c r="D46" s="117" t="s">
        <v>951</v>
      </c>
      <c r="E46" s="117" t="s">
        <v>952</v>
      </c>
      <c r="F46" s="117"/>
      <c r="G46" s="117" t="s">
        <v>44</v>
      </c>
      <c r="H46" s="117" t="s">
        <v>1</v>
      </c>
      <c r="I46"/>
      <c r="J46"/>
      <c r="K46" s="117" t="s">
        <v>105</v>
      </c>
      <c r="L46">
        <v>5</v>
      </c>
      <c r="M46" s="117" t="s">
        <v>121</v>
      </c>
      <c r="N46" s="117" t="s">
        <v>3</v>
      </c>
      <c r="O46" s="117" t="s">
        <v>49</v>
      </c>
      <c r="P46" s="117" t="s">
        <v>40</v>
      </c>
      <c r="Q46" s="139">
        <v>20004161</v>
      </c>
      <c r="R46" s="117" t="s">
        <v>78</v>
      </c>
      <c r="S46" s="117" t="s">
        <v>109</v>
      </c>
      <c r="T46" s="117" t="s">
        <v>109</v>
      </c>
      <c r="U46" s="117" t="s">
        <v>128</v>
      </c>
      <c r="V46" s="12">
        <f>+IFERROR(IF(VLOOKUP(Q46,COMISIONES!$C$2:$K$33,9,0)&gt;=VLOOKUP(TC!Q46,COMISIONES!$C$2:$I$33,7,0),1,0),0)</f>
        <v>1</v>
      </c>
      <c r="W46" s="262">
        <f>+IF(H46="Segunda",VLOOKUP(_xlfn.CONCAT(P46,G46,H46,V46),'PUNTOS 2021'!$E$23:$F$30,2,0),TC!L46)</f>
        <v>5</v>
      </c>
      <c r="X46" s="67">
        <f>+VLOOKUP(Q46,COMISIONES!$C$2:$AO$33,39,0)</f>
        <v>65</v>
      </c>
      <c r="Y46" s="67">
        <f t="shared" si="0"/>
        <v>325</v>
      </c>
      <c r="Z46" s="58" t="s">
        <v>80</v>
      </c>
      <c r="AA46" s="13">
        <f>+VLOOKUP(Q46,COMISIONES!$C$2:$C$33,1,0)</f>
        <v>20004161</v>
      </c>
      <c r="AB46" s="13" t="s">
        <v>269</v>
      </c>
    </row>
    <row r="47" spans="1:28" hidden="1">
      <c r="A47" s="117" t="s">
        <v>821</v>
      </c>
      <c r="B47" s="138">
        <v>45141</v>
      </c>
      <c r="C47" s="117" t="s">
        <v>953</v>
      </c>
      <c r="D47" s="117" t="s">
        <v>954</v>
      </c>
      <c r="E47" s="117" t="s">
        <v>955</v>
      </c>
      <c r="F47" s="117"/>
      <c r="G47" s="117" t="s">
        <v>43</v>
      </c>
      <c r="H47" s="117" t="s">
        <v>1</v>
      </c>
      <c r="I47"/>
      <c r="J47"/>
      <c r="K47" s="117" t="s">
        <v>105</v>
      </c>
      <c r="L47">
        <v>3</v>
      </c>
      <c r="M47" s="117" t="s">
        <v>114</v>
      </c>
      <c r="N47" s="117" t="s">
        <v>19</v>
      </c>
      <c r="O47" s="117" t="s">
        <v>49</v>
      </c>
      <c r="P47" s="117" t="s">
        <v>40</v>
      </c>
      <c r="Q47" s="139">
        <v>20008625</v>
      </c>
      <c r="R47" s="117" t="s">
        <v>78</v>
      </c>
      <c r="S47" s="117" t="s">
        <v>109</v>
      </c>
      <c r="T47" s="117"/>
      <c r="U47" s="117" t="s">
        <v>108</v>
      </c>
      <c r="V47" s="12">
        <f>+IFERROR(IF(VLOOKUP(Q47,COMISIONES!$C$2:$K$33,9,0)&gt;=VLOOKUP(TC!Q47,COMISIONES!$C$2:$I$33,7,0),1,0),0)</f>
        <v>0</v>
      </c>
      <c r="W47" s="262">
        <f>+IF(H47="Segunda",VLOOKUP(_xlfn.CONCAT(P47,G47,H47,V47),'PUNTOS 2021'!$E$23:$F$30,2,0),TC!L47)</f>
        <v>3</v>
      </c>
      <c r="X47" s="67">
        <f>+VLOOKUP(Q47,COMISIONES!$C$2:$AO$33,39,0)</f>
        <v>20</v>
      </c>
      <c r="Y47" s="67">
        <f t="shared" si="0"/>
        <v>60</v>
      </c>
      <c r="Z47" s="58" t="s">
        <v>80</v>
      </c>
      <c r="AA47" s="13">
        <f>+VLOOKUP(Q47,COMISIONES!$C$2:$C$33,1,0)</f>
        <v>20008625</v>
      </c>
      <c r="AB47" s="13" t="s">
        <v>269</v>
      </c>
    </row>
    <row r="48" spans="1:28">
      <c r="A48" s="117" t="s">
        <v>821</v>
      </c>
      <c r="B48" s="138">
        <v>45141</v>
      </c>
      <c r="C48" s="117" t="s">
        <v>956</v>
      </c>
      <c r="D48" s="117" t="s">
        <v>957</v>
      </c>
      <c r="E48" s="117" t="s">
        <v>958</v>
      </c>
      <c r="F48" s="117"/>
      <c r="G48" s="117" t="s">
        <v>43</v>
      </c>
      <c r="H48" s="117" t="s">
        <v>2</v>
      </c>
      <c r="I48"/>
      <c r="J48"/>
      <c r="K48" s="117" t="s">
        <v>105</v>
      </c>
      <c r="L48">
        <v>1</v>
      </c>
      <c r="M48" s="117" t="s">
        <v>402</v>
      </c>
      <c r="N48" s="117" t="s">
        <v>389</v>
      </c>
      <c r="O48" s="117" t="s">
        <v>50</v>
      </c>
      <c r="P48" s="117" t="s">
        <v>40</v>
      </c>
      <c r="Q48" s="139">
        <v>20010604</v>
      </c>
      <c r="R48" s="117" t="s">
        <v>78</v>
      </c>
      <c r="S48" s="117" t="s">
        <v>109</v>
      </c>
      <c r="T48" s="117"/>
      <c r="U48" s="117" t="s">
        <v>108</v>
      </c>
      <c r="V48" s="12">
        <f>+IFERROR(IF(VLOOKUP(Q48,COMISIONES!$C$2:$K$33,9,0)&gt;=VLOOKUP(TC!Q48,COMISIONES!$C$2:$I$33,7,0),1,0),0)</f>
        <v>0</v>
      </c>
      <c r="W48" s="262">
        <f>+IF(H48="Segunda",VLOOKUP(_xlfn.CONCAT(P48,G48,H48,V48),'PUNTOS 2021'!$E$23:$F$30,2,0),TC!L48)</f>
        <v>0.5</v>
      </c>
      <c r="X48" s="67">
        <f>+VLOOKUP(Q48,COMISIONES!$C$2:$AO$33,39,0)</f>
        <v>40</v>
      </c>
      <c r="Y48" s="67">
        <f t="shared" si="0"/>
        <v>20</v>
      </c>
      <c r="Z48" s="58" t="s">
        <v>80</v>
      </c>
      <c r="AA48" s="13">
        <f>+VLOOKUP(Q48,COMISIONES!$C$2:$C$33,1,0)</f>
        <v>20010604</v>
      </c>
      <c r="AB48" s="13" t="s">
        <v>269</v>
      </c>
    </row>
    <row r="49" spans="1:28">
      <c r="A49" s="117" t="s">
        <v>821</v>
      </c>
      <c r="B49" s="138">
        <v>45141</v>
      </c>
      <c r="C49" s="117" t="s">
        <v>959</v>
      </c>
      <c r="D49" s="117" t="s">
        <v>960</v>
      </c>
      <c r="E49" s="117" t="s">
        <v>961</v>
      </c>
      <c r="F49" s="117"/>
      <c r="G49" s="117" t="s">
        <v>45</v>
      </c>
      <c r="H49" s="117" t="s">
        <v>2</v>
      </c>
      <c r="I49"/>
      <c r="J49"/>
      <c r="K49" s="117" t="s">
        <v>105</v>
      </c>
      <c r="L49">
        <v>2</v>
      </c>
      <c r="M49" s="117" t="s">
        <v>115</v>
      </c>
      <c r="N49" s="117" t="s">
        <v>6</v>
      </c>
      <c r="O49" s="117" t="s">
        <v>51</v>
      </c>
      <c r="P49" s="117" t="s">
        <v>40</v>
      </c>
      <c r="Q49" s="139">
        <v>20001487</v>
      </c>
      <c r="R49" s="117" t="s">
        <v>78</v>
      </c>
      <c r="S49" s="117" t="s">
        <v>109</v>
      </c>
      <c r="T49" s="117"/>
      <c r="U49" s="117" t="s">
        <v>108</v>
      </c>
      <c r="V49" s="12">
        <f>+IFERROR(IF(VLOOKUP(Q49,COMISIONES!$C$2:$K$33,9,0)&gt;=VLOOKUP(TC!Q49,COMISIONES!$C$2:$I$33,7,0),1,0),0)</f>
        <v>1</v>
      </c>
      <c r="W49" s="262">
        <f>+IF(H49="Segunda",VLOOKUP(_xlfn.CONCAT(P49,G49,H49,V49),'PUNTOS 2021'!$E$23:$F$30,2,0),TC!L49)</f>
        <v>2</v>
      </c>
      <c r="X49" s="67">
        <f>+VLOOKUP(Q49,COMISIONES!$C$2:$AO$33,39,0)</f>
        <v>65</v>
      </c>
      <c r="Y49" s="67">
        <f t="shared" si="0"/>
        <v>130</v>
      </c>
      <c r="Z49" s="58" t="s">
        <v>80</v>
      </c>
      <c r="AA49" s="13">
        <f>+VLOOKUP(Q49,COMISIONES!$C$2:$C$33,1,0)</f>
        <v>20001487</v>
      </c>
      <c r="AB49" s="13" t="s">
        <v>269</v>
      </c>
    </row>
    <row r="50" spans="1:28" hidden="1">
      <c r="A50" s="117" t="s">
        <v>821</v>
      </c>
      <c r="B50" s="138">
        <v>45141</v>
      </c>
      <c r="C50" s="117" t="s">
        <v>962</v>
      </c>
      <c r="D50" s="117" t="s">
        <v>963</v>
      </c>
      <c r="E50" s="117" t="s">
        <v>964</v>
      </c>
      <c r="F50" s="117" t="s">
        <v>965</v>
      </c>
      <c r="G50" s="117" t="s">
        <v>43</v>
      </c>
      <c r="H50" s="117" t="s">
        <v>1</v>
      </c>
      <c r="I50"/>
      <c r="J50"/>
      <c r="K50" s="117" t="s">
        <v>105</v>
      </c>
      <c r="L50">
        <v>3</v>
      </c>
      <c r="M50" s="117" t="s">
        <v>113</v>
      </c>
      <c r="N50" s="117" t="s">
        <v>12</v>
      </c>
      <c r="O50" s="117" t="s">
        <v>49</v>
      </c>
      <c r="P50" s="117" t="s">
        <v>40</v>
      </c>
      <c r="Q50" s="139">
        <v>20007726</v>
      </c>
      <c r="R50" s="117" t="s">
        <v>78</v>
      </c>
      <c r="S50" s="117" t="s">
        <v>109</v>
      </c>
      <c r="T50" s="117"/>
      <c r="U50" s="117" t="s">
        <v>108</v>
      </c>
      <c r="V50" s="12">
        <f>+IFERROR(IF(VLOOKUP(Q50,COMISIONES!$C$2:$K$33,9,0)&gt;=VLOOKUP(TC!Q50,COMISIONES!$C$2:$I$33,7,0),1,0),0)</f>
        <v>1</v>
      </c>
      <c r="W50" s="262">
        <f>+IF(H50="Segunda",VLOOKUP(_xlfn.CONCAT(P50,G50,H50,V50),'PUNTOS 2021'!$E$23:$F$30,2,0),TC!L50)</f>
        <v>3</v>
      </c>
      <c r="X50" s="67">
        <f>+VLOOKUP(Q50,COMISIONES!$C$2:$AO$33,39,0)</f>
        <v>65</v>
      </c>
      <c r="Y50" s="67">
        <f t="shared" si="0"/>
        <v>195</v>
      </c>
      <c r="Z50" s="58" t="s">
        <v>80</v>
      </c>
      <c r="AA50" s="13">
        <f>+VLOOKUP(Q50,COMISIONES!$C$2:$C$33,1,0)</f>
        <v>20007726</v>
      </c>
      <c r="AB50" s="13" t="s">
        <v>269</v>
      </c>
    </row>
    <row r="51" spans="1:28" ht="15.6" customHeight="1">
      <c r="A51" s="117" t="s">
        <v>821</v>
      </c>
      <c r="B51" s="138">
        <v>45141</v>
      </c>
      <c r="C51" s="117" t="s">
        <v>966</v>
      </c>
      <c r="D51" s="117" t="s">
        <v>967</v>
      </c>
      <c r="E51" s="117" t="s">
        <v>968</v>
      </c>
      <c r="F51" s="117"/>
      <c r="G51" s="117" t="s">
        <v>43</v>
      </c>
      <c r="H51" s="117" t="s">
        <v>2</v>
      </c>
      <c r="I51"/>
      <c r="J51"/>
      <c r="K51" s="117" t="s">
        <v>105</v>
      </c>
      <c r="L51">
        <v>1</v>
      </c>
      <c r="M51" s="117" t="s">
        <v>112</v>
      </c>
      <c r="N51" s="117" t="s">
        <v>9</v>
      </c>
      <c r="O51" s="117" t="s">
        <v>51</v>
      </c>
      <c r="P51" s="117" t="s">
        <v>40</v>
      </c>
      <c r="Q51" s="139">
        <v>20004638</v>
      </c>
      <c r="R51" s="117" t="s">
        <v>78</v>
      </c>
      <c r="S51" s="117" t="s">
        <v>109</v>
      </c>
      <c r="T51" s="117"/>
      <c r="U51" s="117" t="s">
        <v>108</v>
      </c>
      <c r="V51" s="12">
        <f>+IFERROR(IF(VLOOKUP(Q51,COMISIONES!$C$2:$K$33,9,0)&gt;=VLOOKUP(TC!Q51,COMISIONES!$C$2:$I$33,7,0),1,0),0)</f>
        <v>0</v>
      </c>
      <c r="W51" s="262">
        <f>+IF(H51="Segunda",VLOOKUP(_xlfn.CONCAT(P51,G51,H51,V51),'PUNTOS 2021'!$E$23:$F$30,2,0),TC!L51)</f>
        <v>0.5</v>
      </c>
      <c r="X51" s="67">
        <f>+VLOOKUP(Q51,COMISIONES!$C$2:$AO$33,39,0)</f>
        <v>60</v>
      </c>
      <c r="Y51" s="67">
        <f t="shared" si="0"/>
        <v>30</v>
      </c>
      <c r="Z51" s="58" t="s">
        <v>80</v>
      </c>
      <c r="AA51" s="13">
        <f>+VLOOKUP(Q51,COMISIONES!$C$2:$C$33,1,0)</f>
        <v>20004638</v>
      </c>
      <c r="AB51" s="13" t="s">
        <v>269</v>
      </c>
    </row>
    <row r="52" spans="1:28" hidden="1">
      <c r="A52" s="117" t="s">
        <v>821</v>
      </c>
      <c r="B52" s="138">
        <v>45142</v>
      </c>
      <c r="C52" s="117" t="s">
        <v>969</v>
      </c>
      <c r="D52" s="117" t="s">
        <v>970</v>
      </c>
      <c r="E52" s="117" t="s">
        <v>971</v>
      </c>
      <c r="F52" s="117"/>
      <c r="G52" s="117" t="s">
        <v>43</v>
      </c>
      <c r="H52" s="117" t="s">
        <v>1</v>
      </c>
      <c r="I52"/>
      <c r="J52"/>
      <c r="K52" s="117" t="s">
        <v>130</v>
      </c>
      <c r="L52">
        <v>3</v>
      </c>
      <c r="M52" s="117" t="s">
        <v>125</v>
      </c>
      <c r="N52" s="117" t="s">
        <v>18</v>
      </c>
      <c r="O52" s="117" t="s">
        <v>50</v>
      </c>
      <c r="P52" s="117" t="s">
        <v>40</v>
      </c>
      <c r="Q52" s="139">
        <v>20008439</v>
      </c>
      <c r="R52" s="117" t="s">
        <v>78</v>
      </c>
      <c r="S52" s="117" t="s">
        <v>109</v>
      </c>
      <c r="T52" s="117" t="s">
        <v>109</v>
      </c>
      <c r="U52" s="117" t="s">
        <v>128</v>
      </c>
      <c r="V52" s="12">
        <f>+IFERROR(IF(VLOOKUP(Q52,COMISIONES!$C$2:$K$33,9,0)&gt;=VLOOKUP(TC!Q52,COMISIONES!$C$2:$I$33,7,0),1,0),0)</f>
        <v>1</v>
      </c>
      <c r="W52" s="262">
        <f>+IF(H52="Segunda",VLOOKUP(_xlfn.CONCAT(P52,G52,H52,V52),'PUNTOS 2021'!$E$23:$F$30,2,0),TC!L52)</f>
        <v>3</v>
      </c>
      <c r="X52" s="67">
        <f>+VLOOKUP(Q52,COMISIONES!$C$2:$AO$33,39,0)</f>
        <v>60</v>
      </c>
      <c r="Y52" s="67">
        <f t="shared" si="0"/>
        <v>180</v>
      </c>
      <c r="Z52" s="58" t="s">
        <v>80</v>
      </c>
      <c r="AA52" s="13">
        <f>+VLOOKUP(Q52,COMISIONES!$C$2:$C$33,1,0)</f>
        <v>20008439</v>
      </c>
      <c r="AB52" s="13" t="s">
        <v>269</v>
      </c>
    </row>
    <row r="53" spans="1:28" hidden="1">
      <c r="A53" s="117" t="s">
        <v>821</v>
      </c>
      <c r="B53" s="138">
        <v>45142</v>
      </c>
      <c r="C53" s="117" t="s">
        <v>972</v>
      </c>
      <c r="D53" s="117" t="s">
        <v>973</v>
      </c>
      <c r="E53" s="117" t="s">
        <v>974</v>
      </c>
      <c r="F53" s="117"/>
      <c r="G53" s="117" t="s">
        <v>44</v>
      </c>
      <c r="H53" s="117" t="s">
        <v>1</v>
      </c>
      <c r="I53"/>
      <c r="J53"/>
      <c r="K53" s="117" t="s">
        <v>105</v>
      </c>
      <c r="L53">
        <v>5</v>
      </c>
      <c r="M53" s="117" t="s">
        <v>402</v>
      </c>
      <c r="N53" s="117" t="s">
        <v>389</v>
      </c>
      <c r="O53" s="117" t="s">
        <v>50</v>
      </c>
      <c r="P53" s="117" t="s">
        <v>40</v>
      </c>
      <c r="Q53" s="139">
        <v>20010604</v>
      </c>
      <c r="R53" s="117" t="s">
        <v>78</v>
      </c>
      <c r="S53" s="117" t="s">
        <v>109</v>
      </c>
      <c r="T53" s="117"/>
      <c r="U53" s="117" t="s">
        <v>108</v>
      </c>
      <c r="V53" s="12">
        <f>+IFERROR(IF(VLOOKUP(Q53,COMISIONES!$C$2:$K$33,9,0)&gt;=VLOOKUP(TC!Q53,COMISIONES!$C$2:$I$33,7,0),1,0),0)</f>
        <v>0</v>
      </c>
      <c r="W53" s="262">
        <f>+IF(H53="Segunda",VLOOKUP(_xlfn.CONCAT(P53,G53,H53,V53),'PUNTOS 2021'!$E$23:$F$30,2,0),TC!L53)</f>
        <v>5</v>
      </c>
      <c r="X53" s="67">
        <f>+VLOOKUP(Q53,COMISIONES!$C$2:$AO$33,39,0)</f>
        <v>40</v>
      </c>
      <c r="Y53" s="67">
        <f t="shared" si="0"/>
        <v>200</v>
      </c>
      <c r="Z53" s="58" t="s">
        <v>80</v>
      </c>
      <c r="AA53" s="13">
        <f>+VLOOKUP(Q53,COMISIONES!$C$2:$C$33,1,0)</f>
        <v>20010604</v>
      </c>
      <c r="AB53" s="13" t="s">
        <v>269</v>
      </c>
    </row>
    <row r="54" spans="1:28">
      <c r="A54" s="117" t="s">
        <v>821</v>
      </c>
      <c r="B54" s="138">
        <v>45142</v>
      </c>
      <c r="C54" s="117" t="s">
        <v>975</v>
      </c>
      <c r="D54" s="117" t="s">
        <v>976</v>
      </c>
      <c r="E54" s="117" t="s">
        <v>977</v>
      </c>
      <c r="F54" s="117"/>
      <c r="G54" s="117" t="s">
        <v>45</v>
      </c>
      <c r="H54" s="117" t="s">
        <v>2</v>
      </c>
      <c r="I54"/>
      <c r="J54"/>
      <c r="K54" s="117" t="s">
        <v>105</v>
      </c>
      <c r="L54">
        <v>2</v>
      </c>
      <c r="M54" s="117" t="s">
        <v>256</v>
      </c>
      <c r="N54" s="117" t="s">
        <v>236</v>
      </c>
      <c r="O54" s="117" t="s">
        <v>49</v>
      </c>
      <c r="P54" s="117" t="s">
        <v>40</v>
      </c>
      <c r="Q54" s="139">
        <v>20010101</v>
      </c>
      <c r="R54" s="117" t="s">
        <v>78</v>
      </c>
      <c r="S54" s="117" t="s">
        <v>109</v>
      </c>
      <c r="T54" s="117"/>
      <c r="U54" s="117" t="s">
        <v>108</v>
      </c>
      <c r="V54" s="12">
        <f>+IFERROR(IF(VLOOKUP(Q54,COMISIONES!$C$2:$K$33,9,0)&gt;=VLOOKUP(TC!Q54,COMISIONES!$C$2:$I$33,7,0),1,0),0)</f>
        <v>0</v>
      </c>
      <c r="W54" s="262">
        <f>+IF(H54="Segunda",VLOOKUP(_xlfn.CONCAT(P54,G54,H54,V54),'PUNTOS 2021'!$E$23:$F$30,2,0),TC!L54)</f>
        <v>0.5</v>
      </c>
      <c r="X54" s="67">
        <f>+VLOOKUP(Q54,COMISIONES!$C$2:$AO$33,39,0)</f>
        <v>65</v>
      </c>
      <c r="Y54" s="67">
        <f t="shared" si="0"/>
        <v>32.5</v>
      </c>
      <c r="Z54" s="58" t="s">
        <v>80</v>
      </c>
      <c r="AA54" s="13">
        <f>+VLOOKUP(Q54,COMISIONES!$C$2:$C$33,1,0)</f>
        <v>20010101</v>
      </c>
      <c r="AB54" s="13" t="s">
        <v>269</v>
      </c>
    </row>
    <row r="55" spans="1:28" hidden="1">
      <c r="A55" s="117" t="s">
        <v>821</v>
      </c>
      <c r="B55" s="138">
        <v>45142</v>
      </c>
      <c r="C55" s="117" t="s">
        <v>978</v>
      </c>
      <c r="D55" s="117" t="s">
        <v>979</v>
      </c>
      <c r="E55" s="117" t="s">
        <v>980</v>
      </c>
      <c r="F55" s="117"/>
      <c r="G55" s="117" t="s">
        <v>44</v>
      </c>
      <c r="H55" s="117" t="s">
        <v>1</v>
      </c>
      <c r="I55"/>
      <c r="J55"/>
      <c r="K55" s="117" t="s">
        <v>105</v>
      </c>
      <c r="L55">
        <v>5</v>
      </c>
      <c r="M55" s="117" t="s">
        <v>120</v>
      </c>
      <c r="N55" s="117" t="s">
        <v>21</v>
      </c>
      <c r="O55" s="117" t="s">
        <v>50</v>
      </c>
      <c r="P55" s="117" t="s">
        <v>40</v>
      </c>
      <c r="Q55" s="139">
        <v>20008711</v>
      </c>
      <c r="R55" s="117" t="s">
        <v>78</v>
      </c>
      <c r="S55" s="117" t="s">
        <v>109</v>
      </c>
      <c r="T55" s="117" t="s">
        <v>109</v>
      </c>
      <c r="U55" s="117" t="s">
        <v>128</v>
      </c>
      <c r="V55" s="12">
        <f>+IFERROR(IF(VLOOKUP(Q55,COMISIONES!$C$2:$K$33,9,0)&gt;=VLOOKUP(TC!Q55,COMISIONES!$C$2:$I$33,7,0),1,0),0)</f>
        <v>0</v>
      </c>
      <c r="W55" s="262">
        <f>+IF(H55="Segunda",VLOOKUP(_xlfn.CONCAT(P55,G55,H55,V55),'PUNTOS 2021'!$E$23:$F$30,2,0),TC!L55)</f>
        <v>5</v>
      </c>
      <c r="X55" s="67">
        <f>+VLOOKUP(Q55,COMISIONES!$C$2:$AO$33,39,0)</f>
        <v>60</v>
      </c>
      <c r="Y55" s="67">
        <f t="shared" si="0"/>
        <v>300</v>
      </c>
      <c r="Z55" s="58" t="s">
        <v>80</v>
      </c>
      <c r="AA55" s="13">
        <f>+VLOOKUP(Q55,COMISIONES!$C$2:$C$33,1,0)</f>
        <v>20008711</v>
      </c>
      <c r="AB55" s="13" t="s">
        <v>269</v>
      </c>
    </row>
    <row r="56" spans="1:28" hidden="1">
      <c r="A56" s="117" t="s">
        <v>821</v>
      </c>
      <c r="B56" s="138">
        <v>45142</v>
      </c>
      <c r="C56" s="117" t="s">
        <v>981</v>
      </c>
      <c r="D56" s="117" t="s">
        <v>982</v>
      </c>
      <c r="E56" s="117" t="s">
        <v>983</v>
      </c>
      <c r="F56" s="117"/>
      <c r="G56" s="117" t="s">
        <v>44</v>
      </c>
      <c r="H56" s="117" t="s">
        <v>1</v>
      </c>
      <c r="I56"/>
      <c r="J56"/>
      <c r="K56" s="117" t="s">
        <v>105</v>
      </c>
      <c r="L56">
        <v>5</v>
      </c>
      <c r="M56" s="117" t="s">
        <v>116</v>
      </c>
      <c r="N56" s="117" t="s">
        <v>13</v>
      </c>
      <c r="O56" s="117" t="s">
        <v>50</v>
      </c>
      <c r="P56" s="117" t="s">
        <v>40</v>
      </c>
      <c r="Q56" s="139">
        <v>20007020</v>
      </c>
      <c r="R56" s="117" t="s">
        <v>78</v>
      </c>
      <c r="S56" s="117" t="s">
        <v>109</v>
      </c>
      <c r="T56" s="117"/>
      <c r="U56" s="117" t="s">
        <v>108</v>
      </c>
      <c r="V56" s="12">
        <f>+IFERROR(IF(VLOOKUP(Q56,COMISIONES!$C$2:$K$33,9,0)&gt;=VLOOKUP(TC!Q56,COMISIONES!$C$2:$I$33,7,0),1,0),0)</f>
        <v>0</v>
      </c>
      <c r="W56" s="262">
        <f>+IF(H56="Segunda",VLOOKUP(_xlfn.CONCAT(P56,G56,H56,V56),'PUNTOS 2021'!$E$23:$F$30,2,0),TC!L56)</f>
        <v>5</v>
      </c>
      <c r="X56" s="67">
        <f>+VLOOKUP(Q56,COMISIONES!$C$2:$AO$33,39,0)</f>
        <v>40</v>
      </c>
      <c r="Y56" s="67">
        <f t="shared" si="0"/>
        <v>200</v>
      </c>
      <c r="Z56" s="58" t="s">
        <v>80</v>
      </c>
      <c r="AA56" s="13">
        <f>+VLOOKUP(Q56,COMISIONES!$C$2:$C$33,1,0)</f>
        <v>20007020</v>
      </c>
      <c r="AB56" s="13" t="s">
        <v>269</v>
      </c>
    </row>
    <row r="57" spans="1:28" hidden="1">
      <c r="A57" s="117" t="s">
        <v>821</v>
      </c>
      <c r="B57" s="138">
        <v>45142</v>
      </c>
      <c r="C57" s="117" t="s">
        <v>984</v>
      </c>
      <c r="D57" s="117" t="s">
        <v>985</v>
      </c>
      <c r="E57" s="117" t="s">
        <v>986</v>
      </c>
      <c r="F57" s="117"/>
      <c r="G57" s="117" t="s">
        <v>45</v>
      </c>
      <c r="H57" s="117" t="s">
        <v>1</v>
      </c>
      <c r="I57"/>
      <c r="J57"/>
      <c r="K57" s="117" t="s">
        <v>105</v>
      </c>
      <c r="L57">
        <v>7</v>
      </c>
      <c r="M57" s="117" t="s">
        <v>115</v>
      </c>
      <c r="N57" s="117" t="s">
        <v>6</v>
      </c>
      <c r="O57" s="117" t="s">
        <v>51</v>
      </c>
      <c r="P57" s="117" t="s">
        <v>40</v>
      </c>
      <c r="Q57" s="139">
        <v>20001487</v>
      </c>
      <c r="R57" s="117" t="s">
        <v>78</v>
      </c>
      <c r="S57" s="117" t="s">
        <v>109</v>
      </c>
      <c r="T57" s="117"/>
      <c r="U57" s="117" t="s">
        <v>108</v>
      </c>
      <c r="V57" s="12">
        <f>+IFERROR(IF(VLOOKUP(Q57,COMISIONES!$C$2:$K$33,9,0)&gt;=VLOOKUP(TC!Q57,COMISIONES!$C$2:$I$33,7,0),1,0),0)</f>
        <v>1</v>
      </c>
      <c r="W57" s="262">
        <f>+IF(H57="Segunda",VLOOKUP(_xlfn.CONCAT(P57,G57,H57,V57),'PUNTOS 2021'!$E$23:$F$30,2,0),TC!L57)</f>
        <v>7</v>
      </c>
      <c r="X57" s="67">
        <f>+VLOOKUP(Q57,COMISIONES!$C$2:$AO$33,39,0)</f>
        <v>65</v>
      </c>
      <c r="Y57" s="67">
        <f t="shared" si="0"/>
        <v>455</v>
      </c>
      <c r="Z57" s="58" t="s">
        <v>80</v>
      </c>
      <c r="AA57" s="13">
        <f>+VLOOKUP(Q57,COMISIONES!$C$2:$C$33,1,0)</f>
        <v>20001487</v>
      </c>
      <c r="AB57" s="13" t="s">
        <v>269</v>
      </c>
    </row>
    <row r="58" spans="1:28" hidden="1">
      <c r="A58" s="117" t="s">
        <v>821</v>
      </c>
      <c r="B58" s="138">
        <v>45142</v>
      </c>
      <c r="C58" s="117" t="s">
        <v>987</v>
      </c>
      <c r="D58" s="117" t="s">
        <v>988</v>
      </c>
      <c r="E58" s="117" t="s">
        <v>989</v>
      </c>
      <c r="F58" s="117"/>
      <c r="G58" s="117" t="s">
        <v>44</v>
      </c>
      <c r="H58" s="117" t="s">
        <v>1</v>
      </c>
      <c r="I58"/>
      <c r="J58"/>
      <c r="K58" s="117" t="s">
        <v>105</v>
      </c>
      <c r="L58">
        <v>5</v>
      </c>
      <c r="M58" s="117" t="s">
        <v>126</v>
      </c>
      <c r="N58" s="117" t="s">
        <v>11</v>
      </c>
      <c r="O58" s="117" t="s">
        <v>49</v>
      </c>
      <c r="P58" s="117" t="s">
        <v>40</v>
      </c>
      <c r="Q58" s="139">
        <v>20004235</v>
      </c>
      <c r="R58" s="117" t="s">
        <v>78</v>
      </c>
      <c r="S58" s="117" t="s">
        <v>109</v>
      </c>
      <c r="T58" s="117"/>
      <c r="U58" s="117" t="s">
        <v>108</v>
      </c>
      <c r="V58" s="12">
        <f>+IFERROR(IF(VLOOKUP(Q58,COMISIONES!$C$2:$K$33,9,0)&gt;=VLOOKUP(TC!Q58,COMISIONES!$C$2:$I$33,7,0),1,0),0)</f>
        <v>0</v>
      </c>
      <c r="W58" s="262">
        <f>+IF(H58="Segunda",VLOOKUP(_xlfn.CONCAT(P58,G58,H58,V58),'PUNTOS 2021'!$E$23:$F$30,2,0),TC!L58)</f>
        <v>5</v>
      </c>
      <c r="X58" s="67">
        <f>+VLOOKUP(Q58,COMISIONES!$C$2:$AO$33,39,0)</f>
        <v>40</v>
      </c>
      <c r="Y58" s="67">
        <f t="shared" si="0"/>
        <v>200</v>
      </c>
      <c r="Z58" s="58" t="s">
        <v>80</v>
      </c>
      <c r="AA58" s="13">
        <f>+VLOOKUP(Q58,COMISIONES!$C$2:$C$33,1,0)</f>
        <v>20004235</v>
      </c>
      <c r="AB58" s="13" t="s">
        <v>269</v>
      </c>
    </row>
    <row r="59" spans="1:28" hidden="1">
      <c r="A59" s="117" t="s">
        <v>821</v>
      </c>
      <c r="B59" s="138">
        <v>45142</v>
      </c>
      <c r="C59" s="117" t="s">
        <v>990</v>
      </c>
      <c r="D59" s="117" t="s">
        <v>991</v>
      </c>
      <c r="E59" s="117" t="s">
        <v>992</v>
      </c>
      <c r="F59" s="117"/>
      <c r="G59" s="117" t="s">
        <v>43</v>
      </c>
      <c r="H59" s="117" t="s">
        <v>1</v>
      </c>
      <c r="I59"/>
      <c r="J59"/>
      <c r="K59" s="117" t="s">
        <v>105</v>
      </c>
      <c r="L59">
        <v>3</v>
      </c>
      <c r="M59" s="117" t="s">
        <v>159</v>
      </c>
      <c r="N59" s="117" t="s">
        <v>227</v>
      </c>
      <c r="O59" s="117" t="s">
        <v>49</v>
      </c>
      <c r="P59" s="117" t="s">
        <v>40</v>
      </c>
      <c r="Q59" s="139">
        <v>20009690</v>
      </c>
      <c r="R59" s="117" t="s">
        <v>78</v>
      </c>
      <c r="S59" s="117" t="s">
        <v>109</v>
      </c>
      <c r="T59" s="117"/>
      <c r="U59" s="117" t="s">
        <v>108</v>
      </c>
      <c r="V59" s="12">
        <f>+IFERROR(IF(VLOOKUP(Q59,COMISIONES!$C$2:$K$33,9,0)&gt;=VLOOKUP(TC!Q59,COMISIONES!$C$2:$I$33,7,0),1,0),0)</f>
        <v>0</v>
      </c>
      <c r="W59" s="262">
        <f>+IF(H59="Segunda",VLOOKUP(_xlfn.CONCAT(P59,G59,H59,V59),'PUNTOS 2021'!$E$23:$F$30,2,0),TC!L59)</f>
        <v>3</v>
      </c>
      <c r="X59" s="67">
        <f>+VLOOKUP(Q59,COMISIONES!$C$2:$AO$33,39,0)</f>
        <v>45</v>
      </c>
      <c r="Y59" s="67">
        <f t="shared" si="0"/>
        <v>135</v>
      </c>
      <c r="Z59" s="58" t="s">
        <v>80</v>
      </c>
      <c r="AA59" s="13">
        <f>+VLOOKUP(Q59,COMISIONES!$C$2:$C$33,1,0)</f>
        <v>20009690</v>
      </c>
      <c r="AB59" s="13" t="s">
        <v>269</v>
      </c>
    </row>
    <row r="60" spans="1:28" hidden="1">
      <c r="A60" s="117" t="s">
        <v>821</v>
      </c>
      <c r="B60" s="138">
        <v>45142</v>
      </c>
      <c r="C60" s="117" t="s">
        <v>993</v>
      </c>
      <c r="D60" s="117" t="s">
        <v>994</v>
      </c>
      <c r="E60" s="117" t="s">
        <v>995</v>
      </c>
      <c r="F60" s="117"/>
      <c r="G60" s="117" t="s">
        <v>44</v>
      </c>
      <c r="H60" s="117" t="s">
        <v>1</v>
      </c>
      <c r="I60"/>
      <c r="J60"/>
      <c r="K60" s="117" t="s">
        <v>105</v>
      </c>
      <c r="L60">
        <v>5</v>
      </c>
      <c r="M60" s="117" t="s">
        <v>159</v>
      </c>
      <c r="N60" s="117" t="s">
        <v>227</v>
      </c>
      <c r="O60" s="117" t="s">
        <v>49</v>
      </c>
      <c r="P60" s="117" t="s">
        <v>40</v>
      </c>
      <c r="Q60" s="139">
        <v>20009690</v>
      </c>
      <c r="R60" s="117" t="s">
        <v>78</v>
      </c>
      <c r="S60" s="117" t="s">
        <v>109</v>
      </c>
      <c r="T60" s="117" t="s">
        <v>109</v>
      </c>
      <c r="U60" s="117" t="s">
        <v>128</v>
      </c>
      <c r="V60" s="12">
        <f>+IFERROR(IF(VLOOKUP(Q60,COMISIONES!$C$2:$K$33,9,0)&gt;=VLOOKUP(TC!Q60,COMISIONES!$C$2:$I$33,7,0),1,0),0)</f>
        <v>0</v>
      </c>
      <c r="W60" s="262">
        <f>+IF(H60="Segunda",VLOOKUP(_xlfn.CONCAT(P60,G60,H60,V60),'PUNTOS 2021'!$E$23:$F$30,2,0),TC!L60)</f>
        <v>5</v>
      </c>
      <c r="X60" s="67">
        <f>+VLOOKUP(Q60,COMISIONES!$C$2:$AO$33,39,0)</f>
        <v>45</v>
      </c>
      <c r="Y60" s="67">
        <f t="shared" si="0"/>
        <v>225</v>
      </c>
      <c r="Z60" s="58" t="s">
        <v>80</v>
      </c>
      <c r="AA60" s="13">
        <f>+VLOOKUP(Q60,COMISIONES!$C$2:$C$33,1,0)</f>
        <v>20009690</v>
      </c>
      <c r="AB60" s="13" t="s">
        <v>269</v>
      </c>
    </row>
    <row r="61" spans="1:28" hidden="1">
      <c r="A61" s="117" t="s">
        <v>821</v>
      </c>
      <c r="B61" s="138">
        <v>45142</v>
      </c>
      <c r="C61" s="117" t="s">
        <v>996</v>
      </c>
      <c r="D61" s="117" t="s">
        <v>997</v>
      </c>
      <c r="E61" s="117" t="s">
        <v>998</v>
      </c>
      <c r="F61" s="117"/>
      <c r="G61" s="117" t="s">
        <v>43</v>
      </c>
      <c r="H61" s="117" t="s">
        <v>1</v>
      </c>
      <c r="I61"/>
      <c r="J61"/>
      <c r="K61" s="117" t="s">
        <v>105</v>
      </c>
      <c r="L61">
        <v>3</v>
      </c>
      <c r="M61" s="117" t="s">
        <v>116</v>
      </c>
      <c r="N61" s="117" t="s">
        <v>13</v>
      </c>
      <c r="O61" s="117" t="s">
        <v>50</v>
      </c>
      <c r="P61" s="117" t="s">
        <v>40</v>
      </c>
      <c r="Q61" s="139">
        <v>20007020</v>
      </c>
      <c r="R61" s="117" t="s">
        <v>78</v>
      </c>
      <c r="S61" s="117" t="s">
        <v>109</v>
      </c>
      <c r="T61" s="117"/>
      <c r="U61" s="117" t="s">
        <v>108</v>
      </c>
      <c r="V61" s="12">
        <f>+IFERROR(IF(VLOOKUP(Q61,COMISIONES!$C$2:$K$33,9,0)&gt;=VLOOKUP(TC!Q61,COMISIONES!$C$2:$I$33,7,0),1,0),0)</f>
        <v>0</v>
      </c>
      <c r="W61" s="262">
        <f>+IF(H61="Segunda",VLOOKUP(_xlfn.CONCAT(P61,G61,H61,V61),'PUNTOS 2021'!$E$23:$F$30,2,0),TC!L61)</f>
        <v>3</v>
      </c>
      <c r="X61" s="67">
        <f>+VLOOKUP(Q61,COMISIONES!$C$2:$AO$33,39,0)</f>
        <v>40</v>
      </c>
      <c r="Y61" s="67">
        <f t="shared" si="0"/>
        <v>120</v>
      </c>
      <c r="Z61" s="58" t="s">
        <v>80</v>
      </c>
      <c r="AA61" s="13">
        <f>+VLOOKUP(Q61,COMISIONES!$C$2:$C$33,1,0)</f>
        <v>20007020</v>
      </c>
      <c r="AB61" s="13" t="s">
        <v>269</v>
      </c>
    </row>
    <row r="62" spans="1:28" hidden="1">
      <c r="A62" s="117" t="s">
        <v>821</v>
      </c>
      <c r="B62" s="138">
        <v>45142</v>
      </c>
      <c r="C62" s="117" t="s">
        <v>999</v>
      </c>
      <c r="D62" s="117" t="s">
        <v>1000</v>
      </c>
      <c r="E62" s="117" t="s">
        <v>1001</v>
      </c>
      <c r="F62" s="117"/>
      <c r="G62" s="117" t="s">
        <v>45</v>
      </c>
      <c r="H62" s="117" t="s">
        <v>1</v>
      </c>
      <c r="I62"/>
      <c r="J62"/>
      <c r="K62" s="117" t="s">
        <v>105</v>
      </c>
      <c r="L62">
        <v>7</v>
      </c>
      <c r="M62" s="117" t="s">
        <v>120</v>
      </c>
      <c r="N62" s="117" t="s">
        <v>21</v>
      </c>
      <c r="O62" s="117" t="s">
        <v>50</v>
      </c>
      <c r="P62" s="117" t="s">
        <v>40</v>
      </c>
      <c r="Q62" s="139">
        <v>20008711</v>
      </c>
      <c r="R62" s="117" t="s">
        <v>78</v>
      </c>
      <c r="S62" s="117" t="s">
        <v>109</v>
      </c>
      <c r="T62" s="117"/>
      <c r="U62" s="117" t="s">
        <v>108</v>
      </c>
      <c r="V62" s="12">
        <f>+IFERROR(IF(VLOOKUP(Q62,COMISIONES!$C$2:$K$33,9,0)&gt;=VLOOKUP(TC!Q62,COMISIONES!$C$2:$I$33,7,0),1,0),0)</f>
        <v>0</v>
      </c>
      <c r="W62" s="262">
        <f>+IF(H62="Segunda",VLOOKUP(_xlfn.CONCAT(P62,G62,H62,V62),'PUNTOS 2021'!$E$23:$F$30,2,0),TC!L62)</f>
        <v>7</v>
      </c>
      <c r="X62" s="67">
        <f>+VLOOKUP(Q62,COMISIONES!$C$2:$AO$33,39,0)</f>
        <v>60</v>
      </c>
      <c r="Y62" s="67">
        <f t="shared" si="0"/>
        <v>420</v>
      </c>
      <c r="Z62" s="58" t="s">
        <v>80</v>
      </c>
      <c r="AA62" s="13">
        <f>+VLOOKUP(Q62,COMISIONES!$C$2:$C$33,1,0)</f>
        <v>20008711</v>
      </c>
      <c r="AB62" s="13" t="s">
        <v>269</v>
      </c>
    </row>
    <row r="63" spans="1:28" hidden="1">
      <c r="A63" s="117" t="s">
        <v>821</v>
      </c>
      <c r="B63" s="138">
        <v>45142</v>
      </c>
      <c r="C63" s="117" t="s">
        <v>1002</v>
      </c>
      <c r="D63" s="117" t="s">
        <v>1003</v>
      </c>
      <c r="E63" s="117" t="s">
        <v>1004</v>
      </c>
      <c r="F63" s="117"/>
      <c r="G63" s="117" t="s">
        <v>45</v>
      </c>
      <c r="H63" s="117" t="s">
        <v>1</v>
      </c>
      <c r="I63"/>
      <c r="J63"/>
      <c r="K63" s="117" t="s">
        <v>105</v>
      </c>
      <c r="L63">
        <v>7</v>
      </c>
      <c r="M63" s="117" t="s">
        <v>115</v>
      </c>
      <c r="N63" s="117" t="s">
        <v>6</v>
      </c>
      <c r="O63" s="117" t="s">
        <v>51</v>
      </c>
      <c r="P63" s="117" t="s">
        <v>40</v>
      </c>
      <c r="Q63" s="139">
        <v>20001487</v>
      </c>
      <c r="R63" s="117" t="s">
        <v>78</v>
      </c>
      <c r="S63" s="117" t="s">
        <v>109</v>
      </c>
      <c r="T63" s="117"/>
      <c r="U63" s="117" t="s">
        <v>108</v>
      </c>
      <c r="V63" s="12">
        <f>+IFERROR(IF(VLOOKUP(Q63,COMISIONES!$C$2:$K$33,9,0)&gt;=VLOOKUP(TC!Q63,COMISIONES!$C$2:$I$33,7,0),1,0),0)</f>
        <v>1</v>
      </c>
      <c r="W63" s="262">
        <f>+IF(H63="Segunda",VLOOKUP(_xlfn.CONCAT(P63,G63,H63,V63),'PUNTOS 2021'!$E$23:$F$30,2,0),TC!L63)</f>
        <v>7</v>
      </c>
      <c r="X63" s="67">
        <f>+VLOOKUP(Q63,COMISIONES!$C$2:$AO$33,39,0)</f>
        <v>65</v>
      </c>
      <c r="Y63" s="67">
        <f t="shared" si="0"/>
        <v>455</v>
      </c>
      <c r="Z63" s="58" t="s">
        <v>80</v>
      </c>
      <c r="AA63" s="13">
        <f>+VLOOKUP(Q63,COMISIONES!$C$2:$C$33,1,0)</f>
        <v>20001487</v>
      </c>
      <c r="AB63" s="13" t="s">
        <v>269</v>
      </c>
    </row>
    <row r="64" spans="1:28">
      <c r="A64" s="117" t="s">
        <v>821</v>
      </c>
      <c r="B64" s="138">
        <v>45142</v>
      </c>
      <c r="C64" s="117" t="s">
        <v>1005</v>
      </c>
      <c r="D64" s="117" t="s">
        <v>1006</v>
      </c>
      <c r="E64" s="117" t="s">
        <v>1007</v>
      </c>
      <c r="F64" s="117"/>
      <c r="G64" s="117" t="s">
        <v>45</v>
      </c>
      <c r="H64" s="117" t="s">
        <v>2</v>
      </c>
      <c r="I64"/>
      <c r="J64"/>
      <c r="K64" s="117" t="s">
        <v>105</v>
      </c>
      <c r="L64">
        <v>2</v>
      </c>
      <c r="M64" s="117" t="s">
        <v>122</v>
      </c>
      <c r="N64" s="117" t="s">
        <v>5</v>
      </c>
      <c r="O64" s="117" t="s">
        <v>50</v>
      </c>
      <c r="P64" s="117" t="s">
        <v>40</v>
      </c>
      <c r="Q64" s="139">
        <v>20004566</v>
      </c>
      <c r="R64" s="117" t="s">
        <v>78</v>
      </c>
      <c r="S64" s="117" t="s">
        <v>109</v>
      </c>
      <c r="T64" s="117"/>
      <c r="U64" s="117" t="s">
        <v>108</v>
      </c>
      <c r="V64" s="12">
        <f>+IFERROR(IF(VLOOKUP(Q64,COMISIONES!$C$2:$K$33,9,0)&gt;=VLOOKUP(TC!Q64,COMISIONES!$C$2:$I$33,7,0),1,0),0)</f>
        <v>1</v>
      </c>
      <c r="W64" s="262">
        <f>+IF(H64="Segunda",VLOOKUP(_xlfn.CONCAT(P64,G64,H64,V64),'PUNTOS 2021'!$E$23:$F$30,2,0),TC!L64)</f>
        <v>2</v>
      </c>
      <c r="X64" s="67">
        <f>+VLOOKUP(Q64,COMISIONES!$C$2:$AO$33,39,0)</f>
        <v>60</v>
      </c>
      <c r="Y64" s="67">
        <f t="shared" si="0"/>
        <v>120</v>
      </c>
      <c r="Z64" s="58" t="s">
        <v>80</v>
      </c>
      <c r="AA64" s="13">
        <f>+VLOOKUP(Q64,COMISIONES!$C$2:$C$33,1,0)</f>
        <v>20004566</v>
      </c>
      <c r="AB64" s="13" t="s">
        <v>269</v>
      </c>
    </row>
    <row r="65" spans="1:28" hidden="1">
      <c r="A65" s="117" t="s">
        <v>821</v>
      </c>
      <c r="B65" s="138">
        <v>45142</v>
      </c>
      <c r="C65" s="117" t="s">
        <v>1008</v>
      </c>
      <c r="D65" s="117" t="s">
        <v>1009</v>
      </c>
      <c r="E65" s="117" t="s">
        <v>1010</v>
      </c>
      <c r="F65" s="117"/>
      <c r="G65" s="117" t="s">
        <v>43</v>
      </c>
      <c r="H65" s="117" t="s">
        <v>48</v>
      </c>
      <c r="I65"/>
      <c r="J65"/>
      <c r="K65" s="117" t="s">
        <v>105</v>
      </c>
      <c r="L65">
        <v>0</v>
      </c>
      <c r="M65" s="117" t="s">
        <v>111</v>
      </c>
      <c r="N65" s="117" t="s">
        <v>14</v>
      </c>
      <c r="O65" s="117" t="s">
        <v>50</v>
      </c>
      <c r="P65" s="117" t="s">
        <v>40</v>
      </c>
      <c r="Q65" s="139">
        <v>20006360</v>
      </c>
      <c r="R65" s="117" t="s">
        <v>78</v>
      </c>
      <c r="S65" s="117" t="s">
        <v>107</v>
      </c>
      <c r="T65" s="117" t="s">
        <v>48</v>
      </c>
      <c r="U65" s="117" t="s">
        <v>108</v>
      </c>
      <c r="V65" s="12">
        <f>+IFERROR(IF(VLOOKUP(Q65,COMISIONES!$C$2:$K$33,9,0)&gt;=VLOOKUP(TC!Q65,COMISIONES!$C$2:$I$33,7,0),1,0),0)</f>
        <v>0</v>
      </c>
      <c r="W65" s="262">
        <f>+IF(H65="Segunda",VLOOKUP(_xlfn.CONCAT(P65,G65,H65,V65),'PUNTOS 2021'!$E$23:$F$30,2,0),TC!L65)</f>
        <v>0</v>
      </c>
      <c r="X65" s="67">
        <f>+VLOOKUP(Q65,COMISIONES!$C$2:$AO$33,39,0)</f>
        <v>40</v>
      </c>
      <c r="Y65" s="67">
        <f t="shared" ref="Y65:Y126" si="1">X65*W65</f>
        <v>0</v>
      </c>
      <c r="Z65" s="58" t="s">
        <v>80</v>
      </c>
      <c r="AA65" s="13">
        <f>+VLOOKUP(Q65,COMISIONES!$C$2:$C$33,1,0)</f>
        <v>20006360</v>
      </c>
      <c r="AB65" s="13" t="s">
        <v>269</v>
      </c>
    </row>
    <row r="66" spans="1:28" hidden="1">
      <c r="A66" s="117" t="s">
        <v>821</v>
      </c>
      <c r="B66" s="138">
        <v>45142</v>
      </c>
      <c r="C66" s="117" t="s">
        <v>1011</v>
      </c>
      <c r="D66" s="117" t="s">
        <v>1012</v>
      </c>
      <c r="E66" s="117" t="s">
        <v>1013</v>
      </c>
      <c r="F66" s="117"/>
      <c r="G66" s="117" t="s">
        <v>43</v>
      </c>
      <c r="H66" s="117" t="s">
        <v>1</v>
      </c>
      <c r="I66"/>
      <c r="J66"/>
      <c r="K66" s="117" t="s">
        <v>105</v>
      </c>
      <c r="L66">
        <v>3</v>
      </c>
      <c r="M66" s="117" t="s">
        <v>270</v>
      </c>
      <c r="N66" s="117" t="s">
        <v>271</v>
      </c>
      <c r="O66" s="117" t="s">
        <v>52</v>
      </c>
      <c r="P66" s="117" t="s">
        <v>40</v>
      </c>
      <c r="Q66" s="139">
        <v>20009592</v>
      </c>
      <c r="R66" s="117" t="s">
        <v>78</v>
      </c>
      <c r="S66" s="117" t="s">
        <v>109</v>
      </c>
      <c r="T66" s="117"/>
      <c r="U66" s="117" t="s">
        <v>108</v>
      </c>
      <c r="V66" s="12">
        <f>+IFERROR(IF(VLOOKUP(Q66,COMISIONES!$C$2:$K$33,9,0)&gt;=VLOOKUP(TC!Q66,COMISIONES!$C$2:$I$33,7,0),1,0),0)</f>
        <v>1</v>
      </c>
      <c r="W66" s="262">
        <f>+IF(H66="Segunda",VLOOKUP(_xlfn.CONCAT(P66,G66,H66,V66),'PUNTOS 2021'!$E$23:$F$30,2,0),TC!L66)</f>
        <v>3</v>
      </c>
      <c r="X66" s="67">
        <f>+VLOOKUP(Q66,COMISIONES!$C$2:$AO$33,39,0)</f>
        <v>60</v>
      </c>
      <c r="Y66" s="67">
        <f t="shared" si="1"/>
        <v>180</v>
      </c>
      <c r="Z66" s="58" t="s">
        <v>80</v>
      </c>
      <c r="AA66" s="13">
        <f>+VLOOKUP(Q66,COMISIONES!$C$2:$C$33,1,0)</f>
        <v>20009592</v>
      </c>
      <c r="AB66" s="13" t="s">
        <v>269</v>
      </c>
    </row>
    <row r="67" spans="1:28" hidden="1">
      <c r="A67" s="117" t="s">
        <v>821</v>
      </c>
      <c r="B67" s="138">
        <v>45142</v>
      </c>
      <c r="C67" s="117" t="s">
        <v>1014</v>
      </c>
      <c r="D67" s="117" t="s">
        <v>1015</v>
      </c>
      <c r="E67" s="117" t="s">
        <v>1016</v>
      </c>
      <c r="F67" s="117"/>
      <c r="G67" s="117" t="s">
        <v>44</v>
      </c>
      <c r="H67" s="117" t="s">
        <v>1</v>
      </c>
      <c r="I67"/>
      <c r="J67"/>
      <c r="K67" s="117" t="s">
        <v>105</v>
      </c>
      <c r="L67">
        <v>5</v>
      </c>
      <c r="M67" s="117" t="s">
        <v>121</v>
      </c>
      <c r="N67" s="117" t="s">
        <v>3</v>
      </c>
      <c r="O67" s="117" t="s">
        <v>49</v>
      </c>
      <c r="P67" s="117" t="s">
        <v>40</v>
      </c>
      <c r="Q67" s="139">
        <v>20004161</v>
      </c>
      <c r="R67" s="117" t="s">
        <v>78</v>
      </c>
      <c r="S67" s="117" t="s">
        <v>109</v>
      </c>
      <c r="T67" s="117" t="s">
        <v>109</v>
      </c>
      <c r="U67" s="117" t="s">
        <v>128</v>
      </c>
      <c r="V67" s="12">
        <f>+IFERROR(IF(VLOOKUP(Q67,COMISIONES!$C$2:$K$33,9,0)&gt;=VLOOKUP(TC!Q67,COMISIONES!$C$2:$I$33,7,0),1,0),0)</f>
        <v>1</v>
      </c>
      <c r="W67" s="262">
        <f>+IF(H67="Segunda",VLOOKUP(_xlfn.CONCAT(P67,G67,H67,V67),'PUNTOS 2021'!$E$23:$F$30,2,0),TC!L67)</f>
        <v>5</v>
      </c>
      <c r="X67" s="67">
        <f>+VLOOKUP(Q67,COMISIONES!$C$2:$AO$33,39,0)</f>
        <v>65</v>
      </c>
      <c r="Y67" s="67">
        <f t="shared" si="1"/>
        <v>325</v>
      </c>
      <c r="Z67" s="58" t="s">
        <v>80</v>
      </c>
      <c r="AA67" s="13">
        <f>+VLOOKUP(Q67,COMISIONES!$C$2:$C$33,1,0)</f>
        <v>20004161</v>
      </c>
      <c r="AB67" s="13" t="s">
        <v>269</v>
      </c>
    </row>
    <row r="68" spans="1:28" hidden="1">
      <c r="A68" s="117" t="s">
        <v>821</v>
      </c>
      <c r="B68" s="138">
        <v>45142</v>
      </c>
      <c r="C68" s="117" t="s">
        <v>1017</v>
      </c>
      <c r="D68" s="117" t="s">
        <v>1018</v>
      </c>
      <c r="E68" s="117" t="s">
        <v>1019</v>
      </c>
      <c r="F68" s="117"/>
      <c r="G68" s="117" t="s">
        <v>45</v>
      </c>
      <c r="H68" s="117" t="s">
        <v>1</v>
      </c>
      <c r="I68"/>
      <c r="J68"/>
      <c r="K68" s="117" t="s">
        <v>105</v>
      </c>
      <c r="L68">
        <v>7</v>
      </c>
      <c r="M68" s="117" t="s">
        <v>125</v>
      </c>
      <c r="N68" s="117" t="s">
        <v>18</v>
      </c>
      <c r="O68" s="117" t="s">
        <v>50</v>
      </c>
      <c r="P68" s="117" t="s">
        <v>40</v>
      </c>
      <c r="Q68" s="139">
        <v>20008439</v>
      </c>
      <c r="R68" s="117" t="s">
        <v>78</v>
      </c>
      <c r="S68" s="117" t="s">
        <v>109</v>
      </c>
      <c r="T68" s="117"/>
      <c r="U68" s="117" t="s">
        <v>108</v>
      </c>
      <c r="V68" s="12">
        <f>+IFERROR(IF(VLOOKUP(Q68,COMISIONES!$C$2:$K$33,9,0)&gt;=VLOOKUP(TC!Q68,COMISIONES!$C$2:$I$33,7,0),1,0),0)</f>
        <v>1</v>
      </c>
      <c r="W68" s="262">
        <f>+IF(H68="Segunda",VLOOKUP(_xlfn.CONCAT(P68,G68,H68,V68),'PUNTOS 2021'!$E$23:$F$30,2,0),TC!L68)</f>
        <v>7</v>
      </c>
      <c r="X68" s="67">
        <f>+VLOOKUP(Q68,COMISIONES!$C$2:$AO$33,39,0)</f>
        <v>60</v>
      </c>
      <c r="Y68" s="67">
        <f t="shared" si="1"/>
        <v>420</v>
      </c>
      <c r="Z68" s="58" t="s">
        <v>80</v>
      </c>
      <c r="AA68" s="13">
        <f>+VLOOKUP(Q68,COMISIONES!$C$2:$C$33,1,0)</f>
        <v>20008439</v>
      </c>
      <c r="AB68" s="13" t="s">
        <v>269</v>
      </c>
    </row>
    <row r="69" spans="1:28" hidden="1">
      <c r="A69" s="117" t="s">
        <v>821</v>
      </c>
      <c r="B69" s="138">
        <v>45142</v>
      </c>
      <c r="C69" s="117" t="s">
        <v>1020</v>
      </c>
      <c r="D69" s="117" t="s">
        <v>1021</v>
      </c>
      <c r="E69" s="117" t="s">
        <v>1022</v>
      </c>
      <c r="F69" s="117"/>
      <c r="G69" s="117" t="s">
        <v>45</v>
      </c>
      <c r="H69" s="117" t="s">
        <v>1</v>
      </c>
      <c r="I69"/>
      <c r="J69"/>
      <c r="K69" s="117" t="s">
        <v>105</v>
      </c>
      <c r="L69">
        <v>7</v>
      </c>
      <c r="M69" s="117" t="s">
        <v>127</v>
      </c>
      <c r="N69" s="117" t="s">
        <v>16</v>
      </c>
      <c r="O69" s="117" t="s">
        <v>49</v>
      </c>
      <c r="P69" s="117" t="s">
        <v>40</v>
      </c>
      <c r="Q69" s="139">
        <v>20002708</v>
      </c>
      <c r="R69" s="117" t="s">
        <v>78</v>
      </c>
      <c r="S69" s="117" t="s">
        <v>109</v>
      </c>
      <c r="T69" s="117"/>
      <c r="U69" s="117" t="s">
        <v>108</v>
      </c>
      <c r="V69" s="12">
        <f>+IFERROR(IF(VLOOKUP(Q69,COMISIONES!$C$2:$K$33,9,0)&gt;=VLOOKUP(TC!Q69,COMISIONES!$C$2:$I$33,7,0),1,0),0)</f>
        <v>0</v>
      </c>
      <c r="W69" s="262">
        <f>+IF(H69="Segunda",VLOOKUP(_xlfn.CONCAT(P69,G69,H69,V69),'PUNTOS 2021'!$E$23:$F$30,2,0),TC!L69)</f>
        <v>7</v>
      </c>
      <c r="X69" s="67">
        <f>+VLOOKUP(Q69,COMISIONES!$C$2:$AO$33,39,0)</f>
        <v>60</v>
      </c>
      <c r="Y69" s="67">
        <f t="shared" si="1"/>
        <v>420</v>
      </c>
      <c r="Z69" s="58" t="s">
        <v>80</v>
      </c>
      <c r="AA69" s="13">
        <f>+VLOOKUP(Q69,COMISIONES!$C$2:$C$33,1,0)</f>
        <v>20002708</v>
      </c>
      <c r="AB69" s="13" t="s">
        <v>269</v>
      </c>
    </row>
    <row r="70" spans="1:28" hidden="1">
      <c r="A70" s="117" t="s">
        <v>821</v>
      </c>
      <c r="B70" s="138">
        <v>45142</v>
      </c>
      <c r="C70" s="117" t="s">
        <v>1023</v>
      </c>
      <c r="D70" s="117" t="s">
        <v>1024</v>
      </c>
      <c r="E70" s="117" t="s">
        <v>1025</v>
      </c>
      <c r="F70" s="117"/>
      <c r="G70" s="117" t="s">
        <v>45</v>
      </c>
      <c r="H70" s="117" t="s">
        <v>1</v>
      </c>
      <c r="I70"/>
      <c r="J70"/>
      <c r="K70" s="117" t="s">
        <v>105</v>
      </c>
      <c r="L70">
        <v>7</v>
      </c>
      <c r="M70" s="117" t="s">
        <v>126</v>
      </c>
      <c r="N70" s="117" t="s">
        <v>11</v>
      </c>
      <c r="O70" s="117" t="s">
        <v>49</v>
      </c>
      <c r="P70" s="117" t="s">
        <v>40</v>
      </c>
      <c r="Q70" s="139">
        <v>20004235</v>
      </c>
      <c r="R70" s="117" t="s">
        <v>78</v>
      </c>
      <c r="S70" s="117" t="s">
        <v>109</v>
      </c>
      <c r="T70" s="117"/>
      <c r="U70" s="117" t="s">
        <v>108</v>
      </c>
      <c r="V70" s="12">
        <f>+IFERROR(IF(VLOOKUP(Q70,COMISIONES!$C$2:$K$33,9,0)&gt;=VLOOKUP(TC!Q70,COMISIONES!$C$2:$I$33,7,0),1,0),0)</f>
        <v>0</v>
      </c>
      <c r="W70" s="262">
        <f>+IF(H70="Segunda",VLOOKUP(_xlfn.CONCAT(P70,G70,H70,V70),'PUNTOS 2021'!$E$23:$F$30,2,0),TC!L70)</f>
        <v>7</v>
      </c>
      <c r="X70" s="67">
        <f>+VLOOKUP(Q70,COMISIONES!$C$2:$AO$33,39,0)</f>
        <v>40</v>
      </c>
      <c r="Y70" s="67">
        <f t="shared" si="1"/>
        <v>280</v>
      </c>
      <c r="Z70" s="58" t="s">
        <v>80</v>
      </c>
      <c r="AA70" s="13">
        <f>+VLOOKUP(Q70,COMISIONES!$C$2:$C$33,1,0)</f>
        <v>20004235</v>
      </c>
      <c r="AB70" s="13" t="s">
        <v>269</v>
      </c>
    </row>
    <row r="71" spans="1:28" hidden="1">
      <c r="A71" s="117" t="s">
        <v>821</v>
      </c>
      <c r="B71" s="138">
        <v>45142</v>
      </c>
      <c r="C71" s="117" t="s">
        <v>1026</v>
      </c>
      <c r="D71" s="117" t="s">
        <v>1027</v>
      </c>
      <c r="E71" s="117" t="s">
        <v>1028</v>
      </c>
      <c r="F71" s="117"/>
      <c r="G71" s="117" t="s">
        <v>44</v>
      </c>
      <c r="H71" s="117" t="s">
        <v>1</v>
      </c>
      <c r="I71"/>
      <c r="J71"/>
      <c r="K71" s="117" t="s">
        <v>105</v>
      </c>
      <c r="L71">
        <v>5</v>
      </c>
      <c r="M71" s="117" t="s">
        <v>122</v>
      </c>
      <c r="N71" s="117" t="s">
        <v>5</v>
      </c>
      <c r="O71" s="117" t="s">
        <v>50</v>
      </c>
      <c r="P71" s="117" t="s">
        <v>40</v>
      </c>
      <c r="Q71" s="139">
        <v>20004566</v>
      </c>
      <c r="R71" s="117" t="s">
        <v>78</v>
      </c>
      <c r="S71" s="117" t="s">
        <v>109</v>
      </c>
      <c r="T71" s="117"/>
      <c r="U71" s="117" t="s">
        <v>108</v>
      </c>
      <c r="V71" s="12">
        <f>+IFERROR(IF(VLOOKUP(Q71,COMISIONES!$C$2:$K$33,9,0)&gt;=VLOOKUP(TC!Q71,COMISIONES!$C$2:$I$33,7,0),1,0),0)</f>
        <v>1</v>
      </c>
      <c r="W71" s="262">
        <f>+IF(H71="Segunda",VLOOKUP(_xlfn.CONCAT(P71,G71,H71,V71),'PUNTOS 2021'!$E$23:$F$30,2,0),TC!L71)</f>
        <v>5</v>
      </c>
      <c r="X71" s="67">
        <f>+VLOOKUP(Q71,COMISIONES!$C$2:$AO$33,39,0)</f>
        <v>60</v>
      </c>
      <c r="Y71" s="67">
        <f t="shared" si="1"/>
        <v>300</v>
      </c>
      <c r="Z71" s="58" t="s">
        <v>80</v>
      </c>
      <c r="AA71" s="13">
        <f>+VLOOKUP(Q71,COMISIONES!$C$2:$C$33,1,0)</f>
        <v>20004566</v>
      </c>
      <c r="AB71" s="13" t="s">
        <v>269</v>
      </c>
    </row>
    <row r="72" spans="1:28" hidden="1">
      <c r="A72" s="117" t="s">
        <v>821</v>
      </c>
      <c r="B72" s="138">
        <v>45142</v>
      </c>
      <c r="C72" s="117" t="s">
        <v>1029</v>
      </c>
      <c r="D72" s="117" t="s">
        <v>1030</v>
      </c>
      <c r="E72" s="117" t="s">
        <v>1031</v>
      </c>
      <c r="F72" s="117"/>
      <c r="G72" s="117" t="s">
        <v>45</v>
      </c>
      <c r="H72" s="117" t="s">
        <v>1</v>
      </c>
      <c r="I72"/>
      <c r="J72"/>
      <c r="K72" s="117" t="s">
        <v>105</v>
      </c>
      <c r="L72">
        <v>7</v>
      </c>
      <c r="M72" s="117" t="s">
        <v>259</v>
      </c>
      <c r="N72" s="117" t="s">
        <v>20</v>
      </c>
      <c r="O72" s="117" t="s">
        <v>50</v>
      </c>
      <c r="P72" s="117" t="s">
        <v>40</v>
      </c>
      <c r="Q72" s="139">
        <v>20008700</v>
      </c>
      <c r="R72" s="117" t="s">
        <v>78</v>
      </c>
      <c r="S72" s="117" t="s">
        <v>109</v>
      </c>
      <c r="T72" s="117"/>
      <c r="U72" s="117" t="s">
        <v>108</v>
      </c>
      <c r="V72" s="12">
        <f>+IFERROR(IF(VLOOKUP(Q72,COMISIONES!$C$2:$K$33,9,0)&gt;=VLOOKUP(TC!Q72,COMISIONES!$C$2:$I$33,7,0),1,0),0)</f>
        <v>0</v>
      </c>
      <c r="W72" s="262">
        <f>+IF(H72="Segunda",VLOOKUP(_xlfn.CONCAT(P72,G72,H72,V72),'PUNTOS 2021'!$E$23:$F$30,2,0),TC!L72)</f>
        <v>7</v>
      </c>
      <c r="X72" s="67">
        <f>+VLOOKUP(Q72,COMISIONES!$C$2:$AO$33,39,0)</f>
        <v>40</v>
      </c>
      <c r="Y72" s="67">
        <f t="shared" si="1"/>
        <v>280</v>
      </c>
      <c r="Z72" s="58" t="s">
        <v>80</v>
      </c>
      <c r="AA72" s="13">
        <f>+VLOOKUP(Q72,COMISIONES!$C$2:$C$33,1,0)</f>
        <v>20008700</v>
      </c>
      <c r="AB72" s="13" t="s">
        <v>269</v>
      </c>
    </row>
    <row r="73" spans="1:28" hidden="1">
      <c r="A73" s="117" t="s">
        <v>821</v>
      </c>
      <c r="B73" s="138">
        <v>45143</v>
      </c>
      <c r="C73" s="117" t="s">
        <v>1032</v>
      </c>
      <c r="D73" s="117" t="s">
        <v>1033</v>
      </c>
      <c r="E73" s="117" t="s">
        <v>1034</v>
      </c>
      <c r="F73" s="117" t="s">
        <v>1035</v>
      </c>
      <c r="G73" s="117" t="s">
        <v>45</v>
      </c>
      <c r="H73" s="117" t="s">
        <v>1</v>
      </c>
      <c r="I73"/>
      <c r="J73"/>
      <c r="K73" s="117" t="s">
        <v>105</v>
      </c>
      <c r="L73">
        <v>7</v>
      </c>
      <c r="M73" s="117" t="s">
        <v>121</v>
      </c>
      <c r="N73" s="117" t="s">
        <v>3</v>
      </c>
      <c r="O73" s="117" t="s">
        <v>49</v>
      </c>
      <c r="P73" s="117" t="s">
        <v>40</v>
      </c>
      <c r="Q73" s="139">
        <v>20004161</v>
      </c>
      <c r="R73" s="117" t="s">
        <v>78</v>
      </c>
      <c r="S73" s="117" t="s">
        <v>109</v>
      </c>
      <c r="T73" s="117" t="s">
        <v>160</v>
      </c>
      <c r="U73" s="117" t="s">
        <v>108</v>
      </c>
      <c r="V73" s="12">
        <f>+IFERROR(IF(VLOOKUP(Q73,COMISIONES!$C$2:$K$33,9,0)&gt;=VLOOKUP(TC!Q73,COMISIONES!$C$2:$I$33,7,0),1,0),0)</f>
        <v>1</v>
      </c>
      <c r="W73" s="262">
        <f>+IF(H73="Segunda",VLOOKUP(_xlfn.CONCAT(P73,G73,H73,V73),'PUNTOS 2021'!$E$23:$F$30,2,0),TC!L73)</f>
        <v>7</v>
      </c>
      <c r="X73" s="67">
        <f>+VLOOKUP(Q73,COMISIONES!$C$2:$AO$33,39,0)</f>
        <v>65</v>
      </c>
      <c r="Y73" s="67">
        <f t="shared" si="1"/>
        <v>455</v>
      </c>
      <c r="Z73" s="58" t="s">
        <v>80</v>
      </c>
      <c r="AA73" s="13">
        <f>+VLOOKUP(Q73,COMISIONES!$C$2:$C$33,1,0)</f>
        <v>20004161</v>
      </c>
      <c r="AB73" s="13" t="s">
        <v>269</v>
      </c>
    </row>
    <row r="74" spans="1:28" hidden="1">
      <c r="A74" s="117" t="s">
        <v>821</v>
      </c>
      <c r="B74" s="138">
        <v>45143</v>
      </c>
      <c r="C74" s="117" t="s">
        <v>1036</v>
      </c>
      <c r="D74" s="117" t="s">
        <v>1037</v>
      </c>
      <c r="E74" s="117" t="s">
        <v>1038</v>
      </c>
      <c r="F74" s="117"/>
      <c r="G74" s="117" t="s">
        <v>44</v>
      </c>
      <c r="H74" s="117" t="s">
        <v>1</v>
      </c>
      <c r="I74"/>
      <c r="J74"/>
      <c r="K74" s="117" t="s">
        <v>105</v>
      </c>
      <c r="L74">
        <v>5</v>
      </c>
      <c r="M74" s="117" t="s">
        <v>257</v>
      </c>
      <c r="N74" s="117" t="s">
        <v>15</v>
      </c>
      <c r="O74" s="117" t="s">
        <v>52</v>
      </c>
      <c r="P74" s="117" t="s">
        <v>40</v>
      </c>
      <c r="Q74" s="139">
        <v>20005527</v>
      </c>
      <c r="R74" s="117" t="s">
        <v>78</v>
      </c>
      <c r="S74" s="117" t="s">
        <v>109</v>
      </c>
      <c r="T74" s="117"/>
      <c r="U74" s="117" t="s">
        <v>108</v>
      </c>
      <c r="V74" s="12">
        <f>+IFERROR(IF(VLOOKUP(Q74,COMISIONES!$C$2:$K$33,9,0)&gt;=VLOOKUP(TC!Q74,COMISIONES!$C$2:$I$33,7,0),1,0),0)</f>
        <v>0</v>
      </c>
      <c r="W74" s="262">
        <f>+IF(H74="Segunda",VLOOKUP(_xlfn.CONCAT(P74,G74,H74,V74),'PUNTOS 2021'!$E$23:$F$30,2,0),TC!L74)</f>
        <v>5</v>
      </c>
      <c r="X74" s="67">
        <f>+VLOOKUP(Q74,COMISIONES!$C$2:$AO$33,39,0)</f>
        <v>40</v>
      </c>
      <c r="Y74" s="67">
        <f t="shared" si="1"/>
        <v>200</v>
      </c>
      <c r="Z74" s="58" t="s">
        <v>80</v>
      </c>
      <c r="AA74" s="13">
        <f>+VLOOKUP(Q74,COMISIONES!$C$2:$C$33,1,0)</f>
        <v>20005527</v>
      </c>
      <c r="AB74" s="13" t="s">
        <v>269</v>
      </c>
    </row>
    <row r="75" spans="1:28">
      <c r="A75" s="117" t="s">
        <v>821</v>
      </c>
      <c r="B75" s="138">
        <v>45143</v>
      </c>
      <c r="C75" s="117" t="s">
        <v>1039</v>
      </c>
      <c r="D75" s="117" t="s">
        <v>1040</v>
      </c>
      <c r="E75" s="117" t="s">
        <v>1041</v>
      </c>
      <c r="F75" s="117"/>
      <c r="G75" s="117" t="s">
        <v>43</v>
      </c>
      <c r="H75" s="117" t="s">
        <v>2</v>
      </c>
      <c r="I75"/>
      <c r="J75"/>
      <c r="K75" s="117" t="s">
        <v>105</v>
      </c>
      <c r="L75">
        <v>1</v>
      </c>
      <c r="M75" s="117" t="s">
        <v>127</v>
      </c>
      <c r="N75" s="117" t="s">
        <v>16</v>
      </c>
      <c r="O75" s="117" t="s">
        <v>49</v>
      </c>
      <c r="P75" s="117" t="s">
        <v>40</v>
      </c>
      <c r="Q75" s="139">
        <v>20002708</v>
      </c>
      <c r="R75" s="117" t="s">
        <v>78</v>
      </c>
      <c r="S75" s="117" t="s">
        <v>109</v>
      </c>
      <c r="T75" s="117"/>
      <c r="U75" s="117" t="s">
        <v>108</v>
      </c>
      <c r="V75" s="12">
        <f>+IFERROR(IF(VLOOKUP(Q75,COMISIONES!$C$2:$K$33,9,0)&gt;=VLOOKUP(TC!Q75,COMISIONES!$C$2:$I$33,7,0),1,0),0)</f>
        <v>0</v>
      </c>
      <c r="W75" s="262">
        <f>+IF(H75="Segunda",VLOOKUP(_xlfn.CONCAT(P75,G75,H75,V75),'PUNTOS 2021'!$E$23:$F$30,2,0),TC!L75)</f>
        <v>0.5</v>
      </c>
      <c r="X75" s="67">
        <f>+VLOOKUP(Q75,COMISIONES!$C$2:$AO$33,39,0)</f>
        <v>60</v>
      </c>
      <c r="Y75" s="67">
        <f t="shared" si="1"/>
        <v>30</v>
      </c>
      <c r="Z75" s="58" t="s">
        <v>80</v>
      </c>
      <c r="AA75" s="13">
        <f>+VLOOKUP(Q75,COMISIONES!$C$2:$C$33,1,0)</f>
        <v>20002708</v>
      </c>
      <c r="AB75" s="13" t="s">
        <v>269</v>
      </c>
    </row>
    <row r="76" spans="1:28" hidden="1">
      <c r="A76" s="117" t="s">
        <v>821</v>
      </c>
      <c r="B76" s="138">
        <v>45143</v>
      </c>
      <c r="C76" s="117" t="s">
        <v>1042</v>
      </c>
      <c r="D76" s="117" t="s">
        <v>1043</v>
      </c>
      <c r="E76" s="117" t="s">
        <v>1044</v>
      </c>
      <c r="F76" s="117"/>
      <c r="G76" s="117" t="s">
        <v>43</v>
      </c>
      <c r="H76" s="117" t="s">
        <v>1</v>
      </c>
      <c r="I76"/>
      <c r="J76"/>
      <c r="K76" s="117" t="s">
        <v>105</v>
      </c>
      <c r="L76">
        <v>3</v>
      </c>
      <c r="M76" s="117" t="s">
        <v>124</v>
      </c>
      <c r="N76" s="117" t="s">
        <v>17</v>
      </c>
      <c r="O76" s="117" t="s">
        <v>52</v>
      </c>
      <c r="P76" s="117" t="s">
        <v>40</v>
      </c>
      <c r="Q76" s="139">
        <v>20006233</v>
      </c>
      <c r="R76" s="117" t="s">
        <v>78</v>
      </c>
      <c r="S76" s="117" t="s">
        <v>109</v>
      </c>
      <c r="T76" s="117"/>
      <c r="U76" s="117" t="s">
        <v>108</v>
      </c>
      <c r="V76" s="12">
        <f>+IFERROR(IF(VLOOKUP(Q76,COMISIONES!$C$2:$K$33,9,0)&gt;=VLOOKUP(TC!Q76,COMISIONES!$C$2:$I$33,7,0),1,0),0)</f>
        <v>0</v>
      </c>
      <c r="W76" s="262">
        <f>+IF(H76="Segunda",VLOOKUP(_xlfn.CONCAT(P76,G76,H76,V76),'PUNTOS 2021'!$E$23:$F$30,2,0),TC!L76)</f>
        <v>3</v>
      </c>
      <c r="X76" s="67">
        <f>+VLOOKUP(Q76,COMISIONES!$C$2:$AO$33,39,0)</f>
        <v>40</v>
      </c>
      <c r="Y76" s="67">
        <f t="shared" si="1"/>
        <v>120</v>
      </c>
      <c r="Z76" s="58" t="s">
        <v>80</v>
      </c>
      <c r="AA76" s="13">
        <f>+VLOOKUP(Q76,COMISIONES!$C$2:$C$33,1,0)</f>
        <v>20006233</v>
      </c>
      <c r="AB76" s="13" t="s">
        <v>269</v>
      </c>
    </row>
    <row r="77" spans="1:28">
      <c r="A77" s="117" t="s">
        <v>821</v>
      </c>
      <c r="B77" s="138">
        <v>45143</v>
      </c>
      <c r="C77" s="117" t="s">
        <v>1045</v>
      </c>
      <c r="D77" s="117" t="s">
        <v>1046</v>
      </c>
      <c r="E77" s="117" t="s">
        <v>1047</v>
      </c>
      <c r="F77" s="117"/>
      <c r="G77" s="117" t="s">
        <v>43</v>
      </c>
      <c r="H77" s="117" t="s">
        <v>2</v>
      </c>
      <c r="I77"/>
      <c r="J77"/>
      <c r="K77" s="117" t="s">
        <v>105</v>
      </c>
      <c r="L77">
        <v>1</v>
      </c>
      <c r="M77" s="117" t="s">
        <v>270</v>
      </c>
      <c r="N77" s="117" t="s">
        <v>271</v>
      </c>
      <c r="O77" s="117" t="s">
        <v>52</v>
      </c>
      <c r="P77" s="117" t="s">
        <v>40</v>
      </c>
      <c r="Q77" s="139">
        <v>20009592</v>
      </c>
      <c r="R77" s="117" t="s">
        <v>78</v>
      </c>
      <c r="S77" s="117" t="s">
        <v>109</v>
      </c>
      <c r="T77" s="117"/>
      <c r="U77" s="117" t="s">
        <v>108</v>
      </c>
      <c r="V77" s="12">
        <f>+IFERROR(IF(VLOOKUP(Q77,COMISIONES!$C$2:$K$33,9,0)&gt;=VLOOKUP(TC!Q77,COMISIONES!$C$2:$I$33,7,0),1,0),0)</f>
        <v>1</v>
      </c>
      <c r="W77" s="262">
        <f>+IF(H77="Segunda",VLOOKUP(_xlfn.CONCAT(P77,G77,H77,V77),'PUNTOS 2021'!$E$23:$F$30,2,0),TC!L77)</f>
        <v>1</v>
      </c>
      <c r="X77" s="67">
        <f>+VLOOKUP(Q77,COMISIONES!$C$2:$AO$33,39,0)</f>
        <v>60</v>
      </c>
      <c r="Y77" s="67">
        <f t="shared" si="1"/>
        <v>60</v>
      </c>
      <c r="Z77" s="58" t="s">
        <v>80</v>
      </c>
      <c r="AA77" s="13">
        <f>+VLOOKUP(Q77,COMISIONES!$C$2:$C$33,1,0)</f>
        <v>20009592</v>
      </c>
      <c r="AB77" s="13" t="s">
        <v>269</v>
      </c>
    </row>
    <row r="78" spans="1:28" hidden="1">
      <c r="A78" s="117" t="s">
        <v>821</v>
      </c>
      <c r="B78" s="138">
        <v>45143</v>
      </c>
      <c r="C78" s="117" t="s">
        <v>1048</v>
      </c>
      <c r="D78" s="117" t="s">
        <v>1049</v>
      </c>
      <c r="E78" s="117" t="s">
        <v>1050</v>
      </c>
      <c r="F78" s="117"/>
      <c r="G78" s="117" t="s">
        <v>45</v>
      </c>
      <c r="H78" s="117" t="s">
        <v>1</v>
      </c>
      <c r="I78"/>
      <c r="J78"/>
      <c r="K78" s="117" t="s">
        <v>105</v>
      </c>
      <c r="L78">
        <v>7</v>
      </c>
      <c r="M78" s="117" t="s">
        <v>106</v>
      </c>
      <c r="N78" s="117" t="s">
        <v>8</v>
      </c>
      <c r="O78" s="117" t="s">
        <v>51</v>
      </c>
      <c r="P78" s="117" t="s">
        <v>40</v>
      </c>
      <c r="Q78" s="139">
        <v>20002636</v>
      </c>
      <c r="R78" s="117" t="s">
        <v>78</v>
      </c>
      <c r="S78" s="117" t="s">
        <v>109</v>
      </c>
      <c r="T78" s="117"/>
      <c r="U78" s="117" t="s">
        <v>108</v>
      </c>
      <c r="V78" s="12">
        <f>+IFERROR(IF(VLOOKUP(Q78,COMISIONES!$C$2:$K$33,9,0)&gt;=VLOOKUP(TC!Q78,COMISIONES!$C$2:$I$33,7,0),1,0),0)</f>
        <v>0</v>
      </c>
      <c r="W78" s="262">
        <f>+IF(H78="Segunda",VLOOKUP(_xlfn.CONCAT(P78,G78,H78,V78),'PUNTOS 2021'!$E$23:$F$30,2,0),TC!L78)</f>
        <v>7</v>
      </c>
      <c r="X78" s="67">
        <f>+VLOOKUP(Q78,COMISIONES!$C$2:$AO$33,39,0)</f>
        <v>40</v>
      </c>
      <c r="Y78" s="67">
        <f t="shared" si="1"/>
        <v>280</v>
      </c>
      <c r="Z78" s="58" t="s">
        <v>80</v>
      </c>
      <c r="AA78" s="13">
        <f>+VLOOKUP(Q78,COMISIONES!$C$2:$C$33,1,0)</f>
        <v>20002636</v>
      </c>
      <c r="AB78" s="13" t="s">
        <v>269</v>
      </c>
    </row>
    <row r="79" spans="1:28" hidden="1">
      <c r="A79" s="117" t="s">
        <v>821</v>
      </c>
      <c r="B79" s="138">
        <v>45143</v>
      </c>
      <c r="C79" s="117" t="s">
        <v>1051</v>
      </c>
      <c r="D79" s="117" t="s">
        <v>1052</v>
      </c>
      <c r="E79" s="117" t="s">
        <v>1053</v>
      </c>
      <c r="F79" s="117"/>
      <c r="G79" s="117" t="s">
        <v>44</v>
      </c>
      <c r="H79" s="117" t="s">
        <v>1</v>
      </c>
      <c r="I79"/>
      <c r="J79"/>
      <c r="K79" s="117" t="s">
        <v>105</v>
      </c>
      <c r="L79">
        <v>5</v>
      </c>
      <c r="M79" s="117" t="s">
        <v>122</v>
      </c>
      <c r="N79" s="117" t="s">
        <v>5</v>
      </c>
      <c r="O79" s="117" t="s">
        <v>50</v>
      </c>
      <c r="P79" s="117" t="s">
        <v>40</v>
      </c>
      <c r="Q79" s="139">
        <v>20004566</v>
      </c>
      <c r="R79" s="117" t="s">
        <v>78</v>
      </c>
      <c r="S79" s="117" t="s">
        <v>109</v>
      </c>
      <c r="T79" s="117"/>
      <c r="U79" s="117" t="s">
        <v>108</v>
      </c>
      <c r="V79" s="12">
        <f>+IFERROR(IF(VLOOKUP(Q79,COMISIONES!$C$2:$K$33,9,0)&gt;=VLOOKUP(TC!Q79,COMISIONES!$C$2:$I$33,7,0),1,0),0)</f>
        <v>1</v>
      </c>
      <c r="W79" s="262">
        <f>+IF(H79="Segunda",VLOOKUP(_xlfn.CONCAT(P79,G79,H79,V79),'PUNTOS 2021'!$E$23:$F$30,2,0),TC!L79)</f>
        <v>5</v>
      </c>
      <c r="X79" s="67">
        <f>+VLOOKUP(Q79,COMISIONES!$C$2:$AO$33,39,0)</f>
        <v>60</v>
      </c>
      <c r="Y79" s="67">
        <f t="shared" si="1"/>
        <v>300</v>
      </c>
      <c r="Z79" s="58" t="s">
        <v>80</v>
      </c>
      <c r="AA79" s="13">
        <f>+VLOOKUP(Q79,COMISIONES!$C$2:$C$33,1,0)</f>
        <v>20004566</v>
      </c>
      <c r="AB79" s="13" t="s">
        <v>269</v>
      </c>
    </row>
    <row r="80" spans="1:28" hidden="1">
      <c r="A80" s="117" t="s">
        <v>821</v>
      </c>
      <c r="B80" s="138">
        <v>45143</v>
      </c>
      <c r="C80" s="117" t="s">
        <v>1054</v>
      </c>
      <c r="D80" s="117" t="s">
        <v>1055</v>
      </c>
      <c r="E80" s="117" t="s">
        <v>1056</v>
      </c>
      <c r="F80" s="117"/>
      <c r="G80" s="117" t="s">
        <v>43</v>
      </c>
      <c r="H80" s="117" t="s">
        <v>1</v>
      </c>
      <c r="I80"/>
      <c r="J80"/>
      <c r="K80" s="117" t="s">
        <v>105</v>
      </c>
      <c r="L80">
        <v>3</v>
      </c>
      <c r="M80" s="117" t="s">
        <v>123</v>
      </c>
      <c r="N80" s="117" t="s">
        <v>23</v>
      </c>
      <c r="O80" s="117" t="s">
        <v>49</v>
      </c>
      <c r="P80" s="117" t="s">
        <v>40</v>
      </c>
      <c r="Q80" s="139">
        <v>20009269</v>
      </c>
      <c r="R80" s="117" t="s">
        <v>78</v>
      </c>
      <c r="S80" s="117" t="s">
        <v>109</v>
      </c>
      <c r="T80" s="117"/>
      <c r="U80" s="117" t="s">
        <v>108</v>
      </c>
      <c r="V80" s="12">
        <f>+IFERROR(IF(VLOOKUP(Q80,COMISIONES!$C$2:$K$33,9,0)&gt;=VLOOKUP(TC!Q80,COMISIONES!$C$2:$I$33,7,0),1,0),0)</f>
        <v>1</v>
      </c>
      <c r="W80" s="262">
        <f>+IF(H80="Segunda",VLOOKUP(_xlfn.CONCAT(P80,G80,H80,V80),'PUNTOS 2021'!$E$23:$F$30,2,0),TC!L80)</f>
        <v>3</v>
      </c>
      <c r="X80" s="67">
        <f>+VLOOKUP(Q80,COMISIONES!$C$2:$AO$33,39,0)</f>
        <v>65</v>
      </c>
      <c r="Y80" s="67">
        <f t="shared" si="1"/>
        <v>195</v>
      </c>
      <c r="Z80" s="58" t="s">
        <v>80</v>
      </c>
      <c r="AA80" s="13">
        <f>+VLOOKUP(Q80,COMISIONES!$C$2:$C$33,1,0)</f>
        <v>20009269</v>
      </c>
      <c r="AB80" s="13" t="s">
        <v>269</v>
      </c>
    </row>
    <row r="81" spans="1:28" hidden="1">
      <c r="A81" s="117" t="s">
        <v>821</v>
      </c>
      <c r="B81" s="138">
        <v>45143</v>
      </c>
      <c r="C81" s="117" t="s">
        <v>1057</v>
      </c>
      <c r="D81" s="117" t="s">
        <v>1058</v>
      </c>
      <c r="E81" s="117" t="s">
        <v>1059</v>
      </c>
      <c r="F81" s="117"/>
      <c r="G81" s="117" t="s">
        <v>44</v>
      </c>
      <c r="H81" s="117" t="s">
        <v>1</v>
      </c>
      <c r="I81"/>
      <c r="J81"/>
      <c r="K81" s="117" t="s">
        <v>105</v>
      </c>
      <c r="L81">
        <v>5</v>
      </c>
      <c r="M81" s="117" t="s">
        <v>124</v>
      </c>
      <c r="N81" s="117" t="s">
        <v>17</v>
      </c>
      <c r="O81" s="117" t="s">
        <v>52</v>
      </c>
      <c r="P81" s="117" t="s">
        <v>40</v>
      </c>
      <c r="Q81" s="139">
        <v>20006233</v>
      </c>
      <c r="R81" s="117" t="s">
        <v>78</v>
      </c>
      <c r="S81" s="117" t="s">
        <v>109</v>
      </c>
      <c r="T81" s="117" t="s">
        <v>109</v>
      </c>
      <c r="U81" s="117" t="s">
        <v>128</v>
      </c>
      <c r="V81" s="12">
        <f>+IFERROR(IF(VLOOKUP(Q81,COMISIONES!$C$2:$K$33,9,0)&gt;=VLOOKUP(TC!Q81,COMISIONES!$C$2:$I$33,7,0),1,0),0)</f>
        <v>0</v>
      </c>
      <c r="W81" s="262">
        <f>+IF(H81="Segunda",VLOOKUP(_xlfn.CONCAT(P81,G81,H81,V81),'PUNTOS 2021'!$E$23:$F$30,2,0),TC!L81)</f>
        <v>5</v>
      </c>
      <c r="X81" s="67">
        <f>+VLOOKUP(Q81,COMISIONES!$C$2:$AO$33,39,0)</f>
        <v>40</v>
      </c>
      <c r="Y81" s="67">
        <f t="shared" si="1"/>
        <v>200</v>
      </c>
      <c r="Z81" s="58" t="s">
        <v>80</v>
      </c>
      <c r="AA81" s="13">
        <f>+VLOOKUP(Q81,COMISIONES!$C$2:$C$33,1,0)</f>
        <v>20006233</v>
      </c>
      <c r="AB81" s="13" t="s">
        <v>269</v>
      </c>
    </row>
    <row r="82" spans="1:28" hidden="1">
      <c r="A82" s="117" t="s">
        <v>821</v>
      </c>
      <c r="B82" s="138">
        <v>45143</v>
      </c>
      <c r="C82" s="117" t="s">
        <v>1060</v>
      </c>
      <c r="D82" s="117" t="s">
        <v>1061</v>
      </c>
      <c r="E82" s="117" t="s">
        <v>1062</v>
      </c>
      <c r="F82" s="117"/>
      <c r="G82" s="117" t="s">
        <v>44</v>
      </c>
      <c r="H82" s="117" t="s">
        <v>1</v>
      </c>
      <c r="I82"/>
      <c r="J82"/>
      <c r="K82" s="117" t="s">
        <v>105</v>
      </c>
      <c r="L82">
        <v>5</v>
      </c>
      <c r="M82" s="117" t="s">
        <v>113</v>
      </c>
      <c r="N82" s="117" t="s">
        <v>12</v>
      </c>
      <c r="O82" s="117" t="s">
        <v>49</v>
      </c>
      <c r="P82" s="117" t="s">
        <v>40</v>
      </c>
      <c r="Q82" s="139">
        <v>20007726</v>
      </c>
      <c r="R82" s="117" t="s">
        <v>78</v>
      </c>
      <c r="S82" s="117" t="s">
        <v>109</v>
      </c>
      <c r="T82" s="117" t="s">
        <v>109</v>
      </c>
      <c r="U82" s="117" t="s">
        <v>128</v>
      </c>
      <c r="V82" s="12">
        <f>+IFERROR(IF(VLOOKUP(Q82,COMISIONES!$C$2:$K$33,9,0)&gt;=VLOOKUP(TC!Q82,COMISIONES!$C$2:$I$33,7,0),1,0),0)</f>
        <v>1</v>
      </c>
      <c r="W82" s="262">
        <f>+IF(H82="Segunda",VLOOKUP(_xlfn.CONCAT(P82,G82,H82,V82),'PUNTOS 2021'!$E$23:$F$30,2,0),TC!L82)</f>
        <v>5</v>
      </c>
      <c r="X82" s="67">
        <f>+VLOOKUP(Q82,COMISIONES!$C$2:$AO$33,39,0)</f>
        <v>65</v>
      </c>
      <c r="Y82" s="67">
        <f t="shared" si="1"/>
        <v>325</v>
      </c>
      <c r="Z82" s="58" t="s">
        <v>80</v>
      </c>
      <c r="AA82" s="13">
        <f>+VLOOKUP(Q82,COMISIONES!$C$2:$C$33,1,0)</f>
        <v>20007726</v>
      </c>
      <c r="AB82" s="13" t="s">
        <v>269</v>
      </c>
    </row>
    <row r="83" spans="1:28" hidden="1">
      <c r="A83" s="117" t="s">
        <v>821</v>
      </c>
      <c r="B83" s="138">
        <v>45143</v>
      </c>
      <c r="C83" s="117" t="s">
        <v>1063</v>
      </c>
      <c r="D83" s="117" t="s">
        <v>1064</v>
      </c>
      <c r="E83" s="117" t="s">
        <v>1065</v>
      </c>
      <c r="F83" s="117"/>
      <c r="G83" s="117" t="s">
        <v>44</v>
      </c>
      <c r="H83" s="117" t="s">
        <v>1</v>
      </c>
      <c r="I83"/>
      <c r="J83"/>
      <c r="K83" s="117" t="s">
        <v>105</v>
      </c>
      <c r="L83">
        <v>5</v>
      </c>
      <c r="M83" s="117" t="s">
        <v>123</v>
      </c>
      <c r="N83" s="117" t="s">
        <v>23</v>
      </c>
      <c r="O83" s="117" t="s">
        <v>49</v>
      </c>
      <c r="P83" s="117" t="s">
        <v>40</v>
      </c>
      <c r="Q83" s="139">
        <v>20009269</v>
      </c>
      <c r="R83" s="117" t="s">
        <v>78</v>
      </c>
      <c r="S83" s="117" t="s">
        <v>109</v>
      </c>
      <c r="T83" s="117"/>
      <c r="U83" s="117" t="s">
        <v>108</v>
      </c>
      <c r="V83" s="12">
        <f>+IFERROR(IF(VLOOKUP(Q83,COMISIONES!$C$2:$K$33,9,0)&gt;=VLOOKUP(TC!Q83,COMISIONES!$C$2:$I$33,7,0),1,0),0)</f>
        <v>1</v>
      </c>
      <c r="W83" s="262">
        <f>+IF(H83="Segunda",VLOOKUP(_xlfn.CONCAT(P83,G83,H83,V83),'PUNTOS 2021'!$E$23:$F$30,2,0),TC!L83)</f>
        <v>5</v>
      </c>
      <c r="X83" s="67">
        <f>+VLOOKUP(Q83,COMISIONES!$C$2:$AO$33,39,0)</f>
        <v>65</v>
      </c>
      <c r="Y83" s="67">
        <f t="shared" si="1"/>
        <v>325</v>
      </c>
      <c r="Z83" s="58" t="s">
        <v>80</v>
      </c>
      <c r="AA83" s="13">
        <f>+VLOOKUP(Q83,COMISIONES!$C$2:$C$33,1,0)</f>
        <v>20009269</v>
      </c>
      <c r="AB83" s="13" t="s">
        <v>269</v>
      </c>
    </row>
    <row r="84" spans="1:28" hidden="1">
      <c r="A84" s="117" t="s">
        <v>821</v>
      </c>
      <c r="B84" s="138">
        <v>45143</v>
      </c>
      <c r="C84" s="117" t="s">
        <v>1066</v>
      </c>
      <c r="D84" s="117" t="s">
        <v>1067</v>
      </c>
      <c r="E84" s="117" t="s">
        <v>1068</v>
      </c>
      <c r="F84" s="117"/>
      <c r="G84" s="117" t="s">
        <v>44</v>
      </c>
      <c r="H84" s="117" t="s">
        <v>1</v>
      </c>
      <c r="I84"/>
      <c r="J84"/>
      <c r="K84" s="117" t="s">
        <v>105</v>
      </c>
      <c r="L84">
        <v>5</v>
      </c>
      <c r="M84" s="117" t="s">
        <v>123</v>
      </c>
      <c r="N84" s="117" t="s">
        <v>23</v>
      </c>
      <c r="O84" s="117" t="s">
        <v>49</v>
      </c>
      <c r="P84" s="117" t="s">
        <v>40</v>
      </c>
      <c r="Q84" s="139">
        <v>20009269</v>
      </c>
      <c r="R84" s="117" t="s">
        <v>78</v>
      </c>
      <c r="S84" s="117" t="s">
        <v>109</v>
      </c>
      <c r="T84" s="117" t="s">
        <v>109</v>
      </c>
      <c r="U84" s="117" t="s">
        <v>128</v>
      </c>
      <c r="V84" s="12">
        <f>+IFERROR(IF(VLOOKUP(Q84,COMISIONES!$C$2:$K$33,9,0)&gt;=VLOOKUP(TC!Q84,COMISIONES!$C$2:$I$33,7,0),1,0),0)</f>
        <v>1</v>
      </c>
      <c r="W84" s="262">
        <f>+IF(H84="Segunda",VLOOKUP(_xlfn.CONCAT(P84,G84,H84,V84),'PUNTOS 2021'!$E$23:$F$30,2,0),TC!L84)</f>
        <v>5</v>
      </c>
      <c r="X84" s="67">
        <f>+VLOOKUP(Q84,COMISIONES!$C$2:$AO$33,39,0)</f>
        <v>65</v>
      </c>
      <c r="Y84" s="67">
        <f t="shared" si="1"/>
        <v>325</v>
      </c>
      <c r="Z84" s="58" t="s">
        <v>80</v>
      </c>
      <c r="AA84" s="13">
        <f>+VLOOKUP(Q84,COMISIONES!$C$2:$C$33,1,0)</f>
        <v>20009269</v>
      </c>
      <c r="AB84" s="13" t="s">
        <v>269</v>
      </c>
    </row>
    <row r="85" spans="1:28" hidden="1">
      <c r="A85" s="117" t="s">
        <v>821</v>
      </c>
      <c r="B85" s="138">
        <v>45143</v>
      </c>
      <c r="C85" s="117" t="s">
        <v>1069</v>
      </c>
      <c r="D85" s="117" t="s">
        <v>1070</v>
      </c>
      <c r="E85" s="117" t="s">
        <v>1071</v>
      </c>
      <c r="F85" s="117"/>
      <c r="G85" s="117" t="s">
        <v>45</v>
      </c>
      <c r="H85" s="117" t="s">
        <v>1</v>
      </c>
      <c r="I85"/>
      <c r="J85"/>
      <c r="K85" s="117" t="s">
        <v>105</v>
      </c>
      <c r="L85">
        <v>7</v>
      </c>
      <c r="M85" s="117" t="s">
        <v>116</v>
      </c>
      <c r="N85" s="117" t="s">
        <v>13</v>
      </c>
      <c r="O85" s="117" t="s">
        <v>50</v>
      </c>
      <c r="P85" s="117" t="s">
        <v>40</v>
      </c>
      <c r="Q85" s="139">
        <v>20007020</v>
      </c>
      <c r="R85" s="117" t="s">
        <v>78</v>
      </c>
      <c r="S85" s="117" t="s">
        <v>109</v>
      </c>
      <c r="T85" s="117"/>
      <c r="U85" s="117" t="s">
        <v>108</v>
      </c>
      <c r="V85" s="12">
        <f>+IFERROR(IF(VLOOKUP(Q85,COMISIONES!$C$2:$K$33,9,0)&gt;=VLOOKUP(TC!Q85,COMISIONES!$C$2:$I$33,7,0),1,0),0)</f>
        <v>0</v>
      </c>
      <c r="W85" s="262">
        <f>+IF(H85="Segunda",VLOOKUP(_xlfn.CONCAT(P85,G85,H85,V85),'PUNTOS 2021'!$E$23:$F$30,2,0),TC!L85)</f>
        <v>7</v>
      </c>
      <c r="X85" s="67">
        <f>+VLOOKUP(Q85,COMISIONES!$C$2:$AO$33,39,0)</f>
        <v>40</v>
      </c>
      <c r="Y85" s="67">
        <f t="shared" si="1"/>
        <v>280</v>
      </c>
      <c r="Z85" s="58" t="s">
        <v>80</v>
      </c>
      <c r="AA85" s="13">
        <f>+VLOOKUP(Q85,COMISIONES!$C$2:$C$33,1,0)</f>
        <v>20007020</v>
      </c>
      <c r="AB85" s="13" t="s">
        <v>269</v>
      </c>
    </row>
    <row r="86" spans="1:28" hidden="1">
      <c r="A86" s="117" t="s">
        <v>821</v>
      </c>
      <c r="B86" s="138">
        <v>45143</v>
      </c>
      <c r="C86" s="117" t="s">
        <v>1072</v>
      </c>
      <c r="D86" s="117" t="s">
        <v>1073</v>
      </c>
      <c r="E86" s="117" t="s">
        <v>1074</v>
      </c>
      <c r="F86" s="117"/>
      <c r="G86" s="117" t="s">
        <v>44</v>
      </c>
      <c r="H86" s="117" t="s">
        <v>1</v>
      </c>
      <c r="I86"/>
      <c r="J86"/>
      <c r="K86" s="117" t="s">
        <v>105</v>
      </c>
      <c r="L86">
        <v>5</v>
      </c>
      <c r="M86" s="117" t="s">
        <v>126</v>
      </c>
      <c r="N86" s="117" t="s">
        <v>11</v>
      </c>
      <c r="O86" s="117" t="s">
        <v>49</v>
      </c>
      <c r="P86" s="117" t="s">
        <v>40</v>
      </c>
      <c r="Q86" s="139">
        <v>20004235</v>
      </c>
      <c r="R86" s="117" t="s">
        <v>78</v>
      </c>
      <c r="S86" s="117" t="s">
        <v>109</v>
      </c>
      <c r="T86" s="117"/>
      <c r="U86" s="117" t="s">
        <v>108</v>
      </c>
      <c r="V86" s="12">
        <f>+IFERROR(IF(VLOOKUP(Q86,COMISIONES!$C$2:$K$33,9,0)&gt;=VLOOKUP(TC!Q86,COMISIONES!$C$2:$I$33,7,0),1,0),0)</f>
        <v>0</v>
      </c>
      <c r="W86" s="262">
        <f>+IF(H86="Segunda",VLOOKUP(_xlfn.CONCAT(P86,G86,H86,V86),'PUNTOS 2021'!$E$23:$F$30,2,0),TC!L86)</f>
        <v>5</v>
      </c>
      <c r="X86" s="67">
        <f>+VLOOKUP(Q86,COMISIONES!$C$2:$AO$33,39,0)</f>
        <v>40</v>
      </c>
      <c r="Y86" s="67">
        <f t="shared" si="1"/>
        <v>200</v>
      </c>
      <c r="Z86" s="58" t="s">
        <v>80</v>
      </c>
      <c r="AA86" s="13">
        <f>+VLOOKUP(Q86,COMISIONES!$C$2:$C$33,1,0)</f>
        <v>20004235</v>
      </c>
      <c r="AB86" s="13" t="s">
        <v>269</v>
      </c>
    </row>
    <row r="87" spans="1:28" hidden="1">
      <c r="A87" s="117" t="s">
        <v>821</v>
      </c>
      <c r="B87" s="138">
        <v>45143</v>
      </c>
      <c r="C87" s="117" t="s">
        <v>1075</v>
      </c>
      <c r="D87" s="117" t="s">
        <v>1076</v>
      </c>
      <c r="E87" s="117" t="s">
        <v>1077</v>
      </c>
      <c r="F87" s="117"/>
      <c r="G87" s="117" t="s">
        <v>43</v>
      </c>
      <c r="H87" s="117" t="s">
        <v>1</v>
      </c>
      <c r="I87"/>
      <c r="J87"/>
      <c r="K87" s="117" t="s">
        <v>105</v>
      </c>
      <c r="L87">
        <v>3</v>
      </c>
      <c r="M87" s="117" t="s">
        <v>110</v>
      </c>
      <c r="N87" s="117" t="s">
        <v>10</v>
      </c>
      <c r="O87" s="117" t="s">
        <v>51</v>
      </c>
      <c r="P87" s="117" t="s">
        <v>40</v>
      </c>
      <c r="Q87" s="139">
        <v>20000661</v>
      </c>
      <c r="R87" s="117" t="s">
        <v>78</v>
      </c>
      <c r="S87" s="117" t="s">
        <v>109</v>
      </c>
      <c r="T87" s="117"/>
      <c r="U87" s="117" t="s">
        <v>108</v>
      </c>
      <c r="V87" s="12">
        <f>+IFERROR(IF(VLOOKUP(Q87,COMISIONES!$C$2:$K$33,9,0)&gt;=VLOOKUP(TC!Q87,COMISIONES!$C$2:$I$33,7,0),1,0),0)</f>
        <v>1</v>
      </c>
      <c r="W87" s="262">
        <f>+IF(H87="Segunda",VLOOKUP(_xlfn.CONCAT(P87,G87,H87,V87),'PUNTOS 2021'!$E$23:$F$30,2,0),TC!L87)</f>
        <v>3</v>
      </c>
      <c r="X87" s="67">
        <f>+VLOOKUP(Q87,COMISIONES!$C$2:$AO$33,39,0)</f>
        <v>60</v>
      </c>
      <c r="Y87" s="67">
        <f t="shared" si="1"/>
        <v>180</v>
      </c>
      <c r="Z87" s="58" t="s">
        <v>80</v>
      </c>
      <c r="AA87" s="13">
        <f>+VLOOKUP(Q87,COMISIONES!$C$2:$C$33,1,0)</f>
        <v>20000661</v>
      </c>
      <c r="AB87" s="13" t="s">
        <v>269</v>
      </c>
    </row>
    <row r="88" spans="1:28" hidden="1">
      <c r="A88" s="117" t="s">
        <v>821</v>
      </c>
      <c r="B88" s="138">
        <v>45143</v>
      </c>
      <c r="C88" s="117" t="s">
        <v>1078</v>
      </c>
      <c r="D88" s="117" t="s">
        <v>1079</v>
      </c>
      <c r="E88" s="117" t="s">
        <v>1080</v>
      </c>
      <c r="F88" s="117"/>
      <c r="G88" s="117" t="s">
        <v>43</v>
      </c>
      <c r="H88" s="117" t="s">
        <v>1</v>
      </c>
      <c r="I88"/>
      <c r="J88"/>
      <c r="K88" s="117" t="s">
        <v>105</v>
      </c>
      <c r="L88">
        <v>3</v>
      </c>
      <c r="M88" s="117" t="s">
        <v>124</v>
      </c>
      <c r="N88" s="117" t="s">
        <v>17</v>
      </c>
      <c r="O88" s="117" t="s">
        <v>52</v>
      </c>
      <c r="P88" s="117" t="s">
        <v>40</v>
      </c>
      <c r="Q88" s="139">
        <v>20006233</v>
      </c>
      <c r="R88" s="117" t="s">
        <v>78</v>
      </c>
      <c r="S88" s="117" t="s">
        <v>109</v>
      </c>
      <c r="T88" s="117"/>
      <c r="U88" s="117" t="s">
        <v>108</v>
      </c>
      <c r="V88" s="12">
        <f>+IFERROR(IF(VLOOKUP(Q88,COMISIONES!$C$2:$K$33,9,0)&gt;=VLOOKUP(TC!Q88,COMISIONES!$C$2:$I$33,7,0),1,0),0)</f>
        <v>0</v>
      </c>
      <c r="W88" s="262">
        <f>+IF(H88="Segunda",VLOOKUP(_xlfn.CONCAT(P88,G88,H88,V88),'PUNTOS 2021'!$E$23:$F$30,2,0),TC!L88)</f>
        <v>3</v>
      </c>
      <c r="X88" s="67">
        <f>+VLOOKUP(Q88,COMISIONES!$C$2:$AO$33,39,0)</f>
        <v>40</v>
      </c>
      <c r="Y88" s="67">
        <f t="shared" si="1"/>
        <v>120</v>
      </c>
      <c r="Z88" s="58" t="s">
        <v>80</v>
      </c>
      <c r="AA88" s="13">
        <f>+VLOOKUP(Q88,COMISIONES!$C$2:$C$33,1,0)</f>
        <v>20006233</v>
      </c>
      <c r="AB88" s="13" t="s">
        <v>269</v>
      </c>
    </row>
    <row r="89" spans="1:28" hidden="1">
      <c r="A89" s="117" t="s">
        <v>821</v>
      </c>
      <c r="B89" s="138">
        <v>45143</v>
      </c>
      <c r="C89" s="117" t="s">
        <v>1081</v>
      </c>
      <c r="D89" s="117" t="s">
        <v>1082</v>
      </c>
      <c r="E89" s="117" t="s">
        <v>1083</v>
      </c>
      <c r="F89" s="117"/>
      <c r="G89" s="117" t="s">
        <v>43</v>
      </c>
      <c r="H89" s="117" t="s">
        <v>1</v>
      </c>
      <c r="I89"/>
      <c r="J89"/>
      <c r="K89" s="117" t="s">
        <v>105</v>
      </c>
      <c r="L89">
        <v>3</v>
      </c>
      <c r="M89" s="117" t="s">
        <v>116</v>
      </c>
      <c r="N89" s="117" t="s">
        <v>13</v>
      </c>
      <c r="O89" s="117" t="s">
        <v>50</v>
      </c>
      <c r="P89" s="117" t="s">
        <v>40</v>
      </c>
      <c r="Q89" s="139">
        <v>20007020</v>
      </c>
      <c r="R89" s="117" t="s">
        <v>78</v>
      </c>
      <c r="S89" s="117" t="s">
        <v>109</v>
      </c>
      <c r="T89" s="117"/>
      <c r="U89" s="117" t="s">
        <v>108</v>
      </c>
      <c r="V89" s="12">
        <f>+IFERROR(IF(VLOOKUP(Q89,COMISIONES!$C$2:$K$33,9,0)&gt;=VLOOKUP(TC!Q89,COMISIONES!$C$2:$I$33,7,0),1,0),0)</f>
        <v>0</v>
      </c>
      <c r="W89" s="262">
        <f>+IF(H89="Segunda",VLOOKUP(_xlfn.CONCAT(P89,G89,H89,V89),'PUNTOS 2021'!$E$23:$F$30,2,0),TC!L89)</f>
        <v>3</v>
      </c>
      <c r="X89" s="67">
        <f>+VLOOKUP(Q89,COMISIONES!$C$2:$AO$33,39,0)</f>
        <v>40</v>
      </c>
      <c r="Y89" s="67">
        <f t="shared" si="1"/>
        <v>120</v>
      </c>
      <c r="Z89" s="58" t="s">
        <v>80</v>
      </c>
      <c r="AA89" s="13">
        <f>+VLOOKUP(Q89,COMISIONES!$C$2:$C$33,1,0)</f>
        <v>20007020</v>
      </c>
      <c r="AB89" s="13" t="s">
        <v>269</v>
      </c>
    </row>
    <row r="90" spans="1:28" hidden="1">
      <c r="A90" s="117" t="s">
        <v>821</v>
      </c>
      <c r="B90" s="138">
        <v>45143</v>
      </c>
      <c r="C90" s="117" t="s">
        <v>1084</v>
      </c>
      <c r="D90" s="117" t="s">
        <v>1085</v>
      </c>
      <c r="E90" s="117" t="s">
        <v>1086</v>
      </c>
      <c r="F90" s="117"/>
      <c r="G90" s="117" t="s">
        <v>45</v>
      </c>
      <c r="H90" s="117" t="s">
        <v>1</v>
      </c>
      <c r="I90"/>
      <c r="J90"/>
      <c r="K90" s="117" t="s">
        <v>105</v>
      </c>
      <c r="L90">
        <v>7</v>
      </c>
      <c r="M90" s="117" t="s">
        <v>116</v>
      </c>
      <c r="N90" s="117" t="s">
        <v>13</v>
      </c>
      <c r="O90" s="117" t="s">
        <v>50</v>
      </c>
      <c r="P90" s="117" t="s">
        <v>40</v>
      </c>
      <c r="Q90" s="139">
        <v>20007020</v>
      </c>
      <c r="R90" s="117" t="s">
        <v>78</v>
      </c>
      <c r="S90" s="117" t="s">
        <v>109</v>
      </c>
      <c r="T90" s="117"/>
      <c r="U90" s="117" t="s">
        <v>108</v>
      </c>
      <c r="V90" s="12">
        <f>+IFERROR(IF(VLOOKUP(Q90,COMISIONES!$C$2:$K$33,9,0)&gt;=VLOOKUP(TC!Q90,COMISIONES!$C$2:$I$33,7,0),1,0),0)</f>
        <v>0</v>
      </c>
      <c r="W90" s="262">
        <f>+IF(H90="Segunda",VLOOKUP(_xlfn.CONCAT(P90,G90,H90,V90),'PUNTOS 2021'!$E$23:$F$30,2,0),TC!L90)</f>
        <v>7</v>
      </c>
      <c r="X90" s="67">
        <f>+VLOOKUP(Q90,COMISIONES!$C$2:$AO$33,39,0)</f>
        <v>40</v>
      </c>
      <c r="Y90" s="67">
        <f t="shared" si="1"/>
        <v>280</v>
      </c>
      <c r="Z90" s="58" t="s">
        <v>80</v>
      </c>
      <c r="AA90" s="13">
        <f>+VLOOKUP(Q90,COMISIONES!$C$2:$C$33,1,0)</f>
        <v>20007020</v>
      </c>
      <c r="AB90" s="13" t="s">
        <v>269</v>
      </c>
    </row>
    <row r="91" spans="1:28">
      <c r="A91" s="117" t="s">
        <v>821</v>
      </c>
      <c r="B91" s="138">
        <v>45143</v>
      </c>
      <c r="C91" s="117" t="s">
        <v>1087</v>
      </c>
      <c r="D91" s="117" t="s">
        <v>1088</v>
      </c>
      <c r="E91" s="117" t="s">
        <v>1089</v>
      </c>
      <c r="F91" s="117"/>
      <c r="G91" s="117" t="s">
        <v>45</v>
      </c>
      <c r="H91" s="117" t="s">
        <v>2</v>
      </c>
      <c r="I91"/>
      <c r="J91"/>
      <c r="K91" s="117" t="s">
        <v>105</v>
      </c>
      <c r="L91">
        <v>2</v>
      </c>
      <c r="M91" s="117" t="s">
        <v>115</v>
      </c>
      <c r="N91" s="117" t="s">
        <v>6</v>
      </c>
      <c r="O91" s="117" t="s">
        <v>51</v>
      </c>
      <c r="P91" s="117" t="s">
        <v>40</v>
      </c>
      <c r="Q91" s="139">
        <v>20001487</v>
      </c>
      <c r="R91" s="117" t="s">
        <v>78</v>
      </c>
      <c r="S91" s="117" t="s">
        <v>109</v>
      </c>
      <c r="T91" s="117"/>
      <c r="U91" s="117" t="s">
        <v>108</v>
      </c>
      <c r="V91" s="12">
        <f>+IFERROR(IF(VLOOKUP(Q91,COMISIONES!$C$2:$K$33,9,0)&gt;=VLOOKUP(TC!Q91,COMISIONES!$C$2:$I$33,7,0),1,0),0)</f>
        <v>1</v>
      </c>
      <c r="W91" s="262">
        <f>+IF(H91="Segunda",VLOOKUP(_xlfn.CONCAT(P91,G91,H91,V91),'PUNTOS 2021'!$E$23:$F$30,2,0),TC!L91)</f>
        <v>2</v>
      </c>
      <c r="X91" s="67">
        <f>+VLOOKUP(Q91,COMISIONES!$C$2:$AO$33,39,0)</f>
        <v>65</v>
      </c>
      <c r="Y91" s="67">
        <f t="shared" si="1"/>
        <v>130</v>
      </c>
      <c r="Z91" s="58" t="s">
        <v>80</v>
      </c>
      <c r="AA91" s="13">
        <f>+VLOOKUP(Q91,COMISIONES!$C$2:$C$33,1,0)</f>
        <v>20001487</v>
      </c>
      <c r="AB91" s="13" t="s">
        <v>269</v>
      </c>
    </row>
    <row r="92" spans="1:28" hidden="1">
      <c r="A92" s="117" t="s">
        <v>821</v>
      </c>
      <c r="B92" s="138">
        <v>45143</v>
      </c>
      <c r="C92" s="117" t="s">
        <v>1090</v>
      </c>
      <c r="D92" s="117" t="s">
        <v>1091</v>
      </c>
      <c r="E92" s="117" t="s">
        <v>1092</v>
      </c>
      <c r="F92" s="117"/>
      <c r="G92" s="117" t="s">
        <v>45</v>
      </c>
      <c r="H92" s="117" t="s">
        <v>1</v>
      </c>
      <c r="I92"/>
      <c r="J92"/>
      <c r="K92" s="117" t="s">
        <v>105</v>
      </c>
      <c r="L92">
        <v>7</v>
      </c>
      <c r="M92" s="117" t="s">
        <v>116</v>
      </c>
      <c r="N92" s="117" t="s">
        <v>13</v>
      </c>
      <c r="O92" s="117" t="s">
        <v>50</v>
      </c>
      <c r="P92" s="117" t="s">
        <v>40</v>
      </c>
      <c r="Q92" s="139">
        <v>20007020</v>
      </c>
      <c r="R92" s="117" t="s">
        <v>78</v>
      </c>
      <c r="S92" s="117" t="s">
        <v>109</v>
      </c>
      <c r="T92" s="117"/>
      <c r="U92" s="117" t="s">
        <v>108</v>
      </c>
      <c r="V92" s="12">
        <f>+IFERROR(IF(VLOOKUP(Q92,COMISIONES!$C$2:$K$33,9,0)&gt;=VLOOKUP(TC!Q92,COMISIONES!$C$2:$I$33,7,0),1,0),0)</f>
        <v>0</v>
      </c>
      <c r="W92" s="262">
        <f>+IF(H92="Segunda",VLOOKUP(_xlfn.CONCAT(P92,G92,H92,V92),'PUNTOS 2021'!$E$23:$F$30,2,0),TC!L92)</f>
        <v>7</v>
      </c>
      <c r="X92" s="67">
        <f>+VLOOKUP(Q92,COMISIONES!$C$2:$AO$33,39,0)</f>
        <v>40</v>
      </c>
      <c r="Y92" s="67">
        <f t="shared" si="1"/>
        <v>280</v>
      </c>
      <c r="Z92" s="58" t="s">
        <v>80</v>
      </c>
      <c r="AA92" s="13">
        <f>+VLOOKUP(Q92,COMISIONES!$C$2:$C$33,1,0)</f>
        <v>20007020</v>
      </c>
      <c r="AB92" s="13" t="s">
        <v>269</v>
      </c>
    </row>
    <row r="93" spans="1:28" hidden="1">
      <c r="A93" s="117" t="s">
        <v>821</v>
      </c>
      <c r="B93" s="138">
        <v>45143</v>
      </c>
      <c r="C93" s="117" t="s">
        <v>1093</v>
      </c>
      <c r="D93" s="117" t="s">
        <v>1094</v>
      </c>
      <c r="E93" s="117" t="s">
        <v>1095</v>
      </c>
      <c r="F93" s="117"/>
      <c r="G93" s="117" t="s">
        <v>45</v>
      </c>
      <c r="H93" s="117" t="s">
        <v>1</v>
      </c>
      <c r="I93"/>
      <c r="J93"/>
      <c r="K93" s="117" t="s">
        <v>105</v>
      </c>
      <c r="L93">
        <v>7</v>
      </c>
      <c r="M93" s="117" t="s">
        <v>402</v>
      </c>
      <c r="N93" s="117" t="s">
        <v>389</v>
      </c>
      <c r="O93" s="117" t="s">
        <v>50</v>
      </c>
      <c r="P93" s="117" t="s">
        <v>40</v>
      </c>
      <c r="Q93" s="139">
        <v>20010604</v>
      </c>
      <c r="R93" s="117" t="s">
        <v>78</v>
      </c>
      <c r="S93" s="117" t="s">
        <v>109</v>
      </c>
      <c r="T93" s="117"/>
      <c r="U93" s="117" t="s">
        <v>108</v>
      </c>
      <c r="V93" s="12">
        <f>+IFERROR(IF(VLOOKUP(Q93,COMISIONES!$C$2:$K$33,9,0)&gt;=VLOOKUP(TC!Q93,COMISIONES!$C$2:$I$33,7,0),1,0),0)</f>
        <v>0</v>
      </c>
      <c r="W93" s="262">
        <f>+IF(H93="Segunda",VLOOKUP(_xlfn.CONCAT(P93,G93,H93,V93),'PUNTOS 2021'!$E$23:$F$30,2,0),TC!L93)</f>
        <v>7</v>
      </c>
      <c r="X93" s="67">
        <f>+VLOOKUP(Q93,COMISIONES!$C$2:$AO$33,39,0)</f>
        <v>40</v>
      </c>
      <c r="Y93" s="67">
        <f t="shared" si="1"/>
        <v>280</v>
      </c>
      <c r="Z93" s="58" t="s">
        <v>80</v>
      </c>
      <c r="AA93" s="13">
        <f>+VLOOKUP(Q93,COMISIONES!$C$2:$C$33,1,0)</f>
        <v>20010604</v>
      </c>
      <c r="AB93" s="13" t="s">
        <v>269</v>
      </c>
    </row>
    <row r="94" spans="1:28" hidden="1">
      <c r="A94" s="117" t="s">
        <v>821</v>
      </c>
      <c r="B94" s="138">
        <v>45143</v>
      </c>
      <c r="C94" s="117" t="s">
        <v>1096</v>
      </c>
      <c r="D94" s="117" t="s">
        <v>1097</v>
      </c>
      <c r="E94" s="117" t="s">
        <v>1098</v>
      </c>
      <c r="F94" s="117"/>
      <c r="G94" s="117" t="s">
        <v>43</v>
      </c>
      <c r="H94" s="117" t="s">
        <v>1</v>
      </c>
      <c r="I94"/>
      <c r="J94"/>
      <c r="K94" s="117" t="s">
        <v>105</v>
      </c>
      <c r="L94">
        <v>3</v>
      </c>
      <c r="M94" s="117" t="s">
        <v>255</v>
      </c>
      <c r="N94" s="117" t="s">
        <v>4</v>
      </c>
      <c r="O94" s="117" t="s">
        <v>51</v>
      </c>
      <c r="P94" s="117" t="s">
        <v>40</v>
      </c>
      <c r="Q94" s="139">
        <v>20000033</v>
      </c>
      <c r="R94" s="117" t="s">
        <v>78</v>
      </c>
      <c r="S94" s="117" t="s">
        <v>109</v>
      </c>
      <c r="T94" s="117"/>
      <c r="U94" s="117" t="s">
        <v>108</v>
      </c>
      <c r="V94" s="12">
        <f>+IFERROR(IF(VLOOKUP(Q94,COMISIONES!$C$2:$K$33,9,0)&gt;=VLOOKUP(TC!Q94,COMISIONES!$C$2:$I$33,7,0),1,0),0)</f>
        <v>1</v>
      </c>
      <c r="W94" s="262">
        <f>+IF(H94="Segunda",VLOOKUP(_xlfn.CONCAT(P94,G94,H94,V94),'PUNTOS 2021'!$E$23:$F$30,2,0),TC!L94)</f>
        <v>3</v>
      </c>
      <c r="X94" s="67">
        <f>+VLOOKUP(Q94,COMISIONES!$C$2:$AO$33,39,0)</f>
        <v>60</v>
      </c>
      <c r="Y94" s="67">
        <f t="shared" si="1"/>
        <v>180</v>
      </c>
      <c r="Z94" s="58" t="s">
        <v>80</v>
      </c>
      <c r="AA94" s="13">
        <f>+VLOOKUP(Q94,COMISIONES!$C$2:$C$33,1,0)</f>
        <v>20000033</v>
      </c>
      <c r="AB94" s="13" t="s">
        <v>269</v>
      </c>
    </row>
    <row r="95" spans="1:28" hidden="1">
      <c r="A95" s="117" t="s">
        <v>821</v>
      </c>
      <c r="B95" s="138">
        <v>45143</v>
      </c>
      <c r="C95" s="117" t="s">
        <v>1099</v>
      </c>
      <c r="D95" s="117" t="s">
        <v>1100</v>
      </c>
      <c r="E95" s="117" t="s">
        <v>1101</v>
      </c>
      <c r="F95" s="117" t="s">
        <v>1102</v>
      </c>
      <c r="G95" s="117" t="s">
        <v>43</v>
      </c>
      <c r="H95" s="117" t="s">
        <v>1</v>
      </c>
      <c r="I95"/>
      <c r="J95"/>
      <c r="K95" s="117" t="s">
        <v>105</v>
      </c>
      <c r="L95">
        <v>3</v>
      </c>
      <c r="M95" s="117" t="s">
        <v>113</v>
      </c>
      <c r="N95" s="117" t="s">
        <v>12</v>
      </c>
      <c r="O95" s="117" t="s">
        <v>49</v>
      </c>
      <c r="P95" s="117" t="s">
        <v>40</v>
      </c>
      <c r="Q95" s="139">
        <v>20007726</v>
      </c>
      <c r="R95" s="117" t="s">
        <v>78</v>
      </c>
      <c r="S95" s="117" t="s">
        <v>109</v>
      </c>
      <c r="T95" s="117"/>
      <c r="U95" s="117" t="s">
        <v>108</v>
      </c>
      <c r="V95" s="12">
        <f>+IFERROR(IF(VLOOKUP(Q95,COMISIONES!$C$2:$K$33,9,0)&gt;=VLOOKUP(TC!Q95,COMISIONES!$C$2:$I$33,7,0),1,0),0)</f>
        <v>1</v>
      </c>
      <c r="W95" s="262">
        <f>+IF(H95="Segunda",VLOOKUP(_xlfn.CONCAT(P95,G95,H95,V95),'PUNTOS 2021'!$E$23:$F$30,2,0),TC!L95)</f>
        <v>3</v>
      </c>
      <c r="X95" s="67">
        <f>+VLOOKUP(Q95,COMISIONES!$C$2:$AO$33,39,0)</f>
        <v>65</v>
      </c>
      <c r="Y95" s="67">
        <f t="shared" si="1"/>
        <v>195</v>
      </c>
      <c r="Z95" s="58" t="s">
        <v>80</v>
      </c>
      <c r="AA95" s="13">
        <f>+VLOOKUP(Q95,COMISIONES!$C$2:$C$33,1,0)</f>
        <v>20007726</v>
      </c>
      <c r="AB95" s="13" t="s">
        <v>269</v>
      </c>
    </row>
    <row r="96" spans="1:28" hidden="1">
      <c r="A96" s="117" t="s">
        <v>821</v>
      </c>
      <c r="B96" s="138">
        <v>45143</v>
      </c>
      <c r="C96" s="117" t="s">
        <v>1103</v>
      </c>
      <c r="D96" s="117" t="s">
        <v>1104</v>
      </c>
      <c r="E96" s="117" t="s">
        <v>1105</v>
      </c>
      <c r="F96" s="117"/>
      <c r="G96" s="117" t="s">
        <v>45</v>
      </c>
      <c r="H96" s="117" t="s">
        <v>1</v>
      </c>
      <c r="I96"/>
      <c r="J96"/>
      <c r="K96" s="117" t="s">
        <v>105</v>
      </c>
      <c r="L96">
        <v>7</v>
      </c>
      <c r="M96" s="117" t="s">
        <v>110</v>
      </c>
      <c r="N96" s="117" t="s">
        <v>10</v>
      </c>
      <c r="O96" s="117" t="s">
        <v>51</v>
      </c>
      <c r="P96" s="117" t="s">
        <v>40</v>
      </c>
      <c r="Q96" s="139">
        <v>20000661</v>
      </c>
      <c r="R96" s="117" t="s">
        <v>78</v>
      </c>
      <c r="S96" s="117" t="s">
        <v>109</v>
      </c>
      <c r="T96" s="117"/>
      <c r="U96" s="117" t="s">
        <v>108</v>
      </c>
      <c r="V96" s="12">
        <f>+IFERROR(IF(VLOOKUP(Q96,COMISIONES!$C$2:$K$33,9,0)&gt;=VLOOKUP(TC!Q96,COMISIONES!$C$2:$I$33,7,0),1,0),0)</f>
        <v>1</v>
      </c>
      <c r="W96" s="262">
        <f>+IF(H96="Segunda",VLOOKUP(_xlfn.CONCAT(P96,G96,H96,V96),'PUNTOS 2021'!$E$23:$F$30,2,0),TC!L96)</f>
        <v>7</v>
      </c>
      <c r="X96" s="67">
        <f>+VLOOKUP(Q96,COMISIONES!$C$2:$AO$33,39,0)</f>
        <v>60</v>
      </c>
      <c r="Y96" s="67">
        <f t="shared" si="1"/>
        <v>420</v>
      </c>
      <c r="Z96" s="58" t="s">
        <v>80</v>
      </c>
      <c r="AA96" s="13">
        <f>+VLOOKUP(Q96,COMISIONES!$C$2:$C$33,1,0)</f>
        <v>20000661</v>
      </c>
      <c r="AB96" s="13" t="s">
        <v>269</v>
      </c>
    </row>
    <row r="97" spans="1:28">
      <c r="A97" s="117" t="s">
        <v>821</v>
      </c>
      <c r="B97" s="138">
        <v>45143</v>
      </c>
      <c r="C97" s="117" t="s">
        <v>1106</v>
      </c>
      <c r="D97" s="117" t="s">
        <v>1107</v>
      </c>
      <c r="E97" s="117" t="s">
        <v>1108</v>
      </c>
      <c r="F97" s="117"/>
      <c r="G97" s="117" t="s">
        <v>44</v>
      </c>
      <c r="H97" s="117" t="s">
        <v>2</v>
      </c>
      <c r="I97"/>
      <c r="J97"/>
      <c r="K97" s="117" t="s">
        <v>105</v>
      </c>
      <c r="L97">
        <v>1</v>
      </c>
      <c r="M97" s="117" t="s">
        <v>122</v>
      </c>
      <c r="N97" s="117" t="s">
        <v>5</v>
      </c>
      <c r="O97" s="117" t="s">
        <v>50</v>
      </c>
      <c r="P97" s="117" t="s">
        <v>40</v>
      </c>
      <c r="Q97" s="139">
        <v>20004566</v>
      </c>
      <c r="R97" s="117" t="s">
        <v>78</v>
      </c>
      <c r="S97" s="117" t="s">
        <v>109</v>
      </c>
      <c r="T97" s="117"/>
      <c r="U97" s="117" t="s">
        <v>108</v>
      </c>
      <c r="V97" s="12">
        <f>+IFERROR(IF(VLOOKUP(Q97,COMISIONES!$C$2:$K$33,9,0)&gt;=VLOOKUP(TC!Q97,COMISIONES!$C$2:$I$33,7,0),1,0),0)</f>
        <v>1</v>
      </c>
      <c r="W97" s="262">
        <f>+IF(H97="Segunda",VLOOKUP(_xlfn.CONCAT(P97,G97,H97,V97),'PUNTOS 2021'!$E$23:$F$30,2,0),TC!L97)</f>
        <v>1</v>
      </c>
      <c r="X97" s="67">
        <f>+VLOOKUP(Q97,COMISIONES!$C$2:$AO$33,39,0)</f>
        <v>60</v>
      </c>
      <c r="Y97" s="67">
        <f t="shared" si="1"/>
        <v>60</v>
      </c>
      <c r="Z97" s="58" t="s">
        <v>80</v>
      </c>
      <c r="AA97" s="13">
        <f>+VLOOKUP(Q97,COMISIONES!$C$2:$C$33,1,0)</f>
        <v>20004566</v>
      </c>
      <c r="AB97" s="13" t="s">
        <v>269</v>
      </c>
    </row>
    <row r="98" spans="1:28">
      <c r="A98" s="117" t="s">
        <v>821</v>
      </c>
      <c r="B98" s="138">
        <v>45143</v>
      </c>
      <c r="C98" s="117" t="s">
        <v>1109</v>
      </c>
      <c r="D98" s="117" t="s">
        <v>1110</v>
      </c>
      <c r="E98" s="117" t="s">
        <v>1111</v>
      </c>
      <c r="F98" s="117" t="s">
        <v>1112</v>
      </c>
      <c r="G98" s="117" t="s">
        <v>43</v>
      </c>
      <c r="H98" s="117" t="s">
        <v>2</v>
      </c>
      <c r="I98"/>
      <c r="J98"/>
      <c r="K98" s="117" t="s">
        <v>105</v>
      </c>
      <c r="L98">
        <v>1</v>
      </c>
      <c r="M98" s="117" t="s">
        <v>121</v>
      </c>
      <c r="N98" s="117" t="s">
        <v>3</v>
      </c>
      <c r="O98" s="117" t="s">
        <v>49</v>
      </c>
      <c r="P98" s="117" t="s">
        <v>40</v>
      </c>
      <c r="Q98" s="139">
        <v>20004161</v>
      </c>
      <c r="R98" s="117" t="s">
        <v>78</v>
      </c>
      <c r="S98" s="117" t="s">
        <v>109</v>
      </c>
      <c r="T98" s="117"/>
      <c r="U98" s="117" t="s">
        <v>108</v>
      </c>
      <c r="V98" s="12">
        <f>+IFERROR(IF(VLOOKUP(Q98,COMISIONES!$C$2:$K$33,9,0)&gt;=VLOOKUP(TC!Q98,COMISIONES!$C$2:$I$33,7,0),1,0),0)</f>
        <v>1</v>
      </c>
      <c r="W98" s="262">
        <f>+IF(H98="Segunda",VLOOKUP(_xlfn.CONCAT(P98,G98,H98,V98),'PUNTOS 2021'!$E$23:$F$30,2,0),TC!L98)</f>
        <v>1</v>
      </c>
      <c r="X98" s="67">
        <f>+VLOOKUP(Q98,COMISIONES!$C$2:$AO$33,39,0)</f>
        <v>65</v>
      </c>
      <c r="Y98" s="67">
        <f t="shared" si="1"/>
        <v>65</v>
      </c>
      <c r="Z98" s="58" t="s">
        <v>80</v>
      </c>
      <c r="AA98" s="13">
        <f>+VLOOKUP(Q98,COMISIONES!$C$2:$C$33,1,0)</f>
        <v>20004161</v>
      </c>
      <c r="AB98" s="13" t="s">
        <v>269</v>
      </c>
    </row>
    <row r="99" spans="1:28">
      <c r="A99" s="117" t="s">
        <v>821</v>
      </c>
      <c r="B99" s="138">
        <v>45143</v>
      </c>
      <c r="C99" s="117" t="s">
        <v>1113</v>
      </c>
      <c r="D99" s="117" t="s">
        <v>1114</v>
      </c>
      <c r="E99" s="117" t="s">
        <v>1115</v>
      </c>
      <c r="F99" s="117"/>
      <c r="G99" s="117" t="s">
        <v>45</v>
      </c>
      <c r="H99" s="117" t="s">
        <v>2</v>
      </c>
      <c r="I99"/>
      <c r="J99"/>
      <c r="K99" s="117" t="s">
        <v>105</v>
      </c>
      <c r="L99">
        <v>2</v>
      </c>
      <c r="M99" s="117" t="s">
        <v>257</v>
      </c>
      <c r="N99" s="117" t="s">
        <v>15</v>
      </c>
      <c r="O99" s="117" t="s">
        <v>52</v>
      </c>
      <c r="P99" s="117" t="s">
        <v>40</v>
      </c>
      <c r="Q99" s="139">
        <v>20005527</v>
      </c>
      <c r="R99" s="117" t="s">
        <v>78</v>
      </c>
      <c r="S99" s="117" t="s">
        <v>109</v>
      </c>
      <c r="T99" s="117"/>
      <c r="U99" s="117" t="s">
        <v>108</v>
      </c>
      <c r="V99" s="12">
        <f>+IFERROR(IF(VLOOKUP(Q99,COMISIONES!$C$2:$K$33,9,0)&gt;=VLOOKUP(TC!Q99,COMISIONES!$C$2:$I$33,7,0),1,0),0)</f>
        <v>0</v>
      </c>
      <c r="W99" s="262">
        <f>+IF(H99="Segunda",VLOOKUP(_xlfn.CONCAT(P99,G99,H99,V99),'PUNTOS 2021'!$E$23:$F$30,2,0),TC!L99)</f>
        <v>0.5</v>
      </c>
      <c r="X99" s="67">
        <f>+VLOOKUP(Q99,COMISIONES!$C$2:$AO$33,39,0)</f>
        <v>40</v>
      </c>
      <c r="Y99" s="67">
        <f t="shared" si="1"/>
        <v>20</v>
      </c>
      <c r="Z99" s="58" t="s">
        <v>80</v>
      </c>
      <c r="AA99" s="13">
        <f>+VLOOKUP(Q99,COMISIONES!$C$2:$C$33,1,0)</f>
        <v>20005527</v>
      </c>
      <c r="AB99" s="13" t="s">
        <v>269</v>
      </c>
    </row>
    <row r="100" spans="1:28">
      <c r="A100" s="117" t="s">
        <v>821</v>
      </c>
      <c r="B100" s="138">
        <v>45143</v>
      </c>
      <c r="C100" s="117" t="s">
        <v>1116</v>
      </c>
      <c r="D100" s="117" t="s">
        <v>1117</v>
      </c>
      <c r="E100" s="117" t="s">
        <v>1118</v>
      </c>
      <c r="F100" s="117"/>
      <c r="G100" s="117" t="s">
        <v>44</v>
      </c>
      <c r="H100" s="117" t="s">
        <v>2</v>
      </c>
      <c r="I100"/>
      <c r="J100"/>
      <c r="K100" s="117" t="s">
        <v>105</v>
      </c>
      <c r="L100">
        <v>1</v>
      </c>
      <c r="M100" s="117" t="s">
        <v>106</v>
      </c>
      <c r="N100" s="117" t="s">
        <v>8</v>
      </c>
      <c r="O100" s="117" t="s">
        <v>51</v>
      </c>
      <c r="P100" s="117" t="s">
        <v>40</v>
      </c>
      <c r="Q100" s="139">
        <v>20002636</v>
      </c>
      <c r="R100" s="117" t="s">
        <v>78</v>
      </c>
      <c r="S100" s="117" t="s">
        <v>109</v>
      </c>
      <c r="T100" s="117"/>
      <c r="U100" s="117" t="s">
        <v>108</v>
      </c>
      <c r="V100" s="12">
        <f>+IFERROR(IF(VLOOKUP(Q100,COMISIONES!$C$2:$K$33,9,0)&gt;=VLOOKUP(TC!Q100,COMISIONES!$C$2:$I$33,7,0),1,0),0)</f>
        <v>0</v>
      </c>
      <c r="W100" s="262">
        <f>+IF(H100="Segunda",VLOOKUP(_xlfn.CONCAT(P100,G100,H100,V100),'PUNTOS 2021'!$E$23:$F$30,2,0),TC!L100)</f>
        <v>0.5</v>
      </c>
      <c r="X100" s="67">
        <f>+VLOOKUP(Q100,COMISIONES!$C$2:$AO$33,39,0)</f>
        <v>40</v>
      </c>
      <c r="Y100" s="67">
        <f t="shared" si="1"/>
        <v>20</v>
      </c>
      <c r="Z100" s="58" t="s">
        <v>80</v>
      </c>
      <c r="AA100" s="13">
        <f>+VLOOKUP(Q100,COMISIONES!$C$2:$C$33,1,0)</f>
        <v>20002636</v>
      </c>
      <c r="AB100" s="13" t="s">
        <v>269</v>
      </c>
    </row>
    <row r="101" spans="1:28" hidden="1">
      <c r="A101" s="117" t="s">
        <v>821</v>
      </c>
      <c r="B101" s="138">
        <v>45143</v>
      </c>
      <c r="C101" s="117" t="s">
        <v>1119</v>
      </c>
      <c r="D101" s="117" t="s">
        <v>1120</v>
      </c>
      <c r="E101" s="117" t="s">
        <v>1121</v>
      </c>
      <c r="F101" s="117"/>
      <c r="G101" s="117" t="s">
        <v>44</v>
      </c>
      <c r="H101" s="117" t="s">
        <v>1</v>
      </c>
      <c r="I101"/>
      <c r="J101"/>
      <c r="K101" s="117" t="s">
        <v>105</v>
      </c>
      <c r="L101">
        <v>5</v>
      </c>
      <c r="M101" s="117" t="s">
        <v>122</v>
      </c>
      <c r="N101" s="117" t="s">
        <v>5</v>
      </c>
      <c r="O101" s="117" t="s">
        <v>50</v>
      </c>
      <c r="P101" s="117" t="s">
        <v>40</v>
      </c>
      <c r="Q101" s="139">
        <v>20004566</v>
      </c>
      <c r="R101" s="117" t="s">
        <v>78</v>
      </c>
      <c r="S101" s="117" t="s">
        <v>109</v>
      </c>
      <c r="T101" s="117"/>
      <c r="U101" s="117" t="s">
        <v>108</v>
      </c>
      <c r="V101" s="12">
        <f>+IFERROR(IF(VLOOKUP(Q101,COMISIONES!$C$2:$K$33,9,0)&gt;=VLOOKUP(TC!Q101,COMISIONES!$C$2:$I$33,7,0),1,0),0)</f>
        <v>1</v>
      </c>
      <c r="W101" s="262">
        <f>+IF(H101="Segunda",VLOOKUP(_xlfn.CONCAT(P101,G101,H101,V101),'PUNTOS 2021'!$E$23:$F$30,2,0),TC!L101)</f>
        <v>5</v>
      </c>
      <c r="X101" s="67">
        <f>+VLOOKUP(Q101,COMISIONES!$C$2:$AO$33,39,0)</f>
        <v>60</v>
      </c>
      <c r="Y101" s="67">
        <f t="shared" si="1"/>
        <v>300</v>
      </c>
      <c r="Z101" s="58" t="s">
        <v>80</v>
      </c>
      <c r="AA101" s="13">
        <f>+VLOOKUP(Q101,COMISIONES!$C$2:$C$33,1,0)</f>
        <v>20004566</v>
      </c>
      <c r="AB101" s="13" t="s">
        <v>269</v>
      </c>
    </row>
    <row r="102" spans="1:28" hidden="1">
      <c r="A102" s="117" t="s">
        <v>821</v>
      </c>
      <c r="B102" s="138">
        <v>45143</v>
      </c>
      <c r="C102" s="117" t="s">
        <v>1122</v>
      </c>
      <c r="D102" s="117" t="s">
        <v>1123</v>
      </c>
      <c r="E102" s="117" t="s">
        <v>1124</v>
      </c>
      <c r="F102" s="117"/>
      <c r="G102" s="117" t="s">
        <v>45</v>
      </c>
      <c r="H102" s="117" t="s">
        <v>1</v>
      </c>
      <c r="I102"/>
      <c r="J102"/>
      <c r="K102" s="117" t="s">
        <v>105</v>
      </c>
      <c r="L102">
        <v>7</v>
      </c>
      <c r="M102" s="117" t="s">
        <v>114</v>
      </c>
      <c r="N102" s="117" t="s">
        <v>19</v>
      </c>
      <c r="O102" s="117" t="s">
        <v>49</v>
      </c>
      <c r="P102" s="117" t="s">
        <v>40</v>
      </c>
      <c r="Q102" s="139">
        <v>20008625</v>
      </c>
      <c r="R102" s="117" t="s">
        <v>78</v>
      </c>
      <c r="S102" s="117" t="s">
        <v>109</v>
      </c>
      <c r="T102" s="117"/>
      <c r="U102" s="117" t="s">
        <v>108</v>
      </c>
      <c r="V102" s="12">
        <f>+IFERROR(IF(VLOOKUP(Q102,COMISIONES!$C$2:$K$33,9,0)&gt;=VLOOKUP(TC!Q102,COMISIONES!$C$2:$I$33,7,0),1,0),0)</f>
        <v>0</v>
      </c>
      <c r="W102" s="262">
        <f>+IF(H102="Segunda",VLOOKUP(_xlfn.CONCAT(P102,G102,H102,V102),'PUNTOS 2021'!$E$23:$F$30,2,0),TC!L102)</f>
        <v>7</v>
      </c>
      <c r="X102" s="67">
        <f>+VLOOKUP(Q102,COMISIONES!$C$2:$AO$33,39,0)</f>
        <v>20</v>
      </c>
      <c r="Y102" s="67">
        <f t="shared" si="1"/>
        <v>140</v>
      </c>
      <c r="Z102" s="58" t="s">
        <v>80</v>
      </c>
      <c r="AA102" s="13">
        <f>+VLOOKUP(Q102,COMISIONES!$C$2:$C$33,1,0)</f>
        <v>20008625</v>
      </c>
      <c r="AB102" s="13" t="s">
        <v>269</v>
      </c>
    </row>
    <row r="103" spans="1:28" hidden="1">
      <c r="A103" s="117" t="s">
        <v>821</v>
      </c>
      <c r="B103" s="138">
        <v>45143</v>
      </c>
      <c r="C103" s="117" t="s">
        <v>1125</v>
      </c>
      <c r="D103" s="117" t="s">
        <v>1126</v>
      </c>
      <c r="E103" s="117" t="s">
        <v>1127</v>
      </c>
      <c r="F103" s="117"/>
      <c r="G103" s="117" t="s">
        <v>44</v>
      </c>
      <c r="H103" s="117" t="s">
        <v>1</v>
      </c>
      <c r="I103"/>
      <c r="J103"/>
      <c r="K103" s="117" t="s">
        <v>105</v>
      </c>
      <c r="L103">
        <v>5</v>
      </c>
      <c r="M103" s="117" t="s">
        <v>258</v>
      </c>
      <c r="N103" s="117" t="s">
        <v>237</v>
      </c>
      <c r="O103" s="117" t="s">
        <v>51</v>
      </c>
      <c r="P103" s="117" t="s">
        <v>40</v>
      </c>
      <c r="Q103" s="139">
        <v>20006893</v>
      </c>
      <c r="R103" s="117" t="s">
        <v>78</v>
      </c>
      <c r="S103" s="117" t="s">
        <v>109</v>
      </c>
      <c r="T103" s="117"/>
      <c r="U103" s="117" t="s">
        <v>108</v>
      </c>
      <c r="V103" s="12">
        <f>+IFERROR(IF(VLOOKUP(Q103,COMISIONES!$C$2:$K$33,9,0)&gt;=VLOOKUP(TC!Q103,COMISIONES!$C$2:$I$33,7,0),1,0),0)</f>
        <v>0</v>
      </c>
      <c r="W103" s="262">
        <f>+IF(H103="Segunda",VLOOKUP(_xlfn.CONCAT(P103,G103,H103,V103),'PUNTOS 2021'!$E$23:$F$30,2,0),TC!L103)</f>
        <v>5</v>
      </c>
      <c r="X103" s="67">
        <f>+VLOOKUP(Q103,COMISIONES!$C$2:$AO$33,39,0)</f>
        <v>40</v>
      </c>
      <c r="Y103" s="67">
        <f t="shared" si="1"/>
        <v>200</v>
      </c>
      <c r="Z103" s="58" t="s">
        <v>80</v>
      </c>
      <c r="AA103" s="13">
        <f>+VLOOKUP(Q103,COMISIONES!$C$2:$C$33,1,0)</f>
        <v>20006893</v>
      </c>
      <c r="AB103" s="13" t="s">
        <v>269</v>
      </c>
    </row>
    <row r="104" spans="1:28" hidden="1">
      <c r="A104" s="117" t="s">
        <v>821</v>
      </c>
      <c r="B104" s="138">
        <v>45143</v>
      </c>
      <c r="C104" s="117" t="s">
        <v>1128</v>
      </c>
      <c r="D104" s="117" t="s">
        <v>1129</v>
      </c>
      <c r="E104" s="117" t="s">
        <v>1130</v>
      </c>
      <c r="F104" s="117"/>
      <c r="G104" s="117" t="s">
        <v>45</v>
      </c>
      <c r="H104" s="117" t="s">
        <v>1</v>
      </c>
      <c r="I104"/>
      <c r="J104"/>
      <c r="K104" s="117" t="s">
        <v>105</v>
      </c>
      <c r="L104">
        <v>7</v>
      </c>
      <c r="M104" s="117" t="s">
        <v>125</v>
      </c>
      <c r="N104" s="117" t="s">
        <v>18</v>
      </c>
      <c r="O104" s="117" t="s">
        <v>50</v>
      </c>
      <c r="P104" s="117" t="s">
        <v>40</v>
      </c>
      <c r="Q104" s="139">
        <v>20008439</v>
      </c>
      <c r="R104" s="117" t="s">
        <v>78</v>
      </c>
      <c r="S104" s="117" t="s">
        <v>109</v>
      </c>
      <c r="T104" s="117"/>
      <c r="U104" s="117" t="s">
        <v>108</v>
      </c>
      <c r="V104" s="12">
        <f>+IFERROR(IF(VLOOKUP(Q104,COMISIONES!$C$2:$K$33,9,0)&gt;=VLOOKUP(TC!Q104,COMISIONES!$C$2:$I$33,7,0),1,0),0)</f>
        <v>1</v>
      </c>
      <c r="W104" s="262">
        <f>+IF(H104="Segunda",VLOOKUP(_xlfn.CONCAT(P104,G104,H104,V104),'PUNTOS 2021'!$E$23:$F$30,2,0),TC!L104)</f>
        <v>7</v>
      </c>
      <c r="X104" s="67">
        <f>+VLOOKUP(Q104,COMISIONES!$C$2:$AO$33,39,0)</f>
        <v>60</v>
      </c>
      <c r="Y104" s="67">
        <f t="shared" si="1"/>
        <v>420</v>
      </c>
      <c r="Z104" s="58" t="s">
        <v>80</v>
      </c>
      <c r="AA104" s="13">
        <f>+VLOOKUP(Q104,COMISIONES!$C$2:$C$33,1,0)</f>
        <v>20008439</v>
      </c>
      <c r="AB104" s="13" t="s">
        <v>269</v>
      </c>
    </row>
    <row r="105" spans="1:28" hidden="1">
      <c r="A105" s="117" t="s">
        <v>821</v>
      </c>
      <c r="B105" s="138">
        <v>45143</v>
      </c>
      <c r="C105" s="117" t="s">
        <v>1131</v>
      </c>
      <c r="D105" s="117" t="s">
        <v>1132</v>
      </c>
      <c r="E105" s="117" t="s">
        <v>1133</v>
      </c>
      <c r="F105" s="117"/>
      <c r="G105" s="117" t="s">
        <v>44</v>
      </c>
      <c r="H105" s="117" t="s">
        <v>1</v>
      </c>
      <c r="I105"/>
      <c r="J105"/>
      <c r="K105" s="117" t="s">
        <v>105</v>
      </c>
      <c r="L105">
        <v>5</v>
      </c>
      <c r="M105" s="117" t="s">
        <v>116</v>
      </c>
      <c r="N105" s="117" t="s">
        <v>13</v>
      </c>
      <c r="O105" s="117" t="s">
        <v>50</v>
      </c>
      <c r="P105" s="117" t="s">
        <v>40</v>
      </c>
      <c r="Q105" s="139">
        <v>20007020</v>
      </c>
      <c r="R105" s="117" t="s">
        <v>78</v>
      </c>
      <c r="S105" s="117" t="s">
        <v>109</v>
      </c>
      <c r="T105" s="117"/>
      <c r="U105" s="117" t="s">
        <v>108</v>
      </c>
      <c r="V105" s="12">
        <f>+IFERROR(IF(VLOOKUP(Q105,COMISIONES!$C$2:$K$33,9,0)&gt;=VLOOKUP(TC!Q105,COMISIONES!$C$2:$I$33,7,0),1,0),0)</f>
        <v>0</v>
      </c>
      <c r="W105" s="262">
        <f>+IF(H105="Segunda",VLOOKUP(_xlfn.CONCAT(P105,G105,H105,V105),'PUNTOS 2021'!$E$23:$F$30,2,0),TC!L105)</f>
        <v>5</v>
      </c>
      <c r="X105" s="67">
        <f>+VLOOKUP(Q105,COMISIONES!$C$2:$AO$33,39,0)</f>
        <v>40</v>
      </c>
      <c r="Y105" s="67">
        <f t="shared" si="1"/>
        <v>200</v>
      </c>
      <c r="Z105" s="58" t="s">
        <v>80</v>
      </c>
      <c r="AA105" s="13">
        <f>+VLOOKUP(Q105,COMISIONES!$C$2:$C$33,1,0)</f>
        <v>20007020</v>
      </c>
      <c r="AB105" s="13" t="s">
        <v>269</v>
      </c>
    </row>
    <row r="106" spans="1:28" hidden="1">
      <c r="A106" s="117" t="s">
        <v>821</v>
      </c>
      <c r="B106" s="138">
        <v>45143</v>
      </c>
      <c r="C106" s="117" t="s">
        <v>1134</v>
      </c>
      <c r="D106" s="117" t="s">
        <v>1135</v>
      </c>
      <c r="E106" s="117" t="s">
        <v>1136</v>
      </c>
      <c r="F106" s="117"/>
      <c r="G106" s="117" t="s">
        <v>44</v>
      </c>
      <c r="H106" s="117" t="s">
        <v>1</v>
      </c>
      <c r="I106"/>
      <c r="J106"/>
      <c r="K106" s="117" t="s">
        <v>105</v>
      </c>
      <c r="L106">
        <v>5</v>
      </c>
      <c r="M106" s="117" t="s">
        <v>402</v>
      </c>
      <c r="N106" s="117" t="s">
        <v>389</v>
      </c>
      <c r="O106" s="117" t="s">
        <v>50</v>
      </c>
      <c r="P106" s="117" t="s">
        <v>40</v>
      </c>
      <c r="Q106" s="139">
        <v>20010604</v>
      </c>
      <c r="R106" s="117" t="s">
        <v>78</v>
      </c>
      <c r="S106" s="117" t="s">
        <v>109</v>
      </c>
      <c r="T106" s="117"/>
      <c r="U106" s="117" t="s">
        <v>108</v>
      </c>
      <c r="V106" s="12">
        <f>+IFERROR(IF(VLOOKUP(Q106,COMISIONES!$C$2:$K$33,9,0)&gt;=VLOOKUP(TC!Q106,COMISIONES!$C$2:$I$33,7,0),1,0),0)</f>
        <v>0</v>
      </c>
      <c r="W106" s="262">
        <f>+IF(H106="Segunda",VLOOKUP(_xlfn.CONCAT(P106,G106,H106,V106),'PUNTOS 2021'!$E$23:$F$30,2,0),TC!L106)</f>
        <v>5</v>
      </c>
      <c r="X106" s="67">
        <f>+VLOOKUP(Q106,COMISIONES!$C$2:$AO$33,39,0)</f>
        <v>40</v>
      </c>
      <c r="Y106" s="67">
        <f t="shared" si="1"/>
        <v>200</v>
      </c>
      <c r="Z106" s="58" t="s">
        <v>80</v>
      </c>
      <c r="AA106" s="13">
        <f>+VLOOKUP(Q106,COMISIONES!$C$2:$C$33,1,0)</f>
        <v>20010604</v>
      </c>
      <c r="AB106" s="13" t="s">
        <v>269</v>
      </c>
    </row>
    <row r="107" spans="1:28">
      <c r="A107" s="117" t="s">
        <v>821</v>
      </c>
      <c r="B107" s="138">
        <v>45143</v>
      </c>
      <c r="C107" s="117" t="s">
        <v>1137</v>
      </c>
      <c r="D107" s="117" t="s">
        <v>1138</v>
      </c>
      <c r="E107" s="117" t="s">
        <v>1139</v>
      </c>
      <c r="F107" s="117"/>
      <c r="G107" s="117" t="s">
        <v>43</v>
      </c>
      <c r="H107" s="117" t="s">
        <v>2</v>
      </c>
      <c r="I107"/>
      <c r="J107"/>
      <c r="K107" s="117" t="s">
        <v>105</v>
      </c>
      <c r="L107">
        <v>1</v>
      </c>
      <c r="M107" s="117" t="s">
        <v>120</v>
      </c>
      <c r="N107" s="117" t="s">
        <v>21</v>
      </c>
      <c r="O107" s="117" t="s">
        <v>50</v>
      </c>
      <c r="P107" s="117" t="s">
        <v>40</v>
      </c>
      <c r="Q107" s="139">
        <v>20008711</v>
      </c>
      <c r="R107" s="117" t="s">
        <v>78</v>
      </c>
      <c r="S107" s="117" t="s">
        <v>109</v>
      </c>
      <c r="T107" s="117"/>
      <c r="U107" s="117" t="s">
        <v>108</v>
      </c>
      <c r="V107" s="12">
        <f>+IFERROR(IF(VLOOKUP(Q107,COMISIONES!$C$2:$K$33,9,0)&gt;=VLOOKUP(TC!Q107,COMISIONES!$C$2:$I$33,7,0),1,0),0)</f>
        <v>0</v>
      </c>
      <c r="W107" s="262">
        <f>+IF(H107="Segunda",VLOOKUP(_xlfn.CONCAT(P107,G107,H107,V107),'PUNTOS 2021'!$E$23:$F$30,2,0),TC!L107)</f>
        <v>0.5</v>
      </c>
      <c r="X107" s="67">
        <f>+VLOOKUP(Q107,COMISIONES!$C$2:$AO$33,39,0)</f>
        <v>60</v>
      </c>
      <c r="Y107" s="67">
        <f t="shared" si="1"/>
        <v>30</v>
      </c>
      <c r="Z107" s="58" t="s">
        <v>80</v>
      </c>
      <c r="AA107" s="13">
        <f>+VLOOKUP(Q107,COMISIONES!$C$2:$C$33,1,0)</f>
        <v>20008711</v>
      </c>
      <c r="AB107" s="13" t="s">
        <v>269</v>
      </c>
    </row>
    <row r="108" spans="1:28" hidden="1">
      <c r="A108" s="117" t="s">
        <v>821</v>
      </c>
      <c r="B108" s="138">
        <v>45143</v>
      </c>
      <c r="C108" s="117" t="s">
        <v>1140</v>
      </c>
      <c r="D108" s="117" t="s">
        <v>1141</v>
      </c>
      <c r="E108" s="117" t="s">
        <v>1142</v>
      </c>
      <c r="F108" s="117" t="s">
        <v>1143</v>
      </c>
      <c r="G108" s="117" t="s">
        <v>44</v>
      </c>
      <c r="H108" s="117" t="s">
        <v>1</v>
      </c>
      <c r="I108"/>
      <c r="J108"/>
      <c r="K108" s="117" t="s">
        <v>105</v>
      </c>
      <c r="L108">
        <v>5</v>
      </c>
      <c r="M108" s="117" t="s">
        <v>256</v>
      </c>
      <c r="N108" s="117" t="s">
        <v>236</v>
      </c>
      <c r="O108" s="117" t="s">
        <v>49</v>
      </c>
      <c r="P108" s="117" t="s">
        <v>40</v>
      </c>
      <c r="Q108" s="139">
        <v>20010101</v>
      </c>
      <c r="R108" s="117" t="s">
        <v>78</v>
      </c>
      <c r="S108" s="117" t="s">
        <v>109</v>
      </c>
      <c r="T108" s="117"/>
      <c r="U108" s="117" t="s">
        <v>108</v>
      </c>
      <c r="V108" s="12">
        <f>+IFERROR(IF(VLOOKUP(Q108,COMISIONES!$C$2:$K$33,9,0)&gt;=VLOOKUP(TC!Q108,COMISIONES!$C$2:$I$33,7,0),1,0),0)</f>
        <v>0</v>
      </c>
      <c r="W108" s="262">
        <f>+IF(H108="Segunda",VLOOKUP(_xlfn.CONCAT(P108,G108,H108,V108),'PUNTOS 2021'!$E$23:$F$30,2,0),TC!L108)</f>
        <v>5</v>
      </c>
      <c r="X108" s="67">
        <f>+VLOOKUP(Q108,COMISIONES!$C$2:$AO$33,39,0)</f>
        <v>65</v>
      </c>
      <c r="Y108" s="67">
        <f t="shared" si="1"/>
        <v>325</v>
      </c>
      <c r="Z108" s="58" t="s">
        <v>80</v>
      </c>
      <c r="AA108" s="13">
        <f>+VLOOKUP(Q108,COMISIONES!$C$2:$C$33,1,0)</f>
        <v>20010101</v>
      </c>
      <c r="AB108" s="13" t="s">
        <v>269</v>
      </c>
    </row>
    <row r="109" spans="1:28">
      <c r="A109" s="117" t="s">
        <v>821</v>
      </c>
      <c r="B109" s="138">
        <v>45143</v>
      </c>
      <c r="C109" s="117" t="s">
        <v>1144</v>
      </c>
      <c r="D109" s="117" t="s">
        <v>1145</v>
      </c>
      <c r="E109" s="117" t="s">
        <v>1146</v>
      </c>
      <c r="F109" s="117"/>
      <c r="G109" s="117" t="s">
        <v>45</v>
      </c>
      <c r="H109" s="117" t="s">
        <v>2</v>
      </c>
      <c r="I109"/>
      <c r="J109"/>
      <c r="K109" s="117" t="s">
        <v>105</v>
      </c>
      <c r="L109">
        <v>2</v>
      </c>
      <c r="M109" s="117" t="s">
        <v>161</v>
      </c>
      <c r="N109" s="117" t="s">
        <v>158</v>
      </c>
      <c r="O109" s="117" t="s">
        <v>50</v>
      </c>
      <c r="P109" s="117" t="s">
        <v>40</v>
      </c>
      <c r="Q109" s="139">
        <v>20006162</v>
      </c>
      <c r="R109" s="117" t="s">
        <v>78</v>
      </c>
      <c r="S109" s="117" t="s">
        <v>109</v>
      </c>
      <c r="T109" s="117"/>
      <c r="U109" s="117" t="s">
        <v>108</v>
      </c>
      <c r="V109" s="12">
        <f>+IFERROR(IF(VLOOKUP(Q109,COMISIONES!$C$2:$K$33,9,0)&gt;=VLOOKUP(TC!Q109,COMISIONES!$C$2:$I$33,7,0),1,0),0)</f>
        <v>0</v>
      </c>
      <c r="W109" s="262">
        <f>+IF(H109="Segunda",VLOOKUP(_xlfn.CONCAT(P109,G109,H109,V109),'PUNTOS 2021'!$E$23:$F$30,2,0),TC!L109)</f>
        <v>0.5</v>
      </c>
      <c r="X109" s="67">
        <f>+VLOOKUP(Q109,COMISIONES!$C$2:$AO$33,39,0)</f>
        <v>60</v>
      </c>
      <c r="Y109" s="67">
        <f t="shared" si="1"/>
        <v>30</v>
      </c>
      <c r="Z109" s="58" t="s">
        <v>80</v>
      </c>
      <c r="AA109" s="13">
        <f>+VLOOKUP(Q109,COMISIONES!$C$2:$C$33,1,0)</f>
        <v>20006162</v>
      </c>
      <c r="AB109" s="13" t="s">
        <v>269</v>
      </c>
    </row>
    <row r="110" spans="1:28">
      <c r="A110" s="117" t="s">
        <v>821</v>
      </c>
      <c r="B110" s="138">
        <v>45144</v>
      </c>
      <c r="C110" s="117" t="s">
        <v>1147</v>
      </c>
      <c r="D110" s="117" t="s">
        <v>1148</v>
      </c>
      <c r="E110" s="117" t="s">
        <v>1149</v>
      </c>
      <c r="F110" s="117"/>
      <c r="G110" s="117" t="s">
        <v>43</v>
      </c>
      <c r="H110" s="117" t="s">
        <v>2</v>
      </c>
      <c r="I110"/>
      <c r="J110"/>
      <c r="K110" s="117" t="s">
        <v>105</v>
      </c>
      <c r="L110">
        <v>1</v>
      </c>
      <c r="M110" s="117" t="s">
        <v>115</v>
      </c>
      <c r="N110" s="117" t="s">
        <v>6</v>
      </c>
      <c r="O110" s="117" t="s">
        <v>51</v>
      </c>
      <c r="P110" s="117" t="s">
        <v>40</v>
      </c>
      <c r="Q110" s="139">
        <v>20001487</v>
      </c>
      <c r="R110" s="117" t="s">
        <v>78</v>
      </c>
      <c r="S110" s="117" t="s">
        <v>109</v>
      </c>
      <c r="T110" s="117"/>
      <c r="U110" s="117" t="s">
        <v>108</v>
      </c>
      <c r="V110" s="12">
        <f>+IFERROR(IF(VLOOKUP(Q110,COMISIONES!$C$2:$K$33,9,0)&gt;=VLOOKUP(TC!Q110,COMISIONES!$C$2:$I$33,7,0),1,0),0)</f>
        <v>1</v>
      </c>
      <c r="W110" s="262">
        <f>+IF(H110="Segunda",VLOOKUP(_xlfn.CONCAT(P110,G110,H110,V110),'PUNTOS 2021'!$E$23:$F$30,2,0),TC!L110)</f>
        <v>1</v>
      </c>
      <c r="X110" s="67">
        <f>+VLOOKUP(Q110,COMISIONES!$C$2:$AO$33,39,0)</f>
        <v>65</v>
      </c>
      <c r="Y110" s="67">
        <f t="shared" si="1"/>
        <v>65</v>
      </c>
      <c r="Z110" s="58" t="s">
        <v>80</v>
      </c>
      <c r="AA110" s="13">
        <f>+VLOOKUP(Q110,COMISIONES!$C$2:$C$33,1,0)</f>
        <v>20001487</v>
      </c>
      <c r="AB110" s="13" t="s">
        <v>269</v>
      </c>
    </row>
    <row r="111" spans="1:28" hidden="1">
      <c r="A111" s="117" t="s">
        <v>821</v>
      </c>
      <c r="B111" s="138">
        <v>45144</v>
      </c>
      <c r="C111" s="117" t="s">
        <v>1150</v>
      </c>
      <c r="D111" s="117" t="s">
        <v>1151</v>
      </c>
      <c r="E111" s="117" t="s">
        <v>1152</v>
      </c>
      <c r="F111" s="117"/>
      <c r="G111" s="117" t="s">
        <v>45</v>
      </c>
      <c r="H111" s="117" t="s">
        <v>1</v>
      </c>
      <c r="I111"/>
      <c r="J111"/>
      <c r="K111" s="117" t="s">
        <v>105</v>
      </c>
      <c r="L111">
        <v>7</v>
      </c>
      <c r="M111" s="117" t="s">
        <v>272</v>
      </c>
      <c r="N111" s="117" t="s">
        <v>275</v>
      </c>
      <c r="O111" s="117" t="s">
        <v>52</v>
      </c>
      <c r="P111" s="117" t="s">
        <v>40</v>
      </c>
      <c r="Q111" s="139">
        <v>20009688</v>
      </c>
      <c r="R111" s="117" t="s">
        <v>78</v>
      </c>
      <c r="S111" s="117" t="s">
        <v>109</v>
      </c>
      <c r="T111" s="117"/>
      <c r="U111" s="117" t="s">
        <v>108</v>
      </c>
      <c r="V111" s="12">
        <f>+IFERROR(IF(VLOOKUP(Q111,COMISIONES!$C$2:$K$33,9,0)&gt;=VLOOKUP(TC!Q111,COMISIONES!$C$2:$I$33,7,0),1,0),0)</f>
        <v>0</v>
      </c>
      <c r="W111" s="262">
        <f>+IF(H111="Segunda",VLOOKUP(_xlfn.CONCAT(P111,G111,H111,V111),'PUNTOS 2021'!$E$23:$F$30,2,0),TC!L111)</f>
        <v>7</v>
      </c>
      <c r="X111" s="67">
        <f>+VLOOKUP(Q111,COMISIONES!$C$2:$AO$33,39,0)</f>
        <v>30</v>
      </c>
      <c r="Y111" s="67">
        <f t="shared" si="1"/>
        <v>210</v>
      </c>
      <c r="Z111" s="58" t="s">
        <v>80</v>
      </c>
      <c r="AA111" s="13">
        <f>+VLOOKUP(Q111,COMISIONES!$C$2:$C$33,1,0)</f>
        <v>20009688</v>
      </c>
      <c r="AB111" s="13" t="s">
        <v>269</v>
      </c>
    </row>
    <row r="112" spans="1:28">
      <c r="A112" s="117" t="s">
        <v>821</v>
      </c>
      <c r="B112" s="138">
        <v>45144</v>
      </c>
      <c r="C112" s="117" t="s">
        <v>1153</v>
      </c>
      <c r="D112" s="117" t="s">
        <v>1154</v>
      </c>
      <c r="E112" s="117" t="s">
        <v>1155</v>
      </c>
      <c r="F112" s="117"/>
      <c r="G112" s="117" t="s">
        <v>45</v>
      </c>
      <c r="H112" s="117" t="s">
        <v>2</v>
      </c>
      <c r="I112"/>
      <c r="J112"/>
      <c r="K112" s="117" t="s">
        <v>105</v>
      </c>
      <c r="L112">
        <v>2</v>
      </c>
      <c r="M112" s="117" t="s">
        <v>126</v>
      </c>
      <c r="N112" s="117" t="s">
        <v>11</v>
      </c>
      <c r="O112" s="117" t="s">
        <v>49</v>
      </c>
      <c r="P112" s="117" t="s">
        <v>40</v>
      </c>
      <c r="Q112" s="139">
        <v>20004235</v>
      </c>
      <c r="R112" s="117" t="s">
        <v>78</v>
      </c>
      <c r="S112" s="117" t="s">
        <v>109</v>
      </c>
      <c r="T112" s="117"/>
      <c r="U112" s="117" t="s">
        <v>108</v>
      </c>
      <c r="V112" s="12">
        <f>+IFERROR(IF(VLOOKUP(Q112,COMISIONES!$C$2:$K$33,9,0)&gt;=VLOOKUP(TC!Q112,COMISIONES!$C$2:$I$33,7,0),1,0),0)</f>
        <v>0</v>
      </c>
      <c r="W112" s="262">
        <f>+IF(H112="Segunda",VLOOKUP(_xlfn.CONCAT(P112,G112,H112,V112),'PUNTOS 2021'!$E$23:$F$30,2,0),TC!L112)</f>
        <v>0.5</v>
      </c>
      <c r="X112" s="67">
        <f>+VLOOKUP(Q112,COMISIONES!$C$2:$AO$33,39,0)</f>
        <v>40</v>
      </c>
      <c r="Y112" s="67">
        <f t="shared" si="1"/>
        <v>20</v>
      </c>
      <c r="Z112" s="58" t="s">
        <v>80</v>
      </c>
      <c r="AA112" s="13">
        <f>+VLOOKUP(Q112,COMISIONES!$C$2:$C$33,1,0)</f>
        <v>20004235</v>
      </c>
      <c r="AB112" s="13" t="s">
        <v>269</v>
      </c>
    </row>
    <row r="113" spans="1:28" hidden="1">
      <c r="A113" s="117" t="s">
        <v>821</v>
      </c>
      <c r="B113" s="138">
        <v>45144</v>
      </c>
      <c r="C113" s="117" t="s">
        <v>1156</v>
      </c>
      <c r="D113" s="117" t="s">
        <v>1157</v>
      </c>
      <c r="E113" s="117" t="s">
        <v>1158</v>
      </c>
      <c r="F113" s="117"/>
      <c r="G113" s="117" t="s">
        <v>43</v>
      </c>
      <c r="H113" s="117" t="s">
        <v>1</v>
      </c>
      <c r="I113"/>
      <c r="J113"/>
      <c r="K113" s="117" t="s">
        <v>105</v>
      </c>
      <c r="L113">
        <v>3</v>
      </c>
      <c r="M113" s="117" t="s">
        <v>258</v>
      </c>
      <c r="N113" s="117" t="s">
        <v>237</v>
      </c>
      <c r="O113" s="117" t="s">
        <v>51</v>
      </c>
      <c r="P113" s="117" t="s">
        <v>40</v>
      </c>
      <c r="Q113" s="139">
        <v>20006893</v>
      </c>
      <c r="R113" s="117" t="s">
        <v>78</v>
      </c>
      <c r="S113" s="117" t="s">
        <v>109</v>
      </c>
      <c r="T113" s="117"/>
      <c r="U113" s="117" t="s">
        <v>108</v>
      </c>
      <c r="V113" s="12">
        <f>+IFERROR(IF(VLOOKUP(Q113,COMISIONES!$C$2:$K$33,9,0)&gt;=VLOOKUP(TC!Q113,COMISIONES!$C$2:$I$33,7,0),1,0),0)</f>
        <v>0</v>
      </c>
      <c r="W113" s="262">
        <f>+IF(H113="Segunda",VLOOKUP(_xlfn.CONCAT(P113,G113,H113,V113),'PUNTOS 2021'!$E$23:$F$30,2,0),TC!L113)</f>
        <v>3</v>
      </c>
      <c r="X113" s="67">
        <f>+VLOOKUP(Q113,COMISIONES!$C$2:$AO$33,39,0)</f>
        <v>40</v>
      </c>
      <c r="Y113" s="67">
        <f t="shared" si="1"/>
        <v>120</v>
      </c>
      <c r="Z113" s="58" t="s">
        <v>80</v>
      </c>
      <c r="AA113" s="13">
        <f>+VLOOKUP(Q113,COMISIONES!$C$2:$C$33,1,0)</f>
        <v>20006893</v>
      </c>
      <c r="AB113" s="13" t="s">
        <v>269</v>
      </c>
    </row>
    <row r="114" spans="1:28" hidden="1">
      <c r="A114" s="117" t="s">
        <v>821</v>
      </c>
      <c r="B114" s="138">
        <v>45144</v>
      </c>
      <c r="C114" s="117" t="s">
        <v>1159</v>
      </c>
      <c r="D114" s="117" t="s">
        <v>1160</v>
      </c>
      <c r="E114" s="117" t="s">
        <v>1161</v>
      </c>
      <c r="F114" s="117"/>
      <c r="G114" s="117" t="s">
        <v>44</v>
      </c>
      <c r="H114" s="117" t="s">
        <v>1</v>
      </c>
      <c r="I114"/>
      <c r="J114"/>
      <c r="K114" s="117" t="s">
        <v>105</v>
      </c>
      <c r="L114">
        <v>5</v>
      </c>
      <c r="M114" s="117" t="s">
        <v>122</v>
      </c>
      <c r="N114" s="117" t="s">
        <v>5</v>
      </c>
      <c r="O114" s="117" t="s">
        <v>50</v>
      </c>
      <c r="P114" s="117" t="s">
        <v>40</v>
      </c>
      <c r="Q114" s="139">
        <v>20004566</v>
      </c>
      <c r="R114" s="117" t="s">
        <v>78</v>
      </c>
      <c r="S114" s="117" t="s">
        <v>109</v>
      </c>
      <c r="T114" s="117"/>
      <c r="U114" s="117" t="s">
        <v>108</v>
      </c>
      <c r="V114" s="12">
        <f>+IFERROR(IF(VLOOKUP(Q114,COMISIONES!$C$2:$K$33,9,0)&gt;=VLOOKUP(TC!Q114,COMISIONES!$C$2:$I$33,7,0),1,0),0)</f>
        <v>1</v>
      </c>
      <c r="W114" s="262">
        <f>+IF(H114="Segunda",VLOOKUP(_xlfn.CONCAT(P114,G114,H114,V114),'PUNTOS 2021'!$E$23:$F$30,2,0),TC!L114)</f>
        <v>5</v>
      </c>
      <c r="X114" s="67">
        <f>+VLOOKUP(Q114,COMISIONES!$C$2:$AO$33,39,0)</f>
        <v>60</v>
      </c>
      <c r="Y114" s="67">
        <f t="shared" si="1"/>
        <v>300</v>
      </c>
      <c r="Z114" s="58" t="s">
        <v>80</v>
      </c>
      <c r="AA114" s="13">
        <f>+VLOOKUP(Q114,COMISIONES!$C$2:$C$33,1,0)</f>
        <v>20004566</v>
      </c>
      <c r="AB114" s="13" t="s">
        <v>269</v>
      </c>
    </row>
    <row r="115" spans="1:28" hidden="1">
      <c r="A115" s="117" t="s">
        <v>821</v>
      </c>
      <c r="B115" s="138">
        <v>45144</v>
      </c>
      <c r="C115" s="117" t="s">
        <v>1162</v>
      </c>
      <c r="D115" s="117" t="s">
        <v>1163</v>
      </c>
      <c r="E115" s="117" t="s">
        <v>1164</v>
      </c>
      <c r="F115" s="117"/>
      <c r="G115" s="117" t="s">
        <v>44</v>
      </c>
      <c r="H115" s="117" t="s">
        <v>1</v>
      </c>
      <c r="I115"/>
      <c r="J115"/>
      <c r="K115" s="117" t="s">
        <v>105</v>
      </c>
      <c r="L115">
        <v>5</v>
      </c>
      <c r="M115" s="117" t="s">
        <v>273</v>
      </c>
      <c r="N115" s="117" t="s">
        <v>292</v>
      </c>
      <c r="O115" s="117" t="s">
        <v>51</v>
      </c>
      <c r="P115" s="117" t="s">
        <v>40</v>
      </c>
      <c r="Q115" s="139">
        <v>20007943</v>
      </c>
      <c r="R115" s="117" t="s">
        <v>78</v>
      </c>
      <c r="S115" s="117" t="s">
        <v>109</v>
      </c>
      <c r="T115" s="117"/>
      <c r="U115" s="117" t="s">
        <v>108</v>
      </c>
      <c r="V115" s="12">
        <f>+IFERROR(IF(VLOOKUP(Q115,COMISIONES!$C$2:$K$33,9,0)&gt;=VLOOKUP(TC!Q115,COMISIONES!$C$2:$I$33,7,0),1,0),0)</f>
        <v>0</v>
      </c>
      <c r="W115" s="262">
        <f>+IF(H115="Segunda",VLOOKUP(_xlfn.CONCAT(P115,G115,H115,V115),'PUNTOS 2021'!$E$23:$F$30,2,0),TC!L115)</f>
        <v>5</v>
      </c>
      <c r="X115" s="67">
        <f>+VLOOKUP(Q115,COMISIONES!$C$2:$AO$33,39,0)</f>
        <v>20</v>
      </c>
      <c r="Y115" s="67">
        <f t="shared" si="1"/>
        <v>100</v>
      </c>
      <c r="Z115" s="58" t="s">
        <v>80</v>
      </c>
      <c r="AA115" s="13">
        <f>+VLOOKUP(Q115,COMISIONES!$C$2:$C$33,1,0)</f>
        <v>20007943</v>
      </c>
      <c r="AB115" s="13" t="s">
        <v>269</v>
      </c>
    </row>
    <row r="116" spans="1:28">
      <c r="A116" s="117" t="s">
        <v>821</v>
      </c>
      <c r="B116" s="138">
        <v>45144</v>
      </c>
      <c r="C116" s="117" t="s">
        <v>1165</v>
      </c>
      <c r="D116" s="117" t="s">
        <v>1166</v>
      </c>
      <c r="E116" s="117" t="s">
        <v>1167</v>
      </c>
      <c r="F116" s="117"/>
      <c r="G116" s="117" t="s">
        <v>45</v>
      </c>
      <c r="H116" s="117" t="s">
        <v>2</v>
      </c>
      <c r="I116"/>
      <c r="J116"/>
      <c r="K116" s="117" t="s">
        <v>105</v>
      </c>
      <c r="L116">
        <v>2</v>
      </c>
      <c r="M116" s="117" t="s">
        <v>255</v>
      </c>
      <c r="N116" s="117" t="s">
        <v>4</v>
      </c>
      <c r="O116" s="117" t="s">
        <v>51</v>
      </c>
      <c r="P116" s="117" t="s">
        <v>40</v>
      </c>
      <c r="Q116" s="139">
        <v>20000033</v>
      </c>
      <c r="R116" s="117" t="s">
        <v>78</v>
      </c>
      <c r="S116" s="117" t="s">
        <v>109</v>
      </c>
      <c r="T116" s="117"/>
      <c r="U116" s="117" t="s">
        <v>108</v>
      </c>
      <c r="V116" s="12">
        <f>+IFERROR(IF(VLOOKUP(Q116,COMISIONES!$C$2:$K$33,9,0)&gt;=VLOOKUP(TC!Q116,COMISIONES!$C$2:$I$33,7,0),1,0),0)</f>
        <v>1</v>
      </c>
      <c r="W116" s="262">
        <f>+IF(H116="Segunda",VLOOKUP(_xlfn.CONCAT(P116,G116,H116,V116),'PUNTOS 2021'!$E$23:$F$30,2,0),TC!L116)</f>
        <v>2</v>
      </c>
      <c r="X116" s="67">
        <f>+VLOOKUP(Q116,COMISIONES!$C$2:$AO$33,39,0)</f>
        <v>60</v>
      </c>
      <c r="Y116" s="67">
        <f t="shared" si="1"/>
        <v>120</v>
      </c>
      <c r="Z116" s="58" t="s">
        <v>80</v>
      </c>
      <c r="AA116" s="13">
        <f>+VLOOKUP(Q116,COMISIONES!$C$2:$C$33,1,0)</f>
        <v>20000033</v>
      </c>
      <c r="AB116" s="13" t="s">
        <v>269</v>
      </c>
    </row>
    <row r="117" spans="1:28" hidden="1">
      <c r="A117" s="117" t="s">
        <v>821</v>
      </c>
      <c r="B117" s="138">
        <v>45144</v>
      </c>
      <c r="C117" s="117" t="s">
        <v>1168</v>
      </c>
      <c r="D117" s="117" t="s">
        <v>1169</v>
      </c>
      <c r="E117" s="117" t="s">
        <v>1170</v>
      </c>
      <c r="F117" s="117"/>
      <c r="G117" s="117" t="s">
        <v>44</v>
      </c>
      <c r="H117" s="117" t="s">
        <v>1</v>
      </c>
      <c r="I117"/>
      <c r="J117"/>
      <c r="K117" s="117" t="s">
        <v>105</v>
      </c>
      <c r="L117">
        <v>5</v>
      </c>
      <c r="M117" s="117" t="s">
        <v>161</v>
      </c>
      <c r="N117" s="117" t="s">
        <v>158</v>
      </c>
      <c r="O117" s="117" t="s">
        <v>50</v>
      </c>
      <c r="P117" s="117" t="s">
        <v>40</v>
      </c>
      <c r="Q117" s="139">
        <v>20006162</v>
      </c>
      <c r="R117" s="117" t="s">
        <v>78</v>
      </c>
      <c r="S117" s="117" t="s">
        <v>109</v>
      </c>
      <c r="T117" s="117"/>
      <c r="U117" s="117" t="s">
        <v>108</v>
      </c>
      <c r="V117" s="12">
        <f>+IFERROR(IF(VLOOKUP(Q117,COMISIONES!$C$2:$K$33,9,0)&gt;=VLOOKUP(TC!Q117,COMISIONES!$C$2:$I$33,7,0),1,0),0)</f>
        <v>0</v>
      </c>
      <c r="W117" s="262">
        <f>+IF(H117="Segunda",VLOOKUP(_xlfn.CONCAT(P117,G117,H117,V117),'PUNTOS 2021'!$E$23:$F$30,2,0),TC!L117)</f>
        <v>5</v>
      </c>
      <c r="X117" s="67">
        <f>+VLOOKUP(Q117,COMISIONES!$C$2:$AO$33,39,0)</f>
        <v>60</v>
      </c>
      <c r="Y117" s="67">
        <f t="shared" si="1"/>
        <v>300</v>
      </c>
      <c r="Z117" s="58" t="s">
        <v>80</v>
      </c>
      <c r="AA117" s="13">
        <f>+VLOOKUP(Q117,COMISIONES!$C$2:$C$33,1,0)</f>
        <v>20006162</v>
      </c>
      <c r="AB117" s="13" t="s">
        <v>269</v>
      </c>
    </row>
    <row r="118" spans="1:28" hidden="1">
      <c r="A118" s="117" t="s">
        <v>821</v>
      </c>
      <c r="B118" s="138">
        <v>45144</v>
      </c>
      <c r="C118" s="117" t="s">
        <v>1171</v>
      </c>
      <c r="D118" s="117" t="s">
        <v>1172</v>
      </c>
      <c r="E118" s="117" t="s">
        <v>1173</v>
      </c>
      <c r="F118" s="117"/>
      <c r="G118" s="117" t="s">
        <v>45</v>
      </c>
      <c r="H118" s="117" t="s">
        <v>1</v>
      </c>
      <c r="I118"/>
      <c r="J118"/>
      <c r="K118" s="117" t="s">
        <v>105</v>
      </c>
      <c r="L118">
        <v>7</v>
      </c>
      <c r="M118" s="117" t="s">
        <v>402</v>
      </c>
      <c r="N118" s="117" t="s">
        <v>389</v>
      </c>
      <c r="O118" s="117" t="s">
        <v>50</v>
      </c>
      <c r="P118" s="117" t="s">
        <v>40</v>
      </c>
      <c r="Q118" s="139">
        <v>20010604</v>
      </c>
      <c r="R118" s="117" t="s">
        <v>78</v>
      </c>
      <c r="S118" s="117" t="s">
        <v>109</v>
      </c>
      <c r="T118" s="117"/>
      <c r="U118" s="117" t="s">
        <v>108</v>
      </c>
      <c r="V118" s="12">
        <f>+IFERROR(IF(VLOOKUP(Q118,COMISIONES!$C$2:$K$33,9,0)&gt;=VLOOKUP(TC!Q118,COMISIONES!$C$2:$I$33,7,0),1,0),0)</f>
        <v>0</v>
      </c>
      <c r="W118" s="262">
        <f>+IF(H118="Segunda",VLOOKUP(_xlfn.CONCAT(P118,G118,H118,V118),'PUNTOS 2021'!$E$23:$F$30,2,0),TC!L118)</f>
        <v>7</v>
      </c>
      <c r="X118" s="67">
        <f>+VLOOKUP(Q118,COMISIONES!$C$2:$AO$33,39,0)</f>
        <v>40</v>
      </c>
      <c r="Y118" s="67">
        <f t="shared" si="1"/>
        <v>280</v>
      </c>
      <c r="Z118" s="58" t="s">
        <v>80</v>
      </c>
      <c r="AA118" s="13">
        <f>+VLOOKUP(Q118,COMISIONES!$C$2:$C$33,1,0)</f>
        <v>20010604</v>
      </c>
      <c r="AB118" s="13" t="s">
        <v>269</v>
      </c>
    </row>
    <row r="119" spans="1:28" hidden="1">
      <c r="A119" s="117" t="s">
        <v>821</v>
      </c>
      <c r="B119" s="138">
        <v>45144</v>
      </c>
      <c r="C119" s="117" t="s">
        <v>1174</v>
      </c>
      <c r="D119" s="117" t="s">
        <v>1175</v>
      </c>
      <c r="E119" s="117" t="s">
        <v>1176</v>
      </c>
      <c r="F119" s="117" t="s">
        <v>1177</v>
      </c>
      <c r="G119" s="117" t="s">
        <v>44</v>
      </c>
      <c r="H119" s="117" t="s">
        <v>1</v>
      </c>
      <c r="I119"/>
      <c r="J119"/>
      <c r="K119" s="117" t="s">
        <v>105</v>
      </c>
      <c r="L119">
        <v>5</v>
      </c>
      <c r="M119" s="117" t="s">
        <v>121</v>
      </c>
      <c r="N119" s="117" t="s">
        <v>3</v>
      </c>
      <c r="O119" s="117" t="s">
        <v>49</v>
      </c>
      <c r="P119" s="117" t="s">
        <v>40</v>
      </c>
      <c r="Q119" s="139">
        <v>20004161</v>
      </c>
      <c r="R119" s="117" t="s">
        <v>78</v>
      </c>
      <c r="S119" s="117" t="s">
        <v>109</v>
      </c>
      <c r="T119" s="117"/>
      <c r="U119" s="117" t="s">
        <v>108</v>
      </c>
      <c r="V119" s="12">
        <f>+IFERROR(IF(VLOOKUP(Q119,COMISIONES!$C$2:$K$33,9,0)&gt;=VLOOKUP(TC!Q119,COMISIONES!$C$2:$I$33,7,0),1,0),0)</f>
        <v>1</v>
      </c>
      <c r="W119" s="262">
        <f>+IF(H119="Segunda",VLOOKUP(_xlfn.CONCAT(P119,G119,H119,V119),'PUNTOS 2021'!$E$23:$F$30,2,0),TC!L119)</f>
        <v>5</v>
      </c>
      <c r="X119" s="67">
        <f>+VLOOKUP(Q119,COMISIONES!$C$2:$AO$33,39,0)</f>
        <v>65</v>
      </c>
      <c r="Y119" s="67">
        <f t="shared" si="1"/>
        <v>325</v>
      </c>
      <c r="Z119" s="58" t="s">
        <v>80</v>
      </c>
      <c r="AA119" s="13">
        <f>+VLOOKUP(Q119,COMISIONES!$C$2:$C$33,1,0)</f>
        <v>20004161</v>
      </c>
      <c r="AB119" s="13" t="s">
        <v>269</v>
      </c>
    </row>
    <row r="120" spans="1:28" hidden="1">
      <c r="A120" s="117" t="s">
        <v>821</v>
      </c>
      <c r="B120" s="138">
        <v>45144</v>
      </c>
      <c r="C120" s="117" t="s">
        <v>1178</v>
      </c>
      <c r="D120" s="117" t="s">
        <v>1179</v>
      </c>
      <c r="E120" s="117" t="s">
        <v>1180</v>
      </c>
      <c r="F120" s="117"/>
      <c r="G120" s="117" t="s">
        <v>43</v>
      </c>
      <c r="H120" s="117" t="s">
        <v>1</v>
      </c>
      <c r="I120"/>
      <c r="J120"/>
      <c r="K120" s="117" t="s">
        <v>105</v>
      </c>
      <c r="L120">
        <v>3</v>
      </c>
      <c r="M120" s="117" t="s">
        <v>126</v>
      </c>
      <c r="N120" s="117" t="s">
        <v>11</v>
      </c>
      <c r="O120" s="117" t="s">
        <v>49</v>
      </c>
      <c r="P120" s="117" t="s">
        <v>40</v>
      </c>
      <c r="Q120" s="139">
        <v>20004235</v>
      </c>
      <c r="R120" s="117" t="s">
        <v>78</v>
      </c>
      <c r="S120" s="117" t="s">
        <v>109</v>
      </c>
      <c r="T120" s="117"/>
      <c r="U120" s="117" t="s">
        <v>108</v>
      </c>
      <c r="V120" s="12">
        <f>+IFERROR(IF(VLOOKUP(Q120,COMISIONES!$C$2:$K$33,9,0)&gt;=VLOOKUP(TC!Q120,COMISIONES!$C$2:$I$33,7,0),1,0),0)</f>
        <v>0</v>
      </c>
      <c r="W120" s="262">
        <f>+IF(H120="Segunda",VLOOKUP(_xlfn.CONCAT(P120,G120,H120,V120),'PUNTOS 2021'!$E$23:$F$30,2,0),TC!L120)</f>
        <v>3</v>
      </c>
      <c r="X120" s="67">
        <f>+VLOOKUP(Q120,COMISIONES!$C$2:$AO$33,39,0)</f>
        <v>40</v>
      </c>
      <c r="Y120" s="67">
        <f t="shared" si="1"/>
        <v>120</v>
      </c>
      <c r="Z120" s="58" t="s">
        <v>80</v>
      </c>
      <c r="AA120" s="13">
        <f>+VLOOKUP(Q120,COMISIONES!$C$2:$C$33,1,0)</f>
        <v>20004235</v>
      </c>
      <c r="AB120" s="13" t="s">
        <v>269</v>
      </c>
    </row>
    <row r="121" spans="1:28">
      <c r="A121" s="117" t="s">
        <v>821</v>
      </c>
      <c r="B121" s="138">
        <v>45144</v>
      </c>
      <c r="C121" s="117" t="s">
        <v>1181</v>
      </c>
      <c r="D121" s="117" t="s">
        <v>1182</v>
      </c>
      <c r="E121" s="117" t="s">
        <v>1183</v>
      </c>
      <c r="F121" s="117"/>
      <c r="G121" s="117" t="s">
        <v>45</v>
      </c>
      <c r="H121" s="117" t="s">
        <v>2</v>
      </c>
      <c r="I121"/>
      <c r="J121"/>
      <c r="K121" s="117" t="s">
        <v>105</v>
      </c>
      <c r="L121">
        <v>2</v>
      </c>
      <c r="M121" s="117" t="s">
        <v>111</v>
      </c>
      <c r="N121" s="117" t="s">
        <v>14</v>
      </c>
      <c r="O121" s="117" t="s">
        <v>50</v>
      </c>
      <c r="P121" s="117" t="s">
        <v>40</v>
      </c>
      <c r="Q121" s="139">
        <v>20006360</v>
      </c>
      <c r="R121" s="117" t="s">
        <v>78</v>
      </c>
      <c r="S121" s="117" t="s">
        <v>109</v>
      </c>
      <c r="T121" s="117"/>
      <c r="U121" s="117" t="s">
        <v>108</v>
      </c>
      <c r="V121" s="12">
        <f>+IFERROR(IF(VLOOKUP(Q121,COMISIONES!$C$2:$K$33,9,0)&gt;=VLOOKUP(TC!Q121,COMISIONES!$C$2:$I$33,7,0),1,0),0)</f>
        <v>0</v>
      </c>
      <c r="W121" s="262">
        <f>+IF(H121="Segunda",VLOOKUP(_xlfn.CONCAT(P121,G121,H121,V121),'PUNTOS 2021'!$E$23:$F$30,2,0),TC!L121)</f>
        <v>0.5</v>
      </c>
      <c r="X121" s="67">
        <f>+VLOOKUP(Q121,COMISIONES!$C$2:$AO$33,39,0)</f>
        <v>40</v>
      </c>
      <c r="Y121" s="67">
        <f t="shared" si="1"/>
        <v>20</v>
      </c>
      <c r="Z121" s="58" t="s">
        <v>80</v>
      </c>
      <c r="AA121" s="13">
        <f>+VLOOKUP(Q121,COMISIONES!$C$2:$C$33,1,0)</f>
        <v>20006360</v>
      </c>
      <c r="AB121" s="13" t="s">
        <v>269</v>
      </c>
    </row>
    <row r="122" spans="1:28" hidden="1">
      <c r="A122" s="117" t="s">
        <v>821</v>
      </c>
      <c r="B122" s="138">
        <v>45144</v>
      </c>
      <c r="C122" s="117" t="s">
        <v>1184</v>
      </c>
      <c r="D122" s="117" t="s">
        <v>1185</v>
      </c>
      <c r="E122" s="117" t="s">
        <v>1186</v>
      </c>
      <c r="F122" s="117"/>
      <c r="G122" s="117" t="s">
        <v>45</v>
      </c>
      <c r="H122" s="117" t="s">
        <v>1</v>
      </c>
      <c r="I122"/>
      <c r="J122"/>
      <c r="K122" s="117" t="s">
        <v>105</v>
      </c>
      <c r="L122">
        <v>7</v>
      </c>
      <c r="M122" s="117" t="s">
        <v>125</v>
      </c>
      <c r="N122" s="117" t="s">
        <v>18</v>
      </c>
      <c r="O122" s="117" t="s">
        <v>50</v>
      </c>
      <c r="P122" s="117" t="s">
        <v>40</v>
      </c>
      <c r="Q122" s="139">
        <v>20008439</v>
      </c>
      <c r="R122" s="117" t="s">
        <v>78</v>
      </c>
      <c r="S122" s="117" t="s">
        <v>109</v>
      </c>
      <c r="T122" s="117"/>
      <c r="U122" s="117" t="s">
        <v>108</v>
      </c>
      <c r="V122" s="12">
        <f>+IFERROR(IF(VLOOKUP(Q122,COMISIONES!$C$2:$K$33,9,0)&gt;=VLOOKUP(TC!Q122,COMISIONES!$C$2:$I$33,7,0),1,0),0)</f>
        <v>1</v>
      </c>
      <c r="W122" s="262">
        <f>+IF(H122="Segunda",VLOOKUP(_xlfn.CONCAT(P122,G122,H122,V122),'PUNTOS 2021'!$E$23:$F$30,2,0),TC!L122)</f>
        <v>7</v>
      </c>
      <c r="X122" s="67">
        <f>+VLOOKUP(Q122,COMISIONES!$C$2:$AO$33,39,0)</f>
        <v>60</v>
      </c>
      <c r="Y122" s="67">
        <f t="shared" si="1"/>
        <v>420</v>
      </c>
      <c r="Z122" s="58" t="s">
        <v>80</v>
      </c>
      <c r="AA122" s="13">
        <f>+VLOOKUP(Q122,COMISIONES!$C$2:$C$33,1,0)</f>
        <v>20008439</v>
      </c>
      <c r="AB122" s="13" t="s">
        <v>269</v>
      </c>
    </row>
    <row r="123" spans="1:28" hidden="1">
      <c r="A123" s="117" t="s">
        <v>821</v>
      </c>
      <c r="B123" s="138">
        <v>45144</v>
      </c>
      <c r="C123" s="117" t="s">
        <v>1187</v>
      </c>
      <c r="D123" s="117" t="s">
        <v>1188</v>
      </c>
      <c r="E123" s="117" t="s">
        <v>1189</v>
      </c>
      <c r="F123" s="117"/>
      <c r="G123" s="117" t="s">
        <v>45</v>
      </c>
      <c r="H123" s="117" t="s">
        <v>1</v>
      </c>
      <c r="I123"/>
      <c r="J123"/>
      <c r="K123" s="117" t="s">
        <v>105</v>
      </c>
      <c r="L123">
        <v>7</v>
      </c>
      <c r="M123" s="117" t="s">
        <v>259</v>
      </c>
      <c r="N123" s="117" t="s">
        <v>20</v>
      </c>
      <c r="O123" s="117" t="s">
        <v>50</v>
      </c>
      <c r="P123" s="117" t="s">
        <v>40</v>
      </c>
      <c r="Q123" s="139">
        <v>20008700</v>
      </c>
      <c r="R123" s="117" t="s">
        <v>78</v>
      </c>
      <c r="S123" s="117" t="s">
        <v>109</v>
      </c>
      <c r="T123" s="117"/>
      <c r="U123" s="117" t="s">
        <v>108</v>
      </c>
      <c r="V123" s="12">
        <f>+IFERROR(IF(VLOOKUP(Q123,COMISIONES!$C$2:$K$33,9,0)&gt;=VLOOKUP(TC!Q123,COMISIONES!$C$2:$I$33,7,0),1,0),0)</f>
        <v>0</v>
      </c>
      <c r="W123" s="262">
        <f>+IF(H123="Segunda",VLOOKUP(_xlfn.CONCAT(P123,G123,H123,V123),'PUNTOS 2021'!$E$23:$F$30,2,0),TC!L123)</f>
        <v>7</v>
      </c>
      <c r="X123" s="67">
        <f>+VLOOKUP(Q123,COMISIONES!$C$2:$AO$33,39,0)</f>
        <v>40</v>
      </c>
      <c r="Y123" s="67">
        <f t="shared" si="1"/>
        <v>280</v>
      </c>
      <c r="Z123" s="58" t="s">
        <v>80</v>
      </c>
      <c r="AA123" s="13">
        <f>+VLOOKUP(Q123,COMISIONES!$C$2:$C$33,1,0)</f>
        <v>20008700</v>
      </c>
      <c r="AB123" s="13" t="s">
        <v>269</v>
      </c>
    </row>
    <row r="124" spans="1:28" hidden="1">
      <c r="A124" s="117" t="s">
        <v>821</v>
      </c>
      <c r="B124" s="138">
        <v>45144</v>
      </c>
      <c r="C124" s="117" t="s">
        <v>1190</v>
      </c>
      <c r="D124" s="117" t="s">
        <v>1191</v>
      </c>
      <c r="E124" s="117" t="s">
        <v>1192</v>
      </c>
      <c r="F124" s="117"/>
      <c r="G124" s="117" t="s">
        <v>45</v>
      </c>
      <c r="H124" s="117" t="s">
        <v>1</v>
      </c>
      <c r="I124"/>
      <c r="J124"/>
      <c r="K124" s="117" t="s">
        <v>105</v>
      </c>
      <c r="L124">
        <v>7</v>
      </c>
      <c r="M124" s="117" t="s">
        <v>260</v>
      </c>
      <c r="N124" s="117" t="s">
        <v>261</v>
      </c>
      <c r="O124" s="117" t="s">
        <v>52</v>
      </c>
      <c r="P124" s="117" t="s">
        <v>40</v>
      </c>
      <c r="Q124" s="139">
        <v>20010262</v>
      </c>
      <c r="R124" s="117" t="s">
        <v>78</v>
      </c>
      <c r="S124" s="117" t="s">
        <v>109</v>
      </c>
      <c r="T124" s="117"/>
      <c r="U124" s="117" t="s">
        <v>108</v>
      </c>
      <c r="V124" s="12">
        <f>+IFERROR(IF(VLOOKUP(Q124,COMISIONES!$C$2:$K$33,9,0)&gt;=VLOOKUP(TC!Q124,COMISIONES!$C$2:$I$33,7,0),1,0),0)</f>
        <v>0</v>
      </c>
      <c r="W124" s="262">
        <f>+IF(H124="Segunda",VLOOKUP(_xlfn.CONCAT(P124,G124,H124,V124),'PUNTOS 2021'!$E$23:$F$30,2,0),TC!L124)</f>
        <v>7</v>
      </c>
      <c r="X124" s="67">
        <f>+VLOOKUP(Q124,COMISIONES!$C$2:$AO$33,39,0)</f>
        <v>60</v>
      </c>
      <c r="Y124" s="67">
        <f t="shared" si="1"/>
        <v>420</v>
      </c>
      <c r="Z124" s="58" t="s">
        <v>80</v>
      </c>
      <c r="AA124" s="13">
        <f>+VLOOKUP(Q124,COMISIONES!$C$2:$C$33,1,0)</f>
        <v>20010262</v>
      </c>
      <c r="AB124" s="13" t="s">
        <v>269</v>
      </c>
    </row>
    <row r="125" spans="1:28" hidden="1">
      <c r="A125" s="117" t="s">
        <v>821</v>
      </c>
      <c r="B125" s="138">
        <v>45144</v>
      </c>
      <c r="C125" s="117" t="s">
        <v>1193</v>
      </c>
      <c r="D125" s="117" t="s">
        <v>1194</v>
      </c>
      <c r="E125" s="117" t="s">
        <v>1195</v>
      </c>
      <c r="F125" s="117" t="s">
        <v>1196</v>
      </c>
      <c r="G125" s="117" t="s">
        <v>44</v>
      </c>
      <c r="H125" s="117" t="s">
        <v>1</v>
      </c>
      <c r="I125"/>
      <c r="J125"/>
      <c r="K125" s="117" t="s">
        <v>105</v>
      </c>
      <c r="L125">
        <v>5</v>
      </c>
      <c r="M125" s="117" t="s">
        <v>256</v>
      </c>
      <c r="N125" s="117" t="s">
        <v>236</v>
      </c>
      <c r="O125" s="117" t="s">
        <v>49</v>
      </c>
      <c r="P125" s="117" t="s">
        <v>40</v>
      </c>
      <c r="Q125" s="139">
        <v>20010101</v>
      </c>
      <c r="R125" s="117" t="s">
        <v>78</v>
      </c>
      <c r="S125" s="117" t="s">
        <v>109</v>
      </c>
      <c r="T125" s="117"/>
      <c r="U125" s="117" t="s">
        <v>108</v>
      </c>
      <c r="V125" s="12">
        <f>+IFERROR(IF(VLOOKUP(Q125,COMISIONES!$C$2:$K$33,9,0)&gt;=VLOOKUP(TC!Q125,COMISIONES!$C$2:$I$33,7,0),1,0),0)</f>
        <v>0</v>
      </c>
      <c r="W125" s="262">
        <f>+IF(H125="Segunda",VLOOKUP(_xlfn.CONCAT(P125,G125,H125,V125),'PUNTOS 2021'!$E$23:$F$30,2,0),TC!L125)</f>
        <v>5</v>
      </c>
      <c r="X125" s="67">
        <f>+VLOOKUP(Q125,COMISIONES!$C$2:$AO$33,39,0)</f>
        <v>65</v>
      </c>
      <c r="Y125" s="67">
        <f t="shared" si="1"/>
        <v>325</v>
      </c>
      <c r="Z125" s="58" t="s">
        <v>80</v>
      </c>
      <c r="AA125" s="13">
        <f>+VLOOKUP(Q125,COMISIONES!$C$2:$C$33,1,0)</f>
        <v>20010101</v>
      </c>
      <c r="AB125" s="13" t="s">
        <v>269</v>
      </c>
    </row>
    <row r="126" spans="1:28" hidden="1">
      <c r="A126" s="117" t="s">
        <v>821</v>
      </c>
      <c r="B126" s="138">
        <v>45144</v>
      </c>
      <c r="C126" s="117" t="s">
        <v>1197</v>
      </c>
      <c r="D126" s="117" t="s">
        <v>1198</v>
      </c>
      <c r="E126" s="117" t="s">
        <v>1199</v>
      </c>
      <c r="F126" s="117"/>
      <c r="G126" s="117" t="s">
        <v>45</v>
      </c>
      <c r="H126" s="117" t="s">
        <v>1</v>
      </c>
      <c r="I126"/>
      <c r="J126"/>
      <c r="K126" s="117" t="s">
        <v>105</v>
      </c>
      <c r="L126">
        <v>7</v>
      </c>
      <c r="M126" s="117" t="s">
        <v>106</v>
      </c>
      <c r="N126" s="117" t="s">
        <v>8</v>
      </c>
      <c r="O126" s="117" t="s">
        <v>51</v>
      </c>
      <c r="P126" s="117" t="s">
        <v>40</v>
      </c>
      <c r="Q126" s="139">
        <v>20002636</v>
      </c>
      <c r="R126" s="117" t="s">
        <v>78</v>
      </c>
      <c r="S126" s="117" t="s">
        <v>109</v>
      </c>
      <c r="T126" s="117"/>
      <c r="U126" s="117" t="s">
        <v>108</v>
      </c>
      <c r="V126" s="12">
        <f>+IFERROR(IF(VLOOKUP(Q126,COMISIONES!$C$2:$K$33,9,0)&gt;=VLOOKUP(TC!Q126,COMISIONES!$C$2:$I$33,7,0),1,0),0)</f>
        <v>0</v>
      </c>
      <c r="W126" s="262">
        <f>+IF(H126="Segunda",VLOOKUP(_xlfn.CONCAT(P126,G126,H126,V126),'PUNTOS 2021'!$E$23:$F$30,2,0),TC!L126)</f>
        <v>7</v>
      </c>
      <c r="X126" s="67">
        <f>+VLOOKUP(Q126,COMISIONES!$C$2:$AO$33,39,0)</f>
        <v>40</v>
      </c>
      <c r="Y126" s="67">
        <f t="shared" si="1"/>
        <v>280</v>
      </c>
      <c r="Z126" s="58" t="s">
        <v>80</v>
      </c>
      <c r="AA126" s="13">
        <f>+VLOOKUP(Q126,COMISIONES!$C$2:$C$33,1,0)</f>
        <v>20002636</v>
      </c>
      <c r="AB126" s="13" t="s">
        <v>269</v>
      </c>
    </row>
    <row r="127" spans="1:28" hidden="1">
      <c r="A127" s="117" t="s">
        <v>821</v>
      </c>
      <c r="B127" s="138">
        <v>45144</v>
      </c>
      <c r="C127" s="117" t="s">
        <v>1200</v>
      </c>
      <c r="D127" s="117" t="s">
        <v>1201</v>
      </c>
      <c r="E127" s="117" t="s">
        <v>1202</v>
      </c>
      <c r="F127" s="117"/>
      <c r="G127" s="117" t="s">
        <v>45</v>
      </c>
      <c r="H127" s="117" t="s">
        <v>1</v>
      </c>
      <c r="I127"/>
      <c r="J127"/>
      <c r="K127" s="117" t="s">
        <v>105</v>
      </c>
      <c r="L127">
        <v>7</v>
      </c>
      <c r="M127" s="117" t="s">
        <v>161</v>
      </c>
      <c r="N127" s="117" t="s">
        <v>158</v>
      </c>
      <c r="O127" s="117" t="s">
        <v>50</v>
      </c>
      <c r="P127" s="117" t="s">
        <v>40</v>
      </c>
      <c r="Q127" s="139">
        <v>20006162</v>
      </c>
      <c r="R127" s="117" t="s">
        <v>78</v>
      </c>
      <c r="S127" s="117" t="s">
        <v>109</v>
      </c>
      <c r="T127" s="117"/>
      <c r="U127" s="117" t="s">
        <v>108</v>
      </c>
      <c r="V127" s="12">
        <f>+IFERROR(IF(VLOOKUP(Q127,COMISIONES!$C$2:$K$33,9,0)&gt;=VLOOKUP(TC!Q127,COMISIONES!$C$2:$I$33,7,0),1,0),0)</f>
        <v>0</v>
      </c>
      <c r="W127" s="262">
        <f>+IF(H127="Segunda",VLOOKUP(_xlfn.CONCAT(P127,G127,H127,V127),'PUNTOS 2021'!$E$23:$F$30,2,0),TC!L127)</f>
        <v>7</v>
      </c>
      <c r="X127" s="67">
        <f>+VLOOKUP(Q127,COMISIONES!$C$2:$AO$33,39,0)</f>
        <v>60</v>
      </c>
      <c r="Y127" s="67">
        <f t="shared" ref="Y127:Y187" si="2">X127*W127</f>
        <v>420</v>
      </c>
      <c r="Z127" s="58" t="s">
        <v>80</v>
      </c>
      <c r="AA127" s="13">
        <f>+VLOOKUP(Q127,COMISIONES!$C$2:$C$33,1,0)</f>
        <v>20006162</v>
      </c>
      <c r="AB127" s="13" t="s">
        <v>269</v>
      </c>
    </row>
    <row r="128" spans="1:28" hidden="1">
      <c r="A128" s="117" t="s">
        <v>821</v>
      </c>
      <c r="B128" s="138">
        <v>45144</v>
      </c>
      <c r="C128" s="117" t="s">
        <v>1203</v>
      </c>
      <c r="D128" s="117" t="s">
        <v>1204</v>
      </c>
      <c r="E128" s="117" t="s">
        <v>1205</v>
      </c>
      <c r="F128" s="117" t="s">
        <v>1206</v>
      </c>
      <c r="G128" s="117" t="s">
        <v>44</v>
      </c>
      <c r="H128" s="117" t="s">
        <v>1</v>
      </c>
      <c r="I128"/>
      <c r="J128"/>
      <c r="K128" s="117" t="s">
        <v>105</v>
      </c>
      <c r="L128">
        <v>5</v>
      </c>
      <c r="M128" s="117" t="s">
        <v>123</v>
      </c>
      <c r="N128" s="117" t="s">
        <v>23</v>
      </c>
      <c r="O128" s="117" t="s">
        <v>49</v>
      </c>
      <c r="P128" s="117" t="s">
        <v>40</v>
      </c>
      <c r="Q128" s="139">
        <v>20009269</v>
      </c>
      <c r="R128" s="117" t="s">
        <v>78</v>
      </c>
      <c r="S128" s="117" t="s">
        <v>109</v>
      </c>
      <c r="T128" s="117"/>
      <c r="U128" s="117" t="s">
        <v>108</v>
      </c>
      <c r="V128" s="12">
        <f>+IFERROR(IF(VLOOKUP(Q128,COMISIONES!$C$2:$K$33,9,0)&gt;=VLOOKUP(TC!Q128,COMISIONES!$C$2:$I$33,7,0),1,0),0)</f>
        <v>1</v>
      </c>
      <c r="W128" s="262">
        <f>+IF(H128="Segunda",VLOOKUP(_xlfn.CONCAT(P128,G128,H128,V128),'PUNTOS 2021'!$E$23:$F$30,2,0),TC!L128)</f>
        <v>5</v>
      </c>
      <c r="X128" s="67">
        <f>+VLOOKUP(Q128,COMISIONES!$C$2:$AO$33,39,0)</f>
        <v>65</v>
      </c>
      <c r="Y128" s="67">
        <f t="shared" si="2"/>
        <v>325</v>
      </c>
      <c r="Z128" s="58" t="s">
        <v>80</v>
      </c>
      <c r="AA128" s="13">
        <f>+VLOOKUP(Q128,COMISIONES!$C$2:$C$33,1,0)</f>
        <v>20009269</v>
      </c>
      <c r="AB128" s="13" t="s">
        <v>269</v>
      </c>
    </row>
    <row r="129" spans="1:28" hidden="1">
      <c r="A129" s="117" t="s">
        <v>821</v>
      </c>
      <c r="B129" s="138">
        <v>45144</v>
      </c>
      <c r="C129" s="117" t="s">
        <v>1207</v>
      </c>
      <c r="D129" s="117" t="s">
        <v>1208</v>
      </c>
      <c r="E129" s="117" t="s">
        <v>1209</v>
      </c>
      <c r="F129" s="117"/>
      <c r="G129" s="117" t="s">
        <v>44</v>
      </c>
      <c r="H129" s="117" t="s">
        <v>1</v>
      </c>
      <c r="I129"/>
      <c r="J129"/>
      <c r="K129" s="117" t="s">
        <v>105</v>
      </c>
      <c r="L129">
        <v>5</v>
      </c>
      <c r="M129" s="117" t="s">
        <v>122</v>
      </c>
      <c r="N129" s="117" t="s">
        <v>5</v>
      </c>
      <c r="O129" s="117" t="s">
        <v>50</v>
      </c>
      <c r="P129" s="117" t="s">
        <v>40</v>
      </c>
      <c r="Q129" s="139">
        <v>20004566</v>
      </c>
      <c r="R129" s="117" t="s">
        <v>78</v>
      </c>
      <c r="S129" s="117" t="s">
        <v>109</v>
      </c>
      <c r="T129" s="117"/>
      <c r="U129" s="117" t="s">
        <v>108</v>
      </c>
      <c r="V129" s="12">
        <f>+IFERROR(IF(VLOOKUP(Q129,COMISIONES!$C$2:$K$33,9,0)&gt;=VLOOKUP(TC!Q129,COMISIONES!$C$2:$I$33,7,0),1,0),0)</f>
        <v>1</v>
      </c>
      <c r="W129" s="262">
        <f>+IF(H129="Segunda",VLOOKUP(_xlfn.CONCAT(P129,G129,H129,V129),'PUNTOS 2021'!$E$23:$F$30,2,0),TC!L129)</f>
        <v>5</v>
      </c>
      <c r="X129" s="67">
        <f>+VLOOKUP(Q129,COMISIONES!$C$2:$AO$33,39,0)</f>
        <v>60</v>
      </c>
      <c r="Y129" s="67">
        <f t="shared" si="2"/>
        <v>300</v>
      </c>
      <c r="Z129" s="58" t="s">
        <v>80</v>
      </c>
      <c r="AA129" s="13">
        <f>+VLOOKUP(Q129,COMISIONES!$C$2:$C$33,1,0)</f>
        <v>20004566</v>
      </c>
      <c r="AB129" s="13" t="s">
        <v>269</v>
      </c>
    </row>
    <row r="130" spans="1:28" hidden="1">
      <c r="A130" s="117" t="s">
        <v>821</v>
      </c>
      <c r="B130" s="138">
        <v>45144</v>
      </c>
      <c r="C130" s="117" t="s">
        <v>1210</v>
      </c>
      <c r="D130" s="117" t="s">
        <v>1211</v>
      </c>
      <c r="E130" s="117" t="s">
        <v>1212</v>
      </c>
      <c r="F130" s="117"/>
      <c r="G130" s="117" t="s">
        <v>43</v>
      </c>
      <c r="H130" s="117" t="s">
        <v>1</v>
      </c>
      <c r="I130"/>
      <c r="J130"/>
      <c r="K130" s="117" t="s">
        <v>105</v>
      </c>
      <c r="L130">
        <v>3</v>
      </c>
      <c r="M130" s="117" t="s">
        <v>112</v>
      </c>
      <c r="N130" s="117" t="s">
        <v>9</v>
      </c>
      <c r="O130" s="117" t="s">
        <v>51</v>
      </c>
      <c r="P130" s="117" t="s">
        <v>40</v>
      </c>
      <c r="Q130" s="139">
        <v>20004638</v>
      </c>
      <c r="R130" s="117" t="s">
        <v>78</v>
      </c>
      <c r="S130" s="117" t="s">
        <v>109</v>
      </c>
      <c r="T130" s="117"/>
      <c r="U130" s="117" t="s">
        <v>108</v>
      </c>
      <c r="V130" s="12">
        <f>+IFERROR(IF(VLOOKUP(Q130,COMISIONES!$C$2:$K$33,9,0)&gt;=VLOOKUP(TC!Q130,COMISIONES!$C$2:$I$33,7,0),1,0),0)</f>
        <v>0</v>
      </c>
      <c r="W130" s="262">
        <f>+IF(H130="Segunda",VLOOKUP(_xlfn.CONCAT(P130,G130,H130,V130),'PUNTOS 2021'!$E$23:$F$30,2,0),TC!L130)</f>
        <v>3</v>
      </c>
      <c r="X130" s="67">
        <f>+VLOOKUP(Q130,COMISIONES!$C$2:$AO$33,39,0)</f>
        <v>60</v>
      </c>
      <c r="Y130" s="67">
        <f t="shared" si="2"/>
        <v>180</v>
      </c>
      <c r="Z130" s="58" t="s">
        <v>80</v>
      </c>
      <c r="AA130" s="13">
        <f>+VLOOKUP(Q130,COMISIONES!$C$2:$C$33,1,0)</f>
        <v>20004638</v>
      </c>
      <c r="AB130" s="13" t="s">
        <v>269</v>
      </c>
    </row>
    <row r="131" spans="1:28" hidden="1">
      <c r="A131" s="117" t="s">
        <v>821</v>
      </c>
      <c r="B131" s="138">
        <v>45144</v>
      </c>
      <c r="C131" s="117" t="s">
        <v>1213</v>
      </c>
      <c r="D131" s="117" t="s">
        <v>1214</v>
      </c>
      <c r="E131" s="117" t="s">
        <v>1215</v>
      </c>
      <c r="F131" s="117"/>
      <c r="G131" s="117" t="s">
        <v>45</v>
      </c>
      <c r="H131" s="117" t="s">
        <v>1</v>
      </c>
      <c r="I131"/>
      <c r="J131"/>
      <c r="K131" s="117" t="s">
        <v>105</v>
      </c>
      <c r="L131">
        <v>7</v>
      </c>
      <c r="M131" s="117" t="s">
        <v>161</v>
      </c>
      <c r="N131" s="117" t="s">
        <v>158</v>
      </c>
      <c r="O131" s="117" t="s">
        <v>50</v>
      </c>
      <c r="P131" s="117" t="s">
        <v>40</v>
      </c>
      <c r="Q131" s="139">
        <v>20006162</v>
      </c>
      <c r="R131" s="117" t="s">
        <v>78</v>
      </c>
      <c r="S131" s="117" t="s">
        <v>109</v>
      </c>
      <c r="T131" s="117"/>
      <c r="U131" s="117" t="s">
        <v>108</v>
      </c>
      <c r="V131" s="12">
        <f>+IFERROR(IF(VLOOKUP(Q131,COMISIONES!$C$2:$K$33,9,0)&gt;=VLOOKUP(TC!Q131,COMISIONES!$C$2:$I$33,7,0),1,0),0)</f>
        <v>0</v>
      </c>
      <c r="W131" s="262">
        <f>+IF(H131="Segunda",VLOOKUP(_xlfn.CONCAT(P131,G131,H131,V131),'PUNTOS 2021'!$E$23:$F$30,2,0),TC!L131)</f>
        <v>7</v>
      </c>
      <c r="X131" s="67">
        <f>+VLOOKUP(Q131,COMISIONES!$C$2:$AO$33,39,0)</f>
        <v>60</v>
      </c>
      <c r="Y131" s="67">
        <f t="shared" si="2"/>
        <v>420</v>
      </c>
      <c r="Z131" s="58" t="s">
        <v>80</v>
      </c>
      <c r="AA131" s="13">
        <f>+VLOOKUP(Q131,COMISIONES!$C$2:$C$33,1,0)</f>
        <v>20006162</v>
      </c>
      <c r="AB131" s="13" t="s">
        <v>269</v>
      </c>
    </row>
    <row r="132" spans="1:28" hidden="1">
      <c r="A132" s="117" t="s">
        <v>821</v>
      </c>
      <c r="B132" s="138">
        <v>45144</v>
      </c>
      <c r="C132" s="117" t="s">
        <v>1216</v>
      </c>
      <c r="D132" s="117" t="s">
        <v>1217</v>
      </c>
      <c r="E132" s="117" t="s">
        <v>1218</v>
      </c>
      <c r="F132" s="117"/>
      <c r="G132" s="117" t="s">
        <v>45</v>
      </c>
      <c r="H132" s="117" t="s">
        <v>1</v>
      </c>
      <c r="I132"/>
      <c r="J132"/>
      <c r="K132" s="117" t="s">
        <v>105</v>
      </c>
      <c r="L132">
        <v>7</v>
      </c>
      <c r="M132" s="117" t="s">
        <v>115</v>
      </c>
      <c r="N132" s="117" t="s">
        <v>6</v>
      </c>
      <c r="O132" s="117" t="s">
        <v>51</v>
      </c>
      <c r="P132" s="117" t="s">
        <v>40</v>
      </c>
      <c r="Q132" s="139">
        <v>20001487</v>
      </c>
      <c r="R132" s="117" t="s">
        <v>78</v>
      </c>
      <c r="S132" s="117" t="s">
        <v>109</v>
      </c>
      <c r="T132" s="117"/>
      <c r="U132" s="117" t="s">
        <v>108</v>
      </c>
      <c r="V132" s="12">
        <f>+IFERROR(IF(VLOOKUP(Q132,COMISIONES!$C$2:$K$33,9,0)&gt;=VLOOKUP(TC!Q132,COMISIONES!$C$2:$I$33,7,0),1,0),0)</f>
        <v>1</v>
      </c>
      <c r="W132" s="262">
        <f>+IF(H132="Segunda",VLOOKUP(_xlfn.CONCAT(P132,G132,H132,V132),'PUNTOS 2021'!$E$23:$F$30,2,0),TC!L132)</f>
        <v>7</v>
      </c>
      <c r="X132" s="67">
        <f>+VLOOKUP(Q132,COMISIONES!$C$2:$AO$33,39,0)</f>
        <v>65</v>
      </c>
      <c r="Y132" s="67">
        <f t="shared" si="2"/>
        <v>455</v>
      </c>
      <c r="Z132" s="58" t="s">
        <v>80</v>
      </c>
      <c r="AA132" s="13">
        <f>+VLOOKUP(Q132,COMISIONES!$C$2:$C$33,1,0)</f>
        <v>20001487</v>
      </c>
      <c r="AB132" s="13" t="s">
        <v>269</v>
      </c>
    </row>
    <row r="133" spans="1:28">
      <c r="A133" s="117" t="s">
        <v>821</v>
      </c>
      <c r="B133" s="138">
        <v>45144</v>
      </c>
      <c r="C133" s="117" t="s">
        <v>1219</v>
      </c>
      <c r="D133" s="117" t="s">
        <v>1220</v>
      </c>
      <c r="E133" s="117" t="s">
        <v>1221</v>
      </c>
      <c r="F133" s="117" t="s">
        <v>1222</v>
      </c>
      <c r="G133" s="117" t="s">
        <v>43</v>
      </c>
      <c r="H133" s="117" t="s">
        <v>2</v>
      </c>
      <c r="I133"/>
      <c r="J133"/>
      <c r="K133" s="117" t="s">
        <v>105</v>
      </c>
      <c r="L133">
        <v>1</v>
      </c>
      <c r="M133" s="117" t="s">
        <v>123</v>
      </c>
      <c r="N133" s="117" t="s">
        <v>23</v>
      </c>
      <c r="O133" s="117" t="s">
        <v>49</v>
      </c>
      <c r="P133" s="117" t="s">
        <v>40</v>
      </c>
      <c r="Q133" s="139">
        <v>20009269</v>
      </c>
      <c r="R133" s="117" t="s">
        <v>78</v>
      </c>
      <c r="S133" s="117" t="s">
        <v>109</v>
      </c>
      <c r="T133" s="117"/>
      <c r="U133" s="117" t="s">
        <v>108</v>
      </c>
      <c r="V133" s="12">
        <f>+IFERROR(IF(VLOOKUP(Q133,COMISIONES!$C$2:$K$33,9,0)&gt;=VLOOKUP(TC!Q133,COMISIONES!$C$2:$I$33,7,0),1,0),0)</f>
        <v>1</v>
      </c>
      <c r="W133" s="262">
        <f>+IF(H133="Segunda",VLOOKUP(_xlfn.CONCAT(P133,G133,H133,V133),'PUNTOS 2021'!$E$23:$F$30,2,0),TC!L133)</f>
        <v>1</v>
      </c>
      <c r="X133" s="67">
        <f>+VLOOKUP(Q133,COMISIONES!$C$2:$AO$33,39,0)</f>
        <v>65</v>
      </c>
      <c r="Y133" s="67">
        <f t="shared" si="2"/>
        <v>65</v>
      </c>
      <c r="Z133" s="58" t="s">
        <v>80</v>
      </c>
      <c r="AA133" s="13">
        <f>+VLOOKUP(Q133,COMISIONES!$C$2:$C$33,1,0)</f>
        <v>20009269</v>
      </c>
      <c r="AB133" s="13" t="s">
        <v>269</v>
      </c>
    </row>
    <row r="134" spans="1:28" hidden="1">
      <c r="A134" s="117" t="s">
        <v>821</v>
      </c>
      <c r="B134" s="138">
        <v>45144</v>
      </c>
      <c r="C134" s="117" t="s">
        <v>1223</v>
      </c>
      <c r="D134" s="117" t="s">
        <v>1224</v>
      </c>
      <c r="E134" s="117" t="s">
        <v>1225</v>
      </c>
      <c r="F134" s="117" t="s">
        <v>1226</v>
      </c>
      <c r="G134" s="117" t="s">
        <v>44</v>
      </c>
      <c r="H134" s="117" t="s">
        <v>1</v>
      </c>
      <c r="I134"/>
      <c r="J134"/>
      <c r="K134" s="117" t="s">
        <v>105</v>
      </c>
      <c r="L134">
        <v>5</v>
      </c>
      <c r="M134" s="117" t="s">
        <v>121</v>
      </c>
      <c r="N134" s="117" t="s">
        <v>3</v>
      </c>
      <c r="O134" s="117" t="s">
        <v>49</v>
      </c>
      <c r="P134" s="117" t="s">
        <v>40</v>
      </c>
      <c r="Q134" s="139">
        <v>20004161</v>
      </c>
      <c r="R134" s="117" t="s">
        <v>78</v>
      </c>
      <c r="S134" s="117" t="s">
        <v>109</v>
      </c>
      <c r="T134" s="117"/>
      <c r="U134" s="117" t="s">
        <v>108</v>
      </c>
      <c r="V134" s="12">
        <f>+IFERROR(IF(VLOOKUP(Q134,COMISIONES!$C$2:$K$33,9,0)&gt;=VLOOKUP(TC!Q134,COMISIONES!$C$2:$I$33,7,0),1,0),0)</f>
        <v>1</v>
      </c>
      <c r="W134" s="262">
        <f>+IF(H134="Segunda",VLOOKUP(_xlfn.CONCAT(P134,G134,H134,V134),'PUNTOS 2021'!$E$23:$F$30,2,0),TC!L134)</f>
        <v>5</v>
      </c>
      <c r="X134" s="67">
        <f>+VLOOKUP(Q134,COMISIONES!$C$2:$AO$33,39,0)</f>
        <v>65</v>
      </c>
      <c r="Y134" s="67">
        <f t="shared" si="2"/>
        <v>325</v>
      </c>
      <c r="Z134" s="58" t="s">
        <v>80</v>
      </c>
      <c r="AA134" s="13">
        <f>+VLOOKUP(Q134,COMISIONES!$C$2:$C$33,1,0)</f>
        <v>20004161</v>
      </c>
      <c r="AB134" s="13" t="s">
        <v>269</v>
      </c>
    </row>
    <row r="135" spans="1:28" hidden="1">
      <c r="A135" s="117" t="s">
        <v>821</v>
      </c>
      <c r="B135" s="138">
        <v>45144</v>
      </c>
      <c r="C135" s="117" t="s">
        <v>1227</v>
      </c>
      <c r="D135" s="117" t="s">
        <v>1228</v>
      </c>
      <c r="E135" s="117" t="s">
        <v>1229</v>
      </c>
      <c r="F135" s="117"/>
      <c r="G135" s="117" t="s">
        <v>44</v>
      </c>
      <c r="H135" s="117" t="s">
        <v>1</v>
      </c>
      <c r="I135"/>
      <c r="J135"/>
      <c r="K135" s="117" t="s">
        <v>105</v>
      </c>
      <c r="L135">
        <v>5</v>
      </c>
      <c r="M135" s="117" t="s">
        <v>119</v>
      </c>
      <c r="N135" s="117" t="s">
        <v>22</v>
      </c>
      <c r="O135" s="117" t="s">
        <v>52</v>
      </c>
      <c r="P135" s="117" t="s">
        <v>40</v>
      </c>
      <c r="Q135" s="139">
        <v>20009174</v>
      </c>
      <c r="R135" s="117" t="s">
        <v>78</v>
      </c>
      <c r="S135" s="117" t="s">
        <v>109</v>
      </c>
      <c r="T135" s="117"/>
      <c r="U135" s="117" t="s">
        <v>108</v>
      </c>
      <c r="V135" s="12">
        <f>+IFERROR(IF(VLOOKUP(Q135,COMISIONES!$C$2:$K$33,9,0)&gt;=VLOOKUP(TC!Q135,COMISIONES!$C$2:$I$33,7,0),1,0),0)</f>
        <v>0</v>
      </c>
      <c r="W135" s="262">
        <f>+IF(H135="Segunda",VLOOKUP(_xlfn.CONCAT(P135,G135,H135,V135),'PUNTOS 2021'!$E$23:$F$30,2,0),TC!L135)</f>
        <v>5</v>
      </c>
      <c r="X135" s="67">
        <f>+VLOOKUP(Q135,COMISIONES!$C$2:$AO$33,39,0)</f>
        <v>60</v>
      </c>
      <c r="Y135" s="67">
        <f t="shared" si="2"/>
        <v>300</v>
      </c>
      <c r="Z135" s="58" t="s">
        <v>80</v>
      </c>
      <c r="AA135" s="13">
        <f>+VLOOKUP(Q135,COMISIONES!$C$2:$C$33,1,0)</f>
        <v>20009174</v>
      </c>
      <c r="AB135" s="13" t="s">
        <v>269</v>
      </c>
    </row>
    <row r="136" spans="1:28">
      <c r="A136" s="117" t="s">
        <v>821</v>
      </c>
      <c r="B136" s="138">
        <v>45144</v>
      </c>
      <c r="C136" s="117" t="s">
        <v>1230</v>
      </c>
      <c r="D136" s="117" t="s">
        <v>1231</v>
      </c>
      <c r="E136" s="117" t="s">
        <v>1232</v>
      </c>
      <c r="F136" s="117"/>
      <c r="G136" s="117" t="s">
        <v>45</v>
      </c>
      <c r="H136" s="117" t="s">
        <v>2</v>
      </c>
      <c r="I136"/>
      <c r="J136"/>
      <c r="K136" s="117" t="s">
        <v>105</v>
      </c>
      <c r="L136">
        <v>2</v>
      </c>
      <c r="M136" s="117" t="s">
        <v>255</v>
      </c>
      <c r="N136" s="117" t="s">
        <v>4</v>
      </c>
      <c r="O136" s="117" t="s">
        <v>51</v>
      </c>
      <c r="P136" s="117" t="s">
        <v>40</v>
      </c>
      <c r="Q136" s="139">
        <v>20000033</v>
      </c>
      <c r="R136" s="117" t="s">
        <v>78</v>
      </c>
      <c r="S136" s="117" t="s">
        <v>109</v>
      </c>
      <c r="T136" s="117"/>
      <c r="U136" s="117" t="s">
        <v>108</v>
      </c>
      <c r="V136" s="12">
        <f>+IFERROR(IF(VLOOKUP(Q136,COMISIONES!$C$2:$K$33,9,0)&gt;=VLOOKUP(TC!Q136,COMISIONES!$C$2:$I$33,7,0),1,0),0)</f>
        <v>1</v>
      </c>
      <c r="W136" s="262">
        <f>+IF(H136="Segunda",VLOOKUP(_xlfn.CONCAT(P136,G136,H136,V136),'PUNTOS 2021'!$E$23:$F$30,2,0),TC!L136)</f>
        <v>2</v>
      </c>
      <c r="X136" s="67">
        <f>+VLOOKUP(Q136,COMISIONES!$C$2:$AO$33,39,0)</f>
        <v>60</v>
      </c>
      <c r="Y136" s="67">
        <f t="shared" si="2"/>
        <v>120</v>
      </c>
      <c r="Z136" s="58" t="s">
        <v>80</v>
      </c>
      <c r="AA136" s="13">
        <f>+VLOOKUP(Q136,COMISIONES!$C$2:$C$33,1,0)</f>
        <v>20000033</v>
      </c>
      <c r="AB136" s="13" t="s">
        <v>269</v>
      </c>
    </row>
    <row r="137" spans="1:28" hidden="1">
      <c r="A137" s="117" t="s">
        <v>821</v>
      </c>
      <c r="B137" s="138">
        <v>45144</v>
      </c>
      <c r="C137" s="117" t="s">
        <v>1233</v>
      </c>
      <c r="D137" s="117" t="s">
        <v>1234</v>
      </c>
      <c r="E137" s="117" t="s">
        <v>1235</v>
      </c>
      <c r="F137" s="117"/>
      <c r="G137" s="117" t="s">
        <v>44</v>
      </c>
      <c r="H137" s="117" t="s">
        <v>1</v>
      </c>
      <c r="I137"/>
      <c r="J137"/>
      <c r="K137" s="117" t="s">
        <v>105</v>
      </c>
      <c r="L137">
        <v>5</v>
      </c>
      <c r="M137" s="117" t="s">
        <v>122</v>
      </c>
      <c r="N137" s="117" t="s">
        <v>5</v>
      </c>
      <c r="O137" s="117" t="s">
        <v>50</v>
      </c>
      <c r="P137" s="117" t="s">
        <v>40</v>
      </c>
      <c r="Q137" s="139">
        <v>20004566</v>
      </c>
      <c r="R137" s="117" t="s">
        <v>78</v>
      </c>
      <c r="S137" s="117" t="s">
        <v>109</v>
      </c>
      <c r="T137" s="117"/>
      <c r="U137" s="117" t="s">
        <v>108</v>
      </c>
      <c r="V137" s="12">
        <f>+IFERROR(IF(VLOOKUP(Q137,COMISIONES!$C$2:$K$33,9,0)&gt;=VLOOKUP(TC!Q137,COMISIONES!$C$2:$I$33,7,0),1,0),0)</f>
        <v>1</v>
      </c>
      <c r="W137" s="262">
        <f>+IF(H137="Segunda",VLOOKUP(_xlfn.CONCAT(P137,G137,H137,V137),'PUNTOS 2021'!$E$23:$F$30,2,0),TC!L137)</f>
        <v>5</v>
      </c>
      <c r="X137" s="67">
        <f>+VLOOKUP(Q137,COMISIONES!$C$2:$AO$33,39,0)</f>
        <v>60</v>
      </c>
      <c r="Y137" s="67">
        <f t="shared" si="2"/>
        <v>300</v>
      </c>
      <c r="Z137" s="58" t="s">
        <v>80</v>
      </c>
      <c r="AA137" s="13">
        <f>+VLOOKUP(Q137,COMISIONES!$C$2:$C$33,1,0)</f>
        <v>20004566</v>
      </c>
      <c r="AB137" s="13" t="s">
        <v>269</v>
      </c>
    </row>
    <row r="138" spans="1:28" hidden="1">
      <c r="A138" s="117" t="s">
        <v>821</v>
      </c>
      <c r="B138" s="138">
        <v>45144</v>
      </c>
      <c r="C138" s="117" t="s">
        <v>1236</v>
      </c>
      <c r="D138" s="117" t="s">
        <v>1237</v>
      </c>
      <c r="E138" s="117" t="s">
        <v>1238</v>
      </c>
      <c r="F138" s="117"/>
      <c r="G138" s="117" t="s">
        <v>45</v>
      </c>
      <c r="H138" s="117" t="s">
        <v>1</v>
      </c>
      <c r="I138"/>
      <c r="J138"/>
      <c r="K138" s="117" t="s">
        <v>105</v>
      </c>
      <c r="L138">
        <v>7</v>
      </c>
      <c r="M138" s="117" t="s">
        <v>262</v>
      </c>
      <c r="N138" s="117" t="s">
        <v>7</v>
      </c>
      <c r="O138" s="117" t="s">
        <v>52</v>
      </c>
      <c r="P138" s="117" t="s">
        <v>40</v>
      </c>
      <c r="Q138" s="139">
        <v>20007352</v>
      </c>
      <c r="R138" s="117" t="s">
        <v>78</v>
      </c>
      <c r="S138" s="117" t="s">
        <v>109</v>
      </c>
      <c r="T138" s="117"/>
      <c r="U138" s="117" t="s">
        <v>108</v>
      </c>
      <c r="V138" s="12">
        <f>+IFERROR(IF(VLOOKUP(Q138,COMISIONES!$C$2:$K$33,9,0)&gt;=VLOOKUP(TC!Q138,COMISIONES!$C$2:$I$33,7,0),1,0),0)</f>
        <v>0</v>
      </c>
      <c r="W138" s="262">
        <f>+IF(H138="Segunda",VLOOKUP(_xlfn.CONCAT(P138,G138,H138,V138),'PUNTOS 2021'!$E$23:$F$30,2,0),TC!L138)</f>
        <v>7</v>
      </c>
      <c r="X138" s="67">
        <f>+VLOOKUP(Q138,COMISIONES!$C$2:$AO$33,39,0)</f>
        <v>30</v>
      </c>
      <c r="Y138" s="67">
        <f t="shared" si="2"/>
        <v>210</v>
      </c>
      <c r="Z138" s="58" t="s">
        <v>80</v>
      </c>
      <c r="AA138" s="13">
        <f>+VLOOKUP(Q138,COMISIONES!$C$2:$C$33,1,0)</f>
        <v>20007352</v>
      </c>
      <c r="AB138" s="13" t="s">
        <v>269</v>
      </c>
    </row>
    <row r="139" spans="1:28" hidden="1">
      <c r="A139" s="117" t="s">
        <v>821</v>
      </c>
      <c r="B139" s="138">
        <v>45144</v>
      </c>
      <c r="C139" s="117" t="s">
        <v>1239</v>
      </c>
      <c r="D139" s="117" t="s">
        <v>1240</v>
      </c>
      <c r="E139" s="117" t="s">
        <v>1241</v>
      </c>
      <c r="F139" s="117"/>
      <c r="G139" s="117" t="s">
        <v>44</v>
      </c>
      <c r="H139" s="117" t="s">
        <v>1</v>
      </c>
      <c r="I139"/>
      <c r="J139"/>
      <c r="K139" s="117" t="s">
        <v>105</v>
      </c>
      <c r="L139">
        <v>5</v>
      </c>
      <c r="M139" s="117" t="s">
        <v>125</v>
      </c>
      <c r="N139" s="117" t="s">
        <v>18</v>
      </c>
      <c r="O139" s="117" t="s">
        <v>50</v>
      </c>
      <c r="P139" s="117" t="s">
        <v>40</v>
      </c>
      <c r="Q139" s="139">
        <v>20008439</v>
      </c>
      <c r="R139" s="117" t="s">
        <v>78</v>
      </c>
      <c r="S139" s="117" t="s">
        <v>109</v>
      </c>
      <c r="T139" s="117"/>
      <c r="U139" s="117" t="s">
        <v>108</v>
      </c>
      <c r="V139" s="12">
        <f>+IFERROR(IF(VLOOKUP(Q139,COMISIONES!$C$2:$K$33,9,0)&gt;=VLOOKUP(TC!Q139,COMISIONES!$C$2:$I$33,7,0),1,0),0)</f>
        <v>1</v>
      </c>
      <c r="W139" s="262">
        <f>+IF(H139="Segunda",VLOOKUP(_xlfn.CONCAT(P139,G139,H139,V139),'PUNTOS 2021'!$E$23:$F$30,2,0),TC!L139)</f>
        <v>5</v>
      </c>
      <c r="X139" s="67">
        <f>+VLOOKUP(Q139,COMISIONES!$C$2:$AO$33,39,0)</f>
        <v>60</v>
      </c>
      <c r="Y139" s="67">
        <f t="shared" si="2"/>
        <v>300</v>
      </c>
      <c r="Z139" s="58" t="s">
        <v>80</v>
      </c>
      <c r="AA139" s="13">
        <f>+VLOOKUP(Q139,COMISIONES!$C$2:$C$33,1,0)</f>
        <v>20008439</v>
      </c>
      <c r="AB139" s="13" t="s">
        <v>269</v>
      </c>
    </row>
    <row r="140" spans="1:28" hidden="1">
      <c r="A140" s="117" t="s">
        <v>821</v>
      </c>
      <c r="B140" s="138">
        <v>45144</v>
      </c>
      <c r="C140" s="117" t="s">
        <v>1242</v>
      </c>
      <c r="D140" s="117" t="s">
        <v>1243</v>
      </c>
      <c r="E140" s="117" t="s">
        <v>1244</v>
      </c>
      <c r="F140" s="117"/>
      <c r="G140" s="117" t="s">
        <v>44</v>
      </c>
      <c r="H140" s="117" t="s">
        <v>1</v>
      </c>
      <c r="I140"/>
      <c r="J140"/>
      <c r="K140" s="117" t="s">
        <v>105</v>
      </c>
      <c r="L140">
        <v>5</v>
      </c>
      <c r="M140" s="117" t="s">
        <v>257</v>
      </c>
      <c r="N140" s="117" t="s">
        <v>15</v>
      </c>
      <c r="O140" s="117" t="s">
        <v>52</v>
      </c>
      <c r="P140" s="117" t="s">
        <v>40</v>
      </c>
      <c r="Q140" s="139">
        <v>20005527</v>
      </c>
      <c r="R140" s="117" t="s">
        <v>78</v>
      </c>
      <c r="S140" s="117" t="s">
        <v>109</v>
      </c>
      <c r="T140" s="117"/>
      <c r="U140" s="117" t="s">
        <v>108</v>
      </c>
      <c r="V140" s="12">
        <f>+IFERROR(IF(VLOOKUP(Q140,COMISIONES!$C$2:$K$33,9,0)&gt;=VLOOKUP(TC!Q140,COMISIONES!$C$2:$I$33,7,0),1,0),0)</f>
        <v>0</v>
      </c>
      <c r="W140" s="262">
        <f>+IF(H140="Segunda",VLOOKUP(_xlfn.CONCAT(P140,G140,H140,V140),'PUNTOS 2021'!$E$23:$F$30,2,0),TC!L140)</f>
        <v>5</v>
      </c>
      <c r="X140" s="67">
        <f>+VLOOKUP(Q140,COMISIONES!$C$2:$AO$33,39,0)</f>
        <v>40</v>
      </c>
      <c r="Y140" s="67">
        <f t="shared" si="2"/>
        <v>200</v>
      </c>
      <c r="Z140" s="58" t="s">
        <v>80</v>
      </c>
      <c r="AA140" s="13">
        <f>+VLOOKUP(Q140,COMISIONES!$C$2:$C$33,1,0)</f>
        <v>20005527</v>
      </c>
      <c r="AB140" s="13" t="s">
        <v>269</v>
      </c>
    </row>
    <row r="141" spans="1:28" hidden="1">
      <c r="A141" s="117" t="s">
        <v>821</v>
      </c>
      <c r="B141" s="138">
        <v>45144</v>
      </c>
      <c r="C141" s="117" t="s">
        <v>1245</v>
      </c>
      <c r="D141" s="117" t="s">
        <v>1246</v>
      </c>
      <c r="E141" s="117" t="s">
        <v>1247</v>
      </c>
      <c r="F141" s="117"/>
      <c r="G141" s="117" t="s">
        <v>44</v>
      </c>
      <c r="H141" s="117" t="s">
        <v>1</v>
      </c>
      <c r="I141"/>
      <c r="J141"/>
      <c r="K141" s="117" t="s">
        <v>105</v>
      </c>
      <c r="L141">
        <v>5</v>
      </c>
      <c r="M141" s="117" t="s">
        <v>402</v>
      </c>
      <c r="N141" s="117" t="s">
        <v>389</v>
      </c>
      <c r="O141" s="117" t="s">
        <v>50</v>
      </c>
      <c r="P141" s="117" t="s">
        <v>40</v>
      </c>
      <c r="Q141" s="139">
        <v>20010604</v>
      </c>
      <c r="R141" s="117" t="s">
        <v>78</v>
      </c>
      <c r="S141" s="117" t="s">
        <v>109</v>
      </c>
      <c r="T141" s="117"/>
      <c r="U141" s="117" t="s">
        <v>108</v>
      </c>
      <c r="V141" s="12">
        <f>+IFERROR(IF(VLOOKUP(Q141,COMISIONES!$C$2:$K$33,9,0)&gt;=VLOOKUP(TC!Q141,COMISIONES!$C$2:$I$33,7,0),1,0),0)</f>
        <v>0</v>
      </c>
      <c r="W141" s="262">
        <f>+IF(H141="Segunda",VLOOKUP(_xlfn.CONCAT(P141,G141,H141,V141),'PUNTOS 2021'!$E$23:$F$30,2,0),TC!L141)</f>
        <v>5</v>
      </c>
      <c r="X141" s="67">
        <f>+VLOOKUP(Q141,COMISIONES!$C$2:$AO$33,39,0)</f>
        <v>40</v>
      </c>
      <c r="Y141" s="67">
        <f t="shared" si="2"/>
        <v>200</v>
      </c>
      <c r="Z141" s="58" t="s">
        <v>80</v>
      </c>
      <c r="AA141" s="13">
        <f>+VLOOKUP(Q141,COMISIONES!$C$2:$C$33,1,0)</f>
        <v>20010604</v>
      </c>
      <c r="AB141" s="13" t="s">
        <v>269</v>
      </c>
    </row>
    <row r="142" spans="1:28" hidden="1">
      <c r="A142" s="117" t="s">
        <v>821</v>
      </c>
      <c r="B142" s="138">
        <v>45145</v>
      </c>
      <c r="C142" s="117" t="s">
        <v>1248</v>
      </c>
      <c r="D142" s="117" t="s">
        <v>1249</v>
      </c>
      <c r="E142" s="117" t="s">
        <v>1250</v>
      </c>
      <c r="F142" s="117"/>
      <c r="G142" s="117" t="s">
        <v>45</v>
      </c>
      <c r="H142" s="117" t="s">
        <v>1</v>
      </c>
      <c r="I142"/>
      <c r="J142"/>
      <c r="K142" s="117" t="s">
        <v>105</v>
      </c>
      <c r="L142">
        <v>7</v>
      </c>
      <c r="M142" s="117" t="s">
        <v>110</v>
      </c>
      <c r="N142" s="117" t="s">
        <v>10</v>
      </c>
      <c r="O142" s="117" t="s">
        <v>51</v>
      </c>
      <c r="P142" s="117" t="s">
        <v>40</v>
      </c>
      <c r="Q142" s="139">
        <v>20000661</v>
      </c>
      <c r="R142" s="117" t="s">
        <v>78</v>
      </c>
      <c r="S142" s="117" t="s">
        <v>109</v>
      </c>
      <c r="T142" s="117" t="s">
        <v>1251</v>
      </c>
      <c r="U142" s="117" t="s">
        <v>108</v>
      </c>
      <c r="V142" s="12">
        <f>+IFERROR(IF(VLOOKUP(Q142,COMISIONES!$C$2:$K$33,9,0)&gt;=VLOOKUP(TC!Q142,COMISIONES!$C$2:$I$33,7,0),1,0),0)</f>
        <v>1</v>
      </c>
      <c r="W142" s="262">
        <f>+IF(H142="Segunda",VLOOKUP(_xlfn.CONCAT(P142,G142,H142,V142),'PUNTOS 2021'!$E$23:$F$30,2,0),TC!L142)</f>
        <v>7</v>
      </c>
      <c r="X142" s="67">
        <f>+VLOOKUP(Q142,COMISIONES!$C$2:$AO$33,39,0)</f>
        <v>60</v>
      </c>
      <c r="Y142" s="67">
        <f t="shared" si="2"/>
        <v>420</v>
      </c>
      <c r="Z142" s="58" t="s">
        <v>80</v>
      </c>
      <c r="AA142" s="13">
        <f>+VLOOKUP(Q142,COMISIONES!$C$2:$C$33,1,0)</f>
        <v>20000661</v>
      </c>
      <c r="AB142" s="13" t="s">
        <v>269</v>
      </c>
    </row>
    <row r="143" spans="1:28" hidden="1">
      <c r="A143" s="117" t="s">
        <v>821</v>
      </c>
      <c r="B143" s="138">
        <v>45145</v>
      </c>
      <c r="C143" s="117" t="s">
        <v>1252</v>
      </c>
      <c r="D143" s="117" t="s">
        <v>1253</v>
      </c>
      <c r="E143" s="117" t="s">
        <v>1254</v>
      </c>
      <c r="F143" s="117"/>
      <c r="G143" s="117" t="s">
        <v>44</v>
      </c>
      <c r="H143" s="117" t="s">
        <v>1</v>
      </c>
      <c r="I143"/>
      <c r="J143"/>
      <c r="K143" s="117" t="s">
        <v>105</v>
      </c>
      <c r="L143">
        <v>5</v>
      </c>
      <c r="M143" s="117" t="s">
        <v>113</v>
      </c>
      <c r="N143" s="117" t="s">
        <v>12</v>
      </c>
      <c r="O143" s="117" t="s">
        <v>49</v>
      </c>
      <c r="P143" s="117" t="s">
        <v>40</v>
      </c>
      <c r="Q143" s="139">
        <v>20007726</v>
      </c>
      <c r="R143" s="117" t="s">
        <v>78</v>
      </c>
      <c r="S143" s="117" t="s">
        <v>109</v>
      </c>
      <c r="T143" s="117"/>
      <c r="U143" s="117" t="s">
        <v>108</v>
      </c>
      <c r="V143" s="12">
        <f>+IFERROR(IF(VLOOKUP(Q143,COMISIONES!$C$2:$K$33,9,0)&gt;=VLOOKUP(TC!Q143,COMISIONES!$C$2:$I$33,7,0),1,0),0)</f>
        <v>1</v>
      </c>
      <c r="W143" s="262">
        <f>+IF(H143="Segunda",VLOOKUP(_xlfn.CONCAT(P143,G143,H143,V143),'PUNTOS 2021'!$E$23:$F$30,2,0),TC!L143)</f>
        <v>5</v>
      </c>
      <c r="X143" s="67">
        <f>+VLOOKUP(Q143,COMISIONES!$C$2:$AO$33,39,0)</f>
        <v>65</v>
      </c>
      <c r="Y143" s="67">
        <f t="shared" si="2"/>
        <v>325</v>
      </c>
      <c r="Z143" s="58" t="s">
        <v>80</v>
      </c>
      <c r="AA143" s="13">
        <f>+VLOOKUP(Q143,COMISIONES!$C$2:$C$33,1,0)</f>
        <v>20007726</v>
      </c>
      <c r="AB143" s="13" t="s">
        <v>269</v>
      </c>
    </row>
    <row r="144" spans="1:28" hidden="1">
      <c r="A144" s="117" t="s">
        <v>821</v>
      </c>
      <c r="B144" s="138">
        <v>45145</v>
      </c>
      <c r="C144" s="117" t="s">
        <v>1255</v>
      </c>
      <c r="D144" s="117" t="s">
        <v>1256</v>
      </c>
      <c r="E144" s="117" t="s">
        <v>1257</v>
      </c>
      <c r="F144" s="117"/>
      <c r="G144" s="117" t="s">
        <v>44</v>
      </c>
      <c r="H144" s="117" t="s">
        <v>1</v>
      </c>
      <c r="I144"/>
      <c r="J144"/>
      <c r="K144" s="117" t="s">
        <v>105</v>
      </c>
      <c r="L144">
        <v>5</v>
      </c>
      <c r="M144" s="117" t="s">
        <v>114</v>
      </c>
      <c r="N144" s="117" t="s">
        <v>19</v>
      </c>
      <c r="O144" s="117" t="s">
        <v>49</v>
      </c>
      <c r="P144" s="117" t="s">
        <v>40</v>
      </c>
      <c r="Q144" s="139">
        <v>20008625</v>
      </c>
      <c r="R144" s="117" t="s">
        <v>78</v>
      </c>
      <c r="S144" s="117" t="s">
        <v>109</v>
      </c>
      <c r="T144" s="117"/>
      <c r="U144" s="117" t="s">
        <v>108</v>
      </c>
      <c r="V144" s="12">
        <f>+IFERROR(IF(VLOOKUP(Q144,COMISIONES!$C$2:$K$33,9,0)&gt;=VLOOKUP(TC!Q144,COMISIONES!$C$2:$I$33,7,0),1,0),0)</f>
        <v>0</v>
      </c>
      <c r="W144" s="262">
        <f>+IF(H144="Segunda",VLOOKUP(_xlfn.CONCAT(P144,G144,H144,V144),'PUNTOS 2021'!$E$23:$F$30,2,0),TC!L144)</f>
        <v>5</v>
      </c>
      <c r="X144" s="67">
        <f>+VLOOKUP(Q144,COMISIONES!$C$2:$AO$33,39,0)</f>
        <v>20</v>
      </c>
      <c r="Y144" s="67">
        <f t="shared" si="2"/>
        <v>100</v>
      </c>
      <c r="Z144" s="58" t="s">
        <v>80</v>
      </c>
      <c r="AA144" s="13">
        <f>+VLOOKUP(Q144,COMISIONES!$C$2:$C$33,1,0)</f>
        <v>20008625</v>
      </c>
      <c r="AB144" s="13" t="s">
        <v>269</v>
      </c>
    </row>
    <row r="145" spans="1:28" hidden="1">
      <c r="A145" s="117" t="s">
        <v>821</v>
      </c>
      <c r="B145" s="138">
        <v>45145</v>
      </c>
      <c r="C145" s="117" t="s">
        <v>1258</v>
      </c>
      <c r="D145" s="117" t="s">
        <v>1259</v>
      </c>
      <c r="E145" s="117" t="s">
        <v>1260</v>
      </c>
      <c r="F145" s="117"/>
      <c r="G145" s="117" t="s">
        <v>44</v>
      </c>
      <c r="H145" s="117" t="s">
        <v>1</v>
      </c>
      <c r="I145"/>
      <c r="J145"/>
      <c r="K145" s="117" t="s">
        <v>129</v>
      </c>
      <c r="L145">
        <v>5</v>
      </c>
      <c r="M145" s="117" t="s">
        <v>272</v>
      </c>
      <c r="N145" s="117" t="s">
        <v>275</v>
      </c>
      <c r="O145" s="117" t="s">
        <v>52</v>
      </c>
      <c r="P145" s="117" t="s">
        <v>40</v>
      </c>
      <c r="Q145" s="139">
        <v>20009688</v>
      </c>
      <c r="R145" s="117" t="s">
        <v>78</v>
      </c>
      <c r="S145" s="117" t="s">
        <v>109</v>
      </c>
      <c r="T145" s="117" t="s">
        <v>109</v>
      </c>
      <c r="U145" s="117" t="s">
        <v>128</v>
      </c>
      <c r="V145" s="12">
        <f>+IFERROR(IF(VLOOKUP(Q145,COMISIONES!$C$2:$K$33,9,0)&gt;=VLOOKUP(TC!Q145,COMISIONES!$C$2:$I$33,7,0),1,0),0)</f>
        <v>0</v>
      </c>
      <c r="W145" s="262">
        <f>+IF(H145="Segunda",VLOOKUP(_xlfn.CONCAT(P145,G145,H145,V145),'PUNTOS 2021'!$E$23:$F$30,2,0),TC!L145)</f>
        <v>5</v>
      </c>
      <c r="X145" s="67">
        <f>+VLOOKUP(Q145,COMISIONES!$C$2:$AO$33,39,0)</f>
        <v>30</v>
      </c>
      <c r="Y145" s="67">
        <f t="shared" si="2"/>
        <v>150</v>
      </c>
      <c r="Z145" s="58" t="s">
        <v>80</v>
      </c>
      <c r="AA145" s="13">
        <f>+VLOOKUP(Q145,COMISIONES!$C$2:$C$33,1,0)</f>
        <v>20009688</v>
      </c>
      <c r="AB145" s="13" t="s">
        <v>269</v>
      </c>
    </row>
    <row r="146" spans="1:28" hidden="1">
      <c r="A146" s="117" t="s">
        <v>821</v>
      </c>
      <c r="B146" s="138">
        <v>45145</v>
      </c>
      <c r="C146" s="117" t="s">
        <v>1261</v>
      </c>
      <c r="D146" s="117" t="s">
        <v>1262</v>
      </c>
      <c r="E146" s="117" t="s">
        <v>1263</v>
      </c>
      <c r="F146" s="117"/>
      <c r="G146" s="117" t="s">
        <v>43</v>
      </c>
      <c r="H146" s="117" t="s">
        <v>1</v>
      </c>
      <c r="I146"/>
      <c r="J146"/>
      <c r="K146" s="117" t="s">
        <v>129</v>
      </c>
      <c r="L146">
        <v>3</v>
      </c>
      <c r="M146" s="117" t="s">
        <v>124</v>
      </c>
      <c r="N146" s="117" t="s">
        <v>17</v>
      </c>
      <c r="O146" s="117" t="s">
        <v>52</v>
      </c>
      <c r="P146" s="117" t="s">
        <v>40</v>
      </c>
      <c r="Q146" s="139">
        <v>20006233</v>
      </c>
      <c r="R146" s="117" t="s">
        <v>78</v>
      </c>
      <c r="S146" s="117" t="s">
        <v>109</v>
      </c>
      <c r="T146" s="117" t="s">
        <v>109</v>
      </c>
      <c r="U146" s="117" t="s">
        <v>128</v>
      </c>
      <c r="V146" s="12">
        <f>+IFERROR(IF(VLOOKUP(Q146,COMISIONES!$C$2:$K$33,9,0)&gt;=VLOOKUP(TC!Q146,COMISIONES!$C$2:$I$33,7,0),1,0),0)</f>
        <v>0</v>
      </c>
      <c r="W146" s="262">
        <f>+IF(H146="Segunda",VLOOKUP(_xlfn.CONCAT(P146,G146,H146,V146),'PUNTOS 2021'!$E$23:$F$30,2,0),TC!L146)</f>
        <v>3</v>
      </c>
      <c r="X146" s="67">
        <f>+VLOOKUP(Q146,COMISIONES!$C$2:$AO$33,39,0)</f>
        <v>40</v>
      </c>
      <c r="Y146" s="67">
        <f t="shared" si="2"/>
        <v>120</v>
      </c>
      <c r="Z146" s="58" t="s">
        <v>80</v>
      </c>
      <c r="AA146" s="13">
        <f>+VLOOKUP(Q146,COMISIONES!$C$2:$C$33,1,0)</f>
        <v>20006233</v>
      </c>
      <c r="AB146" s="13" t="s">
        <v>269</v>
      </c>
    </row>
    <row r="147" spans="1:28" hidden="1">
      <c r="A147" s="117" t="s">
        <v>821</v>
      </c>
      <c r="B147" s="138">
        <v>45145</v>
      </c>
      <c r="C147" s="117" t="s">
        <v>1264</v>
      </c>
      <c r="D147" s="117" t="s">
        <v>1265</v>
      </c>
      <c r="E147" s="117" t="s">
        <v>1266</v>
      </c>
      <c r="F147" s="117"/>
      <c r="G147" s="117" t="s">
        <v>43</v>
      </c>
      <c r="H147" s="117" t="s">
        <v>1</v>
      </c>
      <c r="I147"/>
      <c r="J147"/>
      <c r="K147" s="117" t="s">
        <v>129</v>
      </c>
      <c r="L147">
        <v>3</v>
      </c>
      <c r="M147" s="117" t="s">
        <v>270</v>
      </c>
      <c r="N147" s="117" t="s">
        <v>271</v>
      </c>
      <c r="O147" s="117" t="s">
        <v>52</v>
      </c>
      <c r="P147" s="117" t="s">
        <v>40</v>
      </c>
      <c r="Q147" s="139">
        <v>20009592</v>
      </c>
      <c r="R147" s="117" t="s">
        <v>78</v>
      </c>
      <c r="S147" s="117" t="s">
        <v>109</v>
      </c>
      <c r="T147" s="117" t="s">
        <v>109</v>
      </c>
      <c r="U147" s="117" t="s">
        <v>128</v>
      </c>
      <c r="V147" s="12">
        <f>+IFERROR(IF(VLOOKUP(Q147,COMISIONES!$C$2:$K$33,9,0)&gt;=VLOOKUP(TC!Q147,COMISIONES!$C$2:$I$33,7,0),1,0),0)</f>
        <v>1</v>
      </c>
      <c r="W147" s="262">
        <f>+IF(H147="Segunda",VLOOKUP(_xlfn.CONCAT(P147,G147,H147,V147),'PUNTOS 2021'!$E$23:$F$30,2,0),TC!L147)</f>
        <v>3</v>
      </c>
      <c r="X147" s="67">
        <v>0</v>
      </c>
      <c r="Y147" s="67">
        <f t="shared" si="2"/>
        <v>0</v>
      </c>
      <c r="Z147" s="58" t="s">
        <v>80</v>
      </c>
      <c r="AB147" s="13" t="s">
        <v>269</v>
      </c>
    </row>
    <row r="148" spans="1:28" hidden="1">
      <c r="A148" s="117" t="s">
        <v>821</v>
      </c>
      <c r="B148" s="138">
        <v>45145</v>
      </c>
      <c r="C148" s="117" t="s">
        <v>1267</v>
      </c>
      <c r="D148" s="117" t="s">
        <v>1268</v>
      </c>
      <c r="E148" s="117" t="s">
        <v>1269</v>
      </c>
      <c r="F148" s="117"/>
      <c r="G148" s="117" t="s">
        <v>43</v>
      </c>
      <c r="H148" s="117" t="s">
        <v>1</v>
      </c>
      <c r="I148"/>
      <c r="J148"/>
      <c r="K148" s="117" t="s">
        <v>129</v>
      </c>
      <c r="L148">
        <v>3</v>
      </c>
      <c r="M148" s="117" t="s">
        <v>260</v>
      </c>
      <c r="N148" s="117" t="s">
        <v>261</v>
      </c>
      <c r="O148" s="117" t="s">
        <v>52</v>
      </c>
      <c r="P148" s="117" t="s">
        <v>40</v>
      </c>
      <c r="Q148" s="139">
        <v>20010262</v>
      </c>
      <c r="R148" s="117" t="s">
        <v>78</v>
      </c>
      <c r="S148" s="117" t="s">
        <v>109</v>
      </c>
      <c r="T148" s="117" t="s">
        <v>109</v>
      </c>
      <c r="U148" s="117" t="s">
        <v>128</v>
      </c>
      <c r="V148" s="12">
        <f>+IFERROR(IF(VLOOKUP(Q148,COMISIONES!$C$2:$K$33,9,0)&gt;=VLOOKUP(TC!Q148,COMISIONES!$C$2:$I$33,7,0),1,0),0)</f>
        <v>0</v>
      </c>
      <c r="W148" s="262">
        <f>+IF(H148="Segunda",VLOOKUP(_xlfn.CONCAT(P148,G148,H148,V148),'PUNTOS 2021'!$E$23:$F$30,2,0),TC!L148)</f>
        <v>3</v>
      </c>
      <c r="X148" s="67">
        <f>+VLOOKUP(Q148,COMISIONES!$C$2:$AO$33,39,0)</f>
        <v>60</v>
      </c>
      <c r="Y148" s="67">
        <f t="shared" si="2"/>
        <v>180</v>
      </c>
      <c r="Z148" s="58" t="s">
        <v>80</v>
      </c>
      <c r="AA148" s="13">
        <f>+VLOOKUP(Q148,COMISIONES!$C$2:$C$33,1,0)</f>
        <v>20010262</v>
      </c>
      <c r="AB148" s="13" t="s">
        <v>269</v>
      </c>
    </row>
    <row r="149" spans="1:28" hidden="1">
      <c r="A149" s="117" t="s">
        <v>821</v>
      </c>
      <c r="B149" s="138">
        <v>45145</v>
      </c>
      <c r="C149" s="117" t="s">
        <v>1270</v>
      </c>
      <c r="D149" s="117" t="s">
        <v>1271</v>
      </c>
      <c r="E149" s="117" t="s">
        <v>1272</v>
      </c>
      <c r="F149" s="117"/>
      <c r="G149" s="117" t="s">
        <v>43</v>
      </c>
      <c r="H149" s="117" t="s">
        <v>1</v>
      </c>
      <c r="I149"/>
      <c r="J149"/>
      <c r="K149" s="117" t="s">
        <v>129</v>
      </c>
      <c r="L149">
        <v>3</v>
      </c>
      <c r="M149" s="117" t="s">
        <v>260</v>
      </c>
      <c r="N149" s="117" t="s">
        <v>261</v>
      </c>
      <c r="O149" s="117" t="s">
        <v>52</v>
      </c>
      <c r="P149" s="117" t="s">
        <v>40</v>
      </c>
      <c r="Q149" s="139">
        <v>20010262</v>
      </c>
      <c r="R149" s="117" t="s">
        <v>78</v>
      </c>
      <c r="S149" s="117" t="s">
        <v>109</v>
      </c>
      <c r="T149" s="117" t="s">
        <v>109</v>
      </c>
      <c r="U149" s="117" t="s">
        <v>128</v>
      </c>
      <c r="V149" s="12">
        <f>+IFERROR(IF(VLOOKUP(Q149,COMISIONES!$C$2:$K$33,9,0)&gt;=VLOOKUP(TC!Q149,COMISIONES!$C$2:$I$33,7,0),1,0),0)</f>
        <v>0</v>
      </c>
      <c r="W149" s="262">
        <f>+IF(H149="Segunda",VLOOKUP(_xlfn.CONCAT(P149,G149,H149,V149),'PUNTOS 2021'!$E$23:$F$30,2,0),TC!L149)</f>
        <v>3</v>
      </c>
      <c r="X149" s="67">
        <f>+VLOOKUP(Q149,COMISIONES!$C$2:$AO$33,39,0)</f>
        <v>60</v>
      </c>
      <c r="Y149" s="67">
        <f t="shared" si="2"/>
        <v>180</v>
      </c>
      <c r="Z149" s="58" t="s">
        <v>80</v>
      </c>
      <c r="AA149" s="13">
        <f>+VLOOKUP(Q149,COMISIONES!$C$2:$C$33,1,0)</f>
        <v>20010262</v>
      </c>
      <c r="AB149" s="13" t="s">
        <v>269</v>
      </c>
    </row>
    <row r="150" spans="1:28" hidden="1">
      <c r="A150" s="117" t="s">
        <v>821</v>
      </c>
      <c r="B150" s="138">
        <v>45145</v>
      </c>
      <c r="C150" s="117" t="s">
        <v>1273</v>
      </c>
      <c r="D150" s="117" t="s">
        <v>1274</v>
      </c>
      <c r="E150" s="117" t="s">
        <v>1275</v>
      </c>
      <c r="F150" s="117"/>
      <c r="G150" s="117" t="s">
        <v>43</v>
      </c>
      <c r="H150" s="117" t="s">
        <v>1</v>
      </c>
      <c r="I150"/>
      <c r="J150"/>
      <c r="K150" s="117" t="s">
        <v>105</v>
      </c>
      <c r="L150">
        <v>3</v>
      </c>
      <c r="M150" s="117" t="s">
        <v>121</v>
      </c>
      <c r="N150" s="117" t="s">
        <v>3</v>
      </c>
      <c r="O150" s="117" t="s">
        <v>49</v>
      </c>
      <c r="P150" s="117" t="s">
        <v>40</v>
      </c>
      <c r="Q150" s="139">
        <v>20004161</v>
      </c>
      <c r="R150" s="117" t="s">
        <v>78</v>
      </c>
      <c r="S150" s="117" t="s">
        <v>109</v>
      </c>
      <c r="T150" s="117" t="s">
        <v>109</v>
      </c>
      <c r="U150" s="117" t="s">
        <v>128</v>
      </c>
      <c r="V150" s="12">
        <f>+IFERROR(IF(VLOOKUP(Q150,COMISIONES!$C$2:$K$33,9,0)&gt;=VLOOKUP(TC!Q150,COMISIONES!$C$2:$I$33,7,0),1,0),0)</f>
        <v>1</v>
      </c>
      <c r="W150" s="262">
        <f>+IF(H150="Segunda",VLOOKUP(_xlfn.CONCAT(P150,G150,H150,V150),'PUNTOS 2021'!$E$23:$F$30,2,0),TC!L150)</f>
        <v>3</v>
      </c>
      <c r="X150" s="67">
        <f>+VLOOKUP(Q150,COMISIONES!$C$2:$AO$33,39,0)</f>
        <v>65</v>
      </c>
      <c r="Y150" s="67">
        <f t="shared" si="2"/>
        <v>195</v>
      </c>
      <c r="Z150" s="58" t="s">
        <v>80</v>
      </c>
      <c r="AA150" s="13">
        <f>+VLOOKUP(Q150,COMISIONES!$C$2:$C$33,1,0)</f>
        <v>20004161</v>
      </c>
      <c r="AB150" s="13" t="s">
        <v>269</v>
      </c>
    </row>
    <row r="151" spans="1:28" hidden="1">
      <c r="A151" s="117" t="s">
        <v>821</v>
      </c>
      <c r="B151" s="138">
        <v>45145</v>
      </c>
      <c r="C151" s="117" t="s">
        <v>1276</v>
      </c>
      <c r="D151" s="117" t="s">
        <v>1277</v>
      </c>
      <c r="E151" s="117" t="s">
        <v>1278</v>
      </c>
      <c r="F151" s="117"/>
      <c r="G151" s="117" t="s">
        <v>45</v>
      </c>
      <c r="H151" s="117" t="s">
        <v>1</v>
      </c>
      <c r="I151"/>
      <c r="J151"/>
      <c r="K151" s="117" t="s">
        <v>105</v>
      </c>
      <c r="L151">
        <v>7</v>
      </c>
      <c r="M151" s="117" t="s">
        <v>112</v>
      </c>
      <c r="N151" s="117" t="s">
        <v>9</v>
      </c>
      <c r="O151" s="117" t="s">
        <v>51</v>
      </c>
      <c r="P151" s="117" t="s">
        <v>40</v>
      </c>
      <c r="Q151" s="139">
        <v>20004638</v>
      </c>
      <c r="R151" s="117" t="s">
        <v>78</v>
      </c>
      <c r="S151" s="117" t="s">
        <v>109</v>
      </c>
      <c r="T151" s="117" t="s">
        <v>109</v>
      </c>
      <c r="U151" s="117" t="s">
        <v>128</v>
      </c>
      <c r="V151" s="12">
        <f>+IFERROR(IF(VLOOKUP(Q151,COMISIONES!$C$2:$K$33,9,0)&gt;=VLOOKUP(TC!Q151,COMISIONES!$C$2:$I$33,7,0),1,0),0)</f>
        <v>0</v>
      </c>
      <c r="W151" s="262">
        <f>+IF(H151="Segunda",VLOOKUP(_xlfn.CONCAT(P151,G151,H151,V151),'PUNTOS 2021'!$E$23:$F$30,2,0),TC!L151)</f>
        <v>7</v>
      </c>
      <c r="X151" s="67">
        <f>+VLOOKUP(Q151,COMISIONES!$C$2:$AO$33,39,0)</f>
        <v>60</v>
      </c>
      <c r="Y151" s="67">
        <f t="shared" si="2"/>
        <v>420</v>
      </c>
      <c r="Z151" s="58" t="s">
        <v>80</v>
      </c>
      <c r="AA151" s="13">
        <f>+VLOOKUP(Q151,COMISIONES!$C$2:$C$33,1,0)</f>
        <v>20004638</v>
      </c>
      <c r="AB151" s="13" t="s">
        <v>269</v>
      </c>
    </row>
    <row r="152" spans="1:28" hidden="1">
      <c r="A152" s="117" t="s">
        <v>821</v>
      </c>
      <c r="B152" s="138">
        <v>45145</v>
      </c>
      <c r="C152" s="117" t="s">
        <v>1279</v>
      </c>
      <c r="D152" s="117" t="s">
        <v>1280</v>
      </c>
      <c r="E152" s="117" t="s">
        <v>1281</v>
      </c>
      <c r="F152" s="117"/>
      <c r="G152" s="117" t="s">
        <v>44</v>
      </c>
      <c r="H152" s="117" t="s">
        <v>1</v>
      </c>
      <c r="I152"/>
      <c r="J152"/>
      <c r="K152" s="117" t="s">
        <v>105</v>
      </c>
      <c r="L152">
        <v>5</v>
      </c>
      <c r="M152" s="117" t="s">
        <v>114</v>
      </c>
      <c r="N152" s="117" t="s">
        <v>19</v>
      </c>
      <c r="O152" s="117" t="s">
        <v>49</v>
      </c>
      <c r="P152" s="117" t="s">
        <v>40</v>
      </c>
      <c r="Q152" s="139">
        <v>20008625</v>
      </c>
      <c r="R152" s="117" t="s">
        <v>78</v>
      </c>
      <c r="S152" s="117" t="s">
        <v>109</v>
      </c>
      <c r="T152" s="117" t="s">
        <v>109</v>
      </c>
      <c r="U152" s="117" t="s">
        <v>128</v>
      </c>
      <c r="V152" s="12">
        <f>+IFERROR(IF(VLOOKUP(Q152,COMISIONES!$C$2:$K$33,9,0)&gt;=VLOOKUP(TC!Q152,COMISIONES!$C$2:$I$33,7,0),1,0),0)</f>
        <v>0</v>
      </c>
      <c r="W152" s="262">
        <f>+IF(H152="Segunda",VLOOKUP(_xlfn.CONCAT(P152,G152,H152,V152),'PUNTOS 2021'!$E$23:$F$30,2,0),TC!L152)</f>
        <v>5</v>
      </c>
      <c r="X152" s="67">
        <f>+VLOOKUP(Q152,COMISIONES!$C$2:$AO$33,39,0)</f>
        <v>20</v>
      </c>
      <c r="Y152" s="67">
        <f t="shared" si="2"/>
        <v>100</v>
      </c>
      <c r="Z152" s="58" t="s">
        <v>80</v>
      </c>
      <c r="AA152" s="13">
        <f>+VLOOKUP(Q152,COMISIONES!$C$2:$C$33,1,0)</f>
        <v>20008625</v>
      </c>
      <c r="AB152" s="13" t="s">
        <v>269</v>
      </c>
    </row>
    <row r="153" spans="1:28">
      <c r="A153" s="117" t="s">
        <v>821</v>
      </c>
      <c r="B153" s="138">
        <v>45145</v>
      </c>
      <c r="C153" s="117" t="s">
        <v>1282</v>
      </c>
      <c r="D153" s="117" t="s">
        <v>1283</v>
      </c>
      <c r="E153" s="117" t="s">
        <v>1284</v>
      </c>
      <c r="F153" s="117"/>
      <c r="G153" s="117" t="s">
        <v>44</v>
      </c>
      <c r="H153" s="117" t="s">
        <v>2</v>
      </c>
      <c r="I153"/>
      <c r="J153"/>
      <c r="K153" s="117" t="s">
        <v>117</v>
      </c>
      <c r="L153">
        <v>1</v>
      </c>
      <c r="M153" s="117" t="s">
        <v>115</v>
      </c>
      <c r="N153" s="117" t="s">
        <v>6</v>
      </c>
      <c r="O153" s="117" t="s">
        <v>51</v>
      </c>
      <c r="P153" s="117" t="s">
        <v>40</v>
      </c>
      <c r="Q153" s="139">
        <v>20001487</v>
      </c>
      <c r="R153" s="117" t="s">
        <v>78</v>
      </c>
      <c r="S153" s="117" t="s">
        <v>109</v>
      </c>
      <c r="T153" s="117" t="s">
        <v>109</v>
      </c>
      <c r="U153" s="117" t="s">
        <v>128</v>
      </c>
      <c r="V153" s="12">
        <f>+IFERROR(IF(VLOOKUP(Q153,COMISIONES!$C$2:$K$33,9,0)&gt;=VLOOKUP(TC!Q153,COMISIONES!$C$2:$I$33,7,0),1,0),0)</f>
        <v>1</v>
      </c>
      <c r="W153" s="262">
        <f>+IF(H153="Segunda",VLOOKUP(_xlfn.CONCAT(P153,G153,H153,V153),'PUNTOS 2021'!$E$23:$F$30,2,0),TC!L153)</f>
        <v>1</v>
      </c>
      <c r="X153" s="67">
        <f>+VLOOKUP(Q153,COMISIONES!$C$2:$AO$33,39,0)</f>
        <v>65</v>
      </c>
      <c r="Y153" s="67">
        <f t="shared" si="2"/>
        <v>65</v>
      </c>
      <c r="Z153" s="58" t="s">
        <v>80</v>
      </c>
      <c r="AA153" s="13">
        <f>+VLOOKUP(Q153,COMISIONES!$C$2:$C$33,1,0)</f>
        <v>20001487</v>
      </c>
      <c r="AB153" s="13" t="s">
        <v>269</v>
      </c>
    </row>
    <row r="154" spans="1:28" hidden="1">
      <c r="A154" s="117" t="s">
        <v>821</v>
      </c>
      <c r="B154" s="138">
        <v>45145</v>
      </c>
      <c r="C154" s="117" t="s">
        <v>1285</v>
      </c>
      <c r="D154" s="117" t="s">
        <v>1286</v>
      </c>
      <c r="E154" s="117" t="s">
        <v>1287</v>
      </c>
      <c r="F154" s="117"/>
      <c r="G154" s="117" t="s">
        <v>44</v>
      </c>
      <c r="H154" s="117" t="s">
        <v>1</v>
      </c>
      <c r="I154"/>
      <c r="J154"/>
      <c r="K154" s="117" t="s">
        <v>105</v>
      </c>
      <c r="L154">
        <v>5</v>
      </c>
      <c r="M154" s="117" t="s">
        <v>256</v>
      </c>
      <c r="N154" s="117" t="s">
        <v>236</v>
      </c>
      <c r="O154" s="117" t="s">
        <v>49</v>
      </c>
      <c r="P154" s="117" t="s">
        <v>40</v>
      </c>
      <c r="Q154" s="139">
        <v>20010101</v>
      </c>
      <c r="R154" s="117" t="s">
        <v>78</v>
      </c>
      <c r="S154" s="117" t="s">
        <v>109</v>
      </c>
      <c r="T154" s="117"/>
      <c r="U154" s="117" t="s">
        <v>108</v>
      </c>
      <c r="V154" s="12">
        <f>+IFERROR(IF(VLOOKUP(Q154,COMISIONES!$C$2:$K$33,9,0)&gt;=VLOOKUP(TC!Q154,COMISIONES!$C$2:$I$33,7,0),1,0),0)</f>
        <v>0</v>
      </c>
      <c r="W154" s="262">
        <f>+IF(H154="Segunda",VLOOKUP(_xlfn.CONCAT(P154,G154,H154,V154),'PUNTOS 2021'!$E$23:$F$30,2,0),TC!L154)</f>
        <v>5</v>
      </c>
      <c r="X154" s="67">
        <f>+VLOOKUP(Q154,COMISIONES!$C$2:$AO$33,39,0)</f>
        <v>65</v>
      </c>
      <c r="Y154" s="67">
        <f t="shared" si="2"/>
        <v>325</v>
      </c>
      <c r="Z154" s="58" t="s">
        <v>80</v>
      </c>
      <c r="AA154" s="13">
        <f>+VLOOKUP(Q154,COMISIONES!$C$2:$C$33,1,0)</f>
        <v>20010101</v>
      </c>
      <c r="AB154" s="13" t="s">
        <v>269</v>
      </c>
    </row>
    <row r="155" spans="1:28" hidden="1">
      <c r="A155" s="117" t="s">
        <v>821</v>
      </c>
      <c r="B155" s="138">
        <v>45145</v>
      </c>
      <c r="C155" s="117" t="s">
        <v>1288</v>
      </c>
      <c r="D155" s="117" t="s">
        <v>1289</v>
      </c>
      <c r="E155" s="117" t="s">
        <v>1290</v>
      </c>
      <c r="F155" s="117"/>
      <c r="G155" s="117" t="s">
        <v>45</v>
      </c>
      <c r="H155" s="117" t="s">
        <v>1</v>
      </c>
      <c r="I155"/>
      <c r="J155"/>
      <c r="K155" s="117" t="s">
        <v>105</v>
      </c>
      <c r="L155">
        <v>7</v>
      </c>
      <c r="M155" s="117" t="s">
        <v>112</v>
      </c>
      <c r="N155" s="117" t="s">
        <v>9</v>
      </c>
      <c r="O155" s="117" t="s">
        <v>51</v>
      </c>
      <c r="P155" s="117" t="s">
        <v>40</v>
      </c>
      <c r="Q155" s="139">
        <v>20004638</v>
      </c>
      <c r="R155" s="117" t="s">
        <v>78</v>
      </c>
      <c r="S155" s="117" t="s">
        <v>109</v>
      </c>
      <c r="T155" s="117"/>
      <c r="U155" s="117" t="s">
        <v>108</v>
      </c>
      <c r="V155" s="12">
        <f>+IFERROR(IF(VLOOKUP(Q155,COMISIONES!$C$2:$K$33,9,0)&gt;=VLOOKUP(TC!Q155,COMISIONES!$C$2:$I$33,7,0),1,0),0)</f>
        <v>0</v>
      </c>
      <c r="W155" s="262">
        <f>+IF(H155="Segunda",VLOOKUP(_xlfn.CONCAT(P155,G155,H155,V155),'PUNTOS 2021'!$E$23:$F$30,2,0),TC!L155)</f>
        <v>7</v>
      </c>
      <c r="X155" s="67">
        <f>+VLOOKUP(Q155,COMISIONES!$C$2:$AO$33,39,0)</f>
        <v>60</v>
      </c>
      <c r="Y155" s="67">
        <f t="shared" si="2"/>
        <v>420</v>
      </c>
      <c r="Z155" s="58" t="s">
        <v>80</v>
      </c>
      <c r="AA155" s="13">
        <f>+VLOOKUP(Q155,COMISIONES!$C$2:$C$33,1,0)</f>
        <v>20004638</v>
      </c>
      <c r="AB155" s="13" t="s">
        <v>269</v>
      </c>
    </row>
    <row r="156" spans="1:28" hidden="1">
      <c r="A156" s="117" t="s">
        <v>821</v>
      </c>
      <c r="B156" s="138">
        <v>45145</v>
      </c>
      <c r="C156" s="117" t="s">
        <v>1291</v>
      </c>
      <c r="D156" s="117" t="s">
        <v>1292</v>
      </c>
      <c r="E156" s="117" t="s">
        <v>1293</v>
      </c>
      <c r="F156" s="117"/>
      <c r="G156" s="117" t="s">
        <v>44</v>
      </c>
      <c r="H156" s="117" t="s">
        <v>1</v>
      </c>
      <c r="I156"/>
      <c r="J156"/>
      <c r="K156" s="117" t="s">
        <v>105</v>
      </c>
      <c r="L156">
        <v>5</v>
      </c>
      <c r="M156" s="117" t="s">
        <v>119</v>
      </c>
      <c r="N156" s="117" t="s">
        <v>22</v>
      </c>
      <c r="O156" s="117" t="s">
        <v>52</v>
      </c>
      <c r="P156" s="117" t="s">
        <v>40</v>
      </c>
      <c r="Q156" s="139">
        <v>20009174</v>
      </c>
      <c r="R156" s="117" t="s">
        <v>78</v>
      </c>
      <c r="S156" s="117" t="s">
        <v>109</v>
      </c>
      <c r="T156" s="117" t="s">
        <v>109</v>
      </c>
      <c r="U156" s="117" t="s">
        <v>128</v>
      </c>
      <c r="V156" s="12">
        <f>+IFERROR(IF(VLOOKUP(Q156,COMISIONES!$C$2:$K$33,9,0)&gt;=VLOOKUP(TC!Q156,COMISIONES!$C$2:$I$33,7,0),1,0),0)</f>
        <v>0</v>
      </c>
      <c r="W156" s="262">
        <f>+IF(H156="Segunda",VLOOKUP(_xlfn.CONCAT(P156,G156,H156,V156),'PUNTOS 2021'!$E$23:$F$30,2,0),TC!L156)</f>
        <v>5</v>
      </c>
      <c r="X156" s="67">
        <f>+VLOOKUP(Q156,COMISIONES!$C$2:$AO$33,39,0)</f>
        <v>60</v>
      </c>
      <c r="Y156" s="67">
        <f t="shared" si="2"/>
        <v>300</v>
      </c>
      <c r="Z156" s="58" t="s">
        <v>80</v>
      </c>
      <c r="AA156" s="13">
        <f>+VLOOKUP(Q156,COMISIONES!$C$2:$C$33,1,0)</f>
        <v>20009174</v>
      </c>
      <c r="AB156" s="13" t="s">
        <v>269</v>
      </c>
    </row>
    <row r="157" spans="1:28" hidden="1">
      <c r="A157" s="117" t="s">
        <v>821</v>
      </c>
      <c r="B157" s="138">
        <v>45145</v>
      </c>
      <c r="C157" s="117" t="s">
        <v>1294</v>
      </c>
      <c r="D157" s="117" t="s">
        <v>1295</v>
      </c>
      <c r="E157" s="117" t="s">
        <v>1296</v>
      </c>
      <c r="F157" s="117"/>
      <c r="G157" s="117" t="s">
        <v>44</v>
      </c>
      <c r="H157" s="117" t="s">
        <v>1</v>
      </c>
      <c r="I157"/>
      <c r="J157"/>
      <c r="K157" s="117" t="s">
        <v>129</v>
      </c>
      <c r="L157">
        <v>5</v>
      </c>
      <c r="M157" s="117" t="s">
        <v>260</v>
      </c>
      <c r="N157" s="117" t="s">
        <v>261</v>
      </c>
      <c r="O157" s="117" t="s">
        <v>52</v>
      </c>
      <c r="P157" s="117" t="s">
        <v>40</v>
      </c>
      <c r="Q157" s="139">
        <v>20010262</v>
      </c>
      <c r="R157" s="117" t="s">
        <v>78</v>
      </c>
      <c r="S157" s="117" t="s">
        <v>109</v>
      </c>
      <c r="T157" s="117" t="s">
        <v>109</v>
      </c>
      <c r="U157" s="117" t="s">
        <v>128</v>
      </c>
      <c r="V157" s="12">
        <f>+IFERROR(IF(VLOOKUP(Q157,COMISIONES!$C$2:$K$33,9,0)&gt;=VLOOKUP(TC!Q157,COMISIONES!$C$2:$I$33,7,0),1,0),0)</f>
        <v>0</v>
      </c>
      <c r="W157" s="262">
        <f>+IF(H157="Segunda",VLOOKUP(_xlfn.CONCAT(P157,G157,H157,V157),'PUNTOS 2021'!$E$23:$F$30,2,0),TC!L157)</f>
        <v>5</v>
      </c>
      <c r="X157" s="67">
        <f>+VLOOKUP(Q157,COMISIONES!$C$2:$AO$33,39,0)</f>
        <v>60</v>
      </c>
      <c r="Y157" s="67">
        <f t="shared" si="2"/>
        <v>300</v>
      </c>
      <c r="Z157" s="58" t="s">
        <v>80</v>
      </c>
      <c r="AA157" s="13">
        <f>+VLOOKUP(Q157,COMISIONES!$C$2:$C$33,1,0)</f>
        <v>20010262</v>
      </c>
      <c r="AB157" s="13" t="s">
        <v>269</v>
      </c>
    </row>
    <row r="158" spans="1:28" hidden="1">
      <c r="A158" s="117" t="s">
        <v>821</v>
      </c>
      <c r="B158" s="138">
        <v>45145</v>
      </c>
      <c r="C158" s="117" t="s">
        <v>1297</v>
      </c>
      <c r="D158" s="117" t="s">
        <v>1298</v>
      </c>
      <c r="E158" s="117" t="s">
        <v>1299</v>
      </c>
      <c r="F158" s="117"/>
      <c r="G158" s="117" t="s">
        <v>44</v>
      </c>
      <c r="H158" s="117" t="s">
        <v>1</v>
      </c>
      <c r="I158"/>
      <c r="J158"/>
      <c r="K158" s="117" t="s">
        <v>105</v>
      </c>
      <c r="L158">
        <v>5</v>
      </c>
      <c r="M158" s="117" t="s">
        <v>113</v>
      </c>
      <c r="N158" s="117" t="s">
        <v>12</v>
      </c>
      <c r="O158" s="117" t="s">
        <v>49</v>
      </c>
      <c r="P158" s="117" t="s">
        <v>40</v>
      </c>
      <c r="Q158" s="139">
        <v>20007726</v>
      </c>
      <c r="R158" s="117" t="s">
        <v>78</v>
      </c>
      <c r="S158" s="117" t="s">
        <v>109</v>
      </c>
      <c r="T158" s="117" t="s">
        <v>109</v>
      </c>
      <c r="U158" s="117" t="s">
        <v>128</v>
      </c>
      <c r="V158" s="12">
        <f>+IFERROR(IF(VLOOKUP(Q158,COMISIONES!$C$2:$K$33,9,0)&gt;=VLOOKUP(TC!Q158,COMISIONES!$C$2:$I$33,7,0),1,0),0)</f>
        <v>1</v>
      </c>
      <c r="W158" s="262">
        <f>+IF(H158="Segunda",VLOOKUP(_xlfn.CONCAT(P158,G158,H158,V158),'PUNTOS 2021'!$E$23:$F$30,2,0),TC!L158)</f>
        <v>5</v>
      </c>
      <c r="X158" s="67">
        <f>+VLOOKUP(Q158,COMISIONES!$C$2:$AO$33,39,0)</f>
        <v>65</v>
      </c>
      <c r="Y158" s="67">
        <f t="shared" si="2"/>
        <v>325</v>
      </c>
      <c r="Z158" s="58" t="s">
        <v>80</v>
      </c>
      <c r="AA158" s="13">
        <f>+VLOOKUP(Q158,COMISIONES!$C$2:$C$33,1,0)</f>
        <v>20007726</v>
      </c>
      <c r="AB158" s="13" t="s">
        <v>269</v>
      </c>
    </row>
    <row r="159" spans="1:28">
      <c r="A159" s="117" t="s">
        <v>821</v>
      </c>
      <c r="B159" s="138">
        <v>45145</v>
      </c>
      <c r="C159" s="117" t="s">
        <v>1300</v>
      </c>
      <c r="D159" s="117" t="s">
        <v>1301</v>
      </c>
      <c r="E159" s="117" t="s">
        <v>1302</v>
      </c>
      <c r="F159" s="117"/>
      <c r="G159" s="117" t="s">
        <v>45</v>
      </c>
      <c r="H159" s="117" t="s">
        <v>2</v>
      </c>
      <c r="I159"/>
      <c r="J159"/>
      <c r="K159" s="117" t="s">
        <v>105</v>
      </c>
      <c r="L159">
        <v>2</v>
      </c>
      <c r="M159" s="117" t="s">
        <v>413</v>
      </c>
      <c r="N159" s="117" t="s">
        <v>390</v>
      </c>
      <c r="O159" s="117" t="s">
        <v>49</v>
      </c>
      <c r="P159" s="117" t="s">
        <v>40</v>
      </c>
      <c r="Q159" s="139">
        <v>20010617</v>
      </c>
      <c r="R159" s="117" t="s">
        <v>78</v>
      </c>
      <c r="S159" s="117" t="s">
        <v>109</v>
      </c>
      <c r="T159" s="117"/>
      <c r="U159" s="117" t="s">
        <v>108</v>
      </c>
      <c r="V159" s="12">
        <f>+IFERROR(IF(VLOOKUP(Q159,COMISIONES!$C$2:$K$33,9,0)&gt;=VLOOKUP(TC!Q159,COMISIONES!$C$2:$I$33,7,0),1,0),0)</f>
        <v>0</v>
      </c>
      <c r="W159" s="262">
        <f>+IF(H159="Segunda",VLOOKUP(_xlfn.CONCAT(P159,G159,H159,V159),'PUNTOS 2021'!$E$23:$F$30,2,0),TC!L159)</f>
        <v>0.5</v>
      </c>
      <c r="X159" s="67">
        <f>+VLOOKUP(Q159,COMISIONES!$C$2:$AO$33,39,0)</f>
        <v>18</v>
      </c>
      <c r="Y159" s="67">
        <f t="shared" si="2"/>
        <v>9</v>
      </c>
      <c r="Z159" s="58" t="s">
        <v>80</v>
      </c>
      <c r="AA159" s="13">
        <f>+VLOOKUP(Q159,COMISIONES!$C$2:$C$33,1,0)</f>
        <v>20010617</v>
      </c>
      <c r="AB159" s="13" t="s">
        <v>269</v>
      </c>
    </row>
    <row r="160" spans="1:28">
      <c r="A160" s="117" t="s">
        <v>821</v>
      </c>
      <c r="B160" s="138">
        <v>45145</v>
      </c>
      <c r="C160" s="117" t="s">
        <v>1303</v>
      </c>
      <c r="D160" s="117" t="s">
        <v>1304</v>
      </c>
      <c r="E160" s="117" t="s">
        <v>1305</v>
      </c>
      <c r="F160" s="117"/>
      <c r="G160" s="117" t="s">
        <v>45</v>
      </c>
      <c r="H160" s="117" t="s">
        <v>2</v>
      </c>
      <c r="I160"/>
      <c r="J160"/>
      <c r="K160" s="117" t="s">
        <v>105</v>
      </c>
      <c r="L160">
        <v>2</v>
      </c>
      <c r="M160" s="117" t="s">
        <v>121</v>
      </c>
      <c r="N160" s="117" t="s">
        <v>3</v>
      </c>
      <c r="O160" s="117" t="s">
        <v>49</v>
      </c>
      <c r="P160" s="117" t="s">
        <v>40</v>
      </c>
      <c r="Q160" s="139">
        <v>20004161</v>
      </c>
      <c r="R160" s="117" t="s">
        <v>78</v>
      </c>
      <c r="S160" s="117" t="s">
        <v>109</v>
      </c>
      <c r="T160" s="117"/>
      <c r="U160" s="117" t="s">
        <v>108</v>
      </c>
      <c r="V160" s="12">
        <f>+IFERROR(IF(VLOOKUP(Q160,COMISIONES!$C$2:$K$33,9,0)&gt;=VLOOKUP(TC!Q160,COMISIONES!$C$2:$I$33,7,0),1,0),0)</f>
        <v>1</v>
      </c>
      <c r="W160" s="262">
        <f>+IF(H160="Segunda",VLOOKUP(_xlfn.CONCAT(P160,G160,H160,V160),'PUNTOS 2021'!$E$23:$F$30,2,0),TC!L160)</f>
        <v>2</v>
      </c>
      <c r="X160" s="67">
        <f>+VLOOKUP(Q160,COMISIONES!$C$2:$AO$33,39,0)</f>
        <v>65</v>
      </c>
      <c r="Y160" s="67">
        <f t="shared" si="2"/>
        <v>130</v>
      </c>
      <c r="Z160" s="58" t="s">
        <v>80</v>
      </c>
      <c r="AA160" s="13">
        <f>+VLOOKUP(Q160,COMISIONES!$C$2:$C$33,1,0)</f>
        <v>20004161</v>
      </c>
      <c r="AB160" s="13" t="s">
        <v>269</v>
      </c>
    </row>
    <row r="161" spans="1:28" hidden="1">
      <c r="A161" s="117" t="s">
        <v>821</v>
      </c>
      <c r="B161" s="138">
        <v>45145</v>
      </c>
      <c r="C161" s="117" t="s">
        <v>1306</v>
      </c>
      <c r="D161" s="117" t="s">
        <v>1307</v>
      </c>
      <c r="E161" s="117" t="s">
        <v>1308</v>
      </c>
      <c r="F161" s="117"/>
      <c r="G161" s="117" t="s">
        <v>45</v>
      </c>
      <c r="H161" s="117" t="s">
        <v>1</v>
      </c>
      <c r="I161"/>
      <c r="J161"/>
      <c r="K161" s="117" t="s">
        <v>105</v>
      </c>
      <c r="L161">
        <v>7</v>
      </c>
      <c r="M161" s="117" t="s">
        <v>259</v>
      </c>
      <c r="N161" s="117" t="s">
        <v>20</v>
      </c>
      <c r="O161" s="117" t="s">
        <v>50</v>
      </c>
      <c r="P161" s="117" t="s">
        <v>40</v>
      </c>
      <c r="Q161" s="139">
        <v>20008700</v>
      </c>
      <c r="R161" s="117" t="s">
        <v>78</v>
      </c>
      <c r="S161" s="117" t="s">
        <v>109</v>
      </c>
      <c r="T161" s="117"/>
      <c r="U161" s="117" t="s">
        <v>108</v>
      </c>
      <c r="V161" s="12">
        <f>+IFERROR(IF(VLOOKUP(Q161,COMISIONES!$C$2:$K$33,9,0)&gt;=VLOOKUP(TC!Q161,COMISIONES!$C$2:$I$33,7,0),1,0),0)</f>
        <v>0</v>
      </c>
      <c r="W161" s="262">
        <f>+IF(H161="Segunda",VLOOKUP(_xlfn.CONCAT(P161,G161,H161,V161),'PUNTOS 2021'!$E$23:$F$30,2,0),TC!L161)</f>
        <v>7</v>
      </c>
      <c r="X161" s="67">
        <f>+VLOOKUP(Q161,COMISIONES!$C$2:$AO$33,39,0)</f>
        <v>40</v>
      </c>
      <c r="Y161" s="67">
        <f t="shared" si="2"/>
        <v>280</v>
      </c>
      <c r="Z161" s="58" t="s">
        <v>80</v>
      </c>
      <c r="AA161" s="13">
        <f>+VLOOKUP(Q161,COMISIONES!$C$2:$C$33,1,0)</f>
        <v>20008700</v>
      </c>
      <c r="AB161" s="13" t="s">
        <v>269</v>
      </c>
    </row>
    <row r="162" spans="1:28" hidden="1">
      <c r="A162" s="117" t="s">
        <v>821</v>
      </c>
      <c r="B162" s="138">
        <v>45145</v>
      </c>
      <c r="C162" s="117" t="s">
        <v>1309</v>
      </c>
      <c r="D162" s="117" t="s">
        <v>1310</v>
      </c>
      <c r="E162" s="117" t="s">
        <v>1311</v>
      </c>
      <c r="F162" s="117"/>
      <c r="G162" s="117" t="s">
        <v>44</v>
      </c>
      <c r="H162" s="117" t="s">
        <v>1</v>
      </c>
      <c r="I162"/>
      <c r="J162"/>
      <c r="K162" s="117" t="s">
        <v>105</v>
      </c>
      <c r="L162">
        <v>5</v>
      </c>
      <c r="M162" s="117" t="s">
        <v>259</v>
      </c>
      <c r="N162" s="117" t="s">
        <v>20</v>
      </c>
      <c r="O162" s="117" t="s">
        <v>50</v>
      </c>
      <c r="P162" s="117" t="s">
        <v>40</v>
      </c>
      <c r="Q162" s="139">
        <v>20008700</v>
      </c>
      <c r="R162" s="117" t="s">
        <v>78</v>
      </c>
      <c r="S162" s="117" t="s">
        <v>109</v>
      </c>
      <c r="T162" s="117" t="s">
        <v>109</v>
      </c>
      <c r="U162" s="117" t="s">
        <v>128</v>
      </c>
      <c r="V162" s="12">
        <f>+IFERROR(IF(VLOOKUP(Q162,COMISIONES!$C$2:$K$33,9,0)&gt;=VLOOKUP(TC!Q162,COMISIONES!$C$2:$I$33,7,0),1,0),0)</f>
        <v>0</v>
      </c>
      <c r="W162" s="262">
        <f>+IF(H162="Segunda",VLOOKUP(_xlfn.CONCAT(P162,G162,H162,V162),'PUNTOS 2021'!$E$23:$F$30,2,0),TC!L162)</f>
        <v>5</v>
      </c>
      <c r="X162" s="67">
        <f>+VLOOKUP(Q162,COMISIONES!$C$2:$AO$33,39,0)</f>
        <v>40</v>
      </c>
      <c r="Y162" s="67">
        <f t="shared" si="2"/>
        <v>200</v>
      </c>
      <c r="Z162" s="58" t="s">
        <v>80</v>
      </c>
      <c r="AA162" s="13">
        <f>+VLOOKUP(Q162,COMISIONES!$C$2:$C$33,1,0)</f>
        <v>20008700</v>
      </c>
      <c r="AB162" s="13" t="s">
        <v>269</v>
      </c>
    </row>
    <row r="163" spans="1:28">
      <c r="A163" s="117" t="s">
        <v>821</v>
      </c>
      <c r="B163" s="138">
        <v>45145</v>
      </c>
      <c r="C163" s="117" t="s">
        <v>1312</v>
      </c>
      <c r="D163" s="117" t="s">
        <v>1313</v>
      </c>
      <c r="E163" s="117" t="s">
        <v>1314</v>
      </c>
      <c r="F163" s="117"/>
      <c r="G163" s="117" t="s">
        <v>43</v>
      </c>
      <c r="H163" s="117" t="s">
        <v>2</v>
      </c>
      <c r="I163"/>
      <c r="J163"/>
      <c r="K163" s="117" t="s">
        <v>105</v>
      </c>
      <c r="L163">
        <v>1</v>
      </c>
      <c r="M163" s="117" t="s">
        <v>115</v>
      </c>
      <c r="N163" s="117" t="s">
        <v>6</v>
      </c>
      <c r="O163" s="117" t="s">
        <v>51</v>
      </c>
      <c r="P163" s="117" t="s">
        <v>40</v>
      </c>
      <c r="Q163" s="139">
        <v>20001487</v>
      </c>
      <c r="R163" s="117" t="s">
        <v>78</v>
      </c>
      <c r="S163" s="117" t="s">
        <v>109</v>
      </c>
      <c r="T163" s="117"/>
      <c r="U163" s="117" t="s">
        <v>108</v>
      </c>
      <c r="V163" s="12">
        <f>+IFERROR(IF(VLOOKUP(Q163,COMISIONES!$C$2:$K$33,9,0)&gt;=VLOOKUP(TC!Q163,COMISIONES!$C$2:$I$33,7,0),1,0),0)</f>
        <v>1</v>
      </c>
      <c r="W163" s="262">
        <f>+IF(H163="Segunda",VLOOKUP(_xlfn.CONCAT(P163,G163,H163,V163),'PUNTOS 2021'!$E$23:$F$30,2,0),TC!L163)</f>
        <v>1</v>
      </c>
      <c r="X163" s="67">
        <f>+VLOOKUP(Q163,COMISIONES!$C$2:$AO$33,39,0)</f>
        <v>65</v>
      </c>
      <c r="Y163" s="67">
        <f t="shared" si="2"/>
        <v>65</v>
      </c>
      <c r="Z163" s="58" t="s">
        <v>80</v>
      </c>
      <c r="AA163" s="13">
        <f>+VLOOKUP(Q163,COMISIONES!$C$2:$C$33,1,0)</f>
        <v>20001487</v>
      </c>
      <c r="AB163" s="13" t="s">
        <v>269</v>
      </c>
    </row>
    <row r="164" spans="1:28" hidden="1">
      <c r="A164" s="117" t="s">
        <v>821</v>
      </c>
      <c r="B164" s="138">
        <v>45145</v>
      </c>
      <c r="C164" s="117" t="s">
        <v>1315</v>
      </c>
      <c r="D164" s="117" t="s">
        <v>1316</v>
      </c>
      <c r="E164" s="117" t="s">
        <v>1317</v>
      </c>
      <c r="F164" s="117"/>
      <c r="G164" s="117" t="s">
        <v>44</v>
      </c>
      <c r="H164" s="117" t="s">
        <v>1</v>
      </c>
      <c r="I164"/>
      <c r="J164"/>
      <c r="K164" s="117" t="s">
        <v>105</v>
      </c>
      <c r="L164">
        <v>5</v>
      </c>
      <c r="M164" s="117" t="s">
        <v>258</v>
      </c>
      <c r="N164" s="117" t="s">
        <v>237</v>
      </c>
      <c r="O164" s="117" t="s">
        <v>51</v>
      </c>
      <c r="P164" s="117" t="s">
        <v>40</v>
      </c>
      <c r="Q164" s="139">
        <v>20006893</v>
      </c>
      <c r="R164" s="117" t="s">
        <v>78</v>
      </c>
      <c r="S164" s="117" t="s">
        <v>109</v>
      </c>
      <c r="T164" s="117"/>
      <c r="U164" s="117" t="s">
        <v>108</v>
      </c>
      <c r="V164" s="12">
        <f>+IFERROR(IF(VLOOKUP(Q164,COMISIONES!$C$2:$K$33,9,0)&gt;=VLOOKUP(TC!Q164,COMISIONES!$C$2:$I$33,7,0),1,0),0)</f>
        <v>0</v>
      </c>
      <c r="W164" s="262">
        <f>+IF(H164="Segunda",VLOOKUP(_xlfn.CONCAT(P164,G164,H164,V164),'PUNTOS 2021'!$E$23:$F$30,2,0),TC!L164)</f>
        <v>5</v>
      </c>
      <c r="X164" s="67">
        <f>+VLOOKUP(Q164,COMISIONES!$C$2:$AO$33,39,0)</f>
        <v>40</v>
      </c>
      <c r="Y164" s="67">
        <f t="shared" si="2"/>
        <v>200</v>
      </c>
      <c r="Z164" s="58" t="s">
        <v>80</v>
      </c>
      <c r="AA164" s="13">
        <f>+VLOOKUP(Q164,COMISIONES!$C$2:$C$33,1,0)</f>
        <v>20006893</v>
      </c>
      <c r="AB164" s="13" t="s">
        <v>269</v>
      </c>
    </row>
    <row r="165" spans="1:28" hidden="1">
      <c r="A165" s="117" t="s">
        <v>821</v>
      </c>
      <c r="B165" s="138">
        <v>45145</v>
      </c>
      <c r="C165" s="117" t="s">
        <v>1318</v>
      </c>
      <c r="D165" s="117" t="s">
        <v>1283</v>
      </c>
      <c r="E165" s="117" t="s">
        <v>1319</v>
      </c>
      <c r="F165" s="117"/>
      <c r="G165" s="117" t="s">
        <v>45</v>
      </c>
      <c r="H165" s="117" t="s">
        <v>1</v>
      </c>
      <c r="I165"/>
      <c r="J165"/>
      <c r="K165" s="117" t="s">
        <v>105</v>
      </c>
      <c r="L165">
        <v>7</v>
      </c>
      <c r="M165" s="117" t="s">
        <v>115</v>
      </c>
      <c r="N165" s="117" t="s">
        <v>6</v>
      </c>
      <c r="O165" s="117" t="s">
        <v>51</v>
      </c>
      <c r="P165" s="117" t="s">
        <v>40</v>
      </c>
      <c r="Q165" s="139">
        <v>20001487</v>
      </c>
      <c r="R165" s="117" t="s">
        <v>78</v>
      </c>
      <c r="S165" s="117" t="s">
        <v>109</v>
      </c>
      <c r="T165" s="117" t="s">
        <v>109</v>
      </c>
      <c r="U165" s="117" t="s">
        <v>128</v>
      </c>
      <c r="V165" s="12">
        <f>+IFERROR(IF(VLOOKUP(Q165,COMISIONES!$C$2:$K$33,9,0)&gt;=VLOOKUP(TC!Q165,COMISIONES!$C$2:$I$33,7,0),1,0),0)</f>
        <v>1</v>
      </c>
      <c r="W165" s="262">
        <f>+IF(H165="Segunda",VLOOKUP(_xlfn.CONCAT(P165,G165,H165,V165),'PUNTOS 2021'!$E$23:$F$30,2,0),TC!L165)</f>
        <v>7</v>
      </c>
      <c r="X165" s="67">
        <f>+VLOOKUP(Q165,COMISIONES!$C$2:$AO$33,39,0)</f>
        <v>65</v>
      </c>
      <c r="Y165" s="67">
        <f t="shared" si="2"/>
        <v>455</v>
      </c>
      <c r="Z165" s="58" t="s">
        <v>80</v>
      </c>
      <c r="AA165" s="13">
        <f>+VLOOKUP(Q165,COMISIONES!$C$2:$C$33,1,0)</f>
        <v>20001487</v>
      </c>
      <c r="AB165" s="13" t="s">
        <v>269</v>
      </c>
    </row>
    <row r="166" spans="1:28" hidden="1">
      <c r="A166" s="117" t="s">
        <v>821</v>
      </c>
      <c r="B166" s="138">
        <v>45146</v>
      </c>
      <c r="C166" s="117" t="s">
        <v>1320</v>
      </c>
      <c r="D166" s="117" t="s">
        <v>1321</v>
      </c>
      <c r="E166" s="117" t="s">
        <v>1322</v>
      </c>
      <c r="F166" s="117"/>
      <c r="G166" s="117" t="s">
        <v>45</v>
      </c>
      <c r="H166" s="117" t="s">
        <v>1</v>
      </c>
      <c r="I166"/>
      <c r="J166"/>
      <c r="K166" s="117" t="s">
        <v>105</v>
      </c>
      <c r="L166">
        <v>7</v>
      </c>
      <c r="M166" s="117" t="s">
        <v>127</v>
      </c>
      <c r="N166" s="117" t="s">
        <v>16</v>
      </c>
      <c r="O166" s="117" t="s">
        <v>49</v>
      </c>
      <c r="P166" s="117" t="s">
        <v>40</v>
      </c>
      <c r="Q166" s="139">
        <v>20002708</v>
      </c>
      <c r="R166" s="117" t="s">
        <v>78</v>
      </c>
      <c r="S166" s="117" t="s">
        <v>109</v>
      </c>
      <c r="T166" s="117"/>
      <c r="U166" s="117" t="s">
        <v>108</v>
      </c>
      <c r="V166" s="12">
        <f>+IFERROR(IF(VLOOKUP(Q166,COMISIONES!$C$2:$K$33,9,0)&gt;=VLOOKUP(TC!Q166,COMISIONES!$C$2:$I$33,7,0),1,0),0)</f>
        <v>0</v>
      </c>
      <c r="W166" s="262">
        <f>+IF(H166="Segunda",VLOOKUP(_xlfn.CONCAT(P166,G166,H166,V166),'PUNTOS 2021'!$E$23:$F$30,2,0),TC!L166)</f>
        <v>7</v>
      </c>
      <c r="X166" s="67">
        <f>+VLOOKUP(Q166,COMISIONES!$C$2:$AO$33,39,0)</f>
        <v>60</v>
      </c>
      <c r="Y166" s="67">
        <f t="shared" si="2"/>
        <v>420</v>
      </c>
      <c r="Z166" s="58" t="s">
        <v>80</v>
      </c>
      <c r="AA166" s="13">
        <f>+VLOOKUP(Q166,COMISIONES!$C$2:$C$33,1,0)</f>
        <v>20002708</v>
      </c>
      <c r="AB166" s="13" t="s">
        <v>269</v>
      </c>
    </row>
    <row r="167" spans="1:28" hidden="1">
      <c r="A167" s="117" t="s">
        <v>821</v>
      </c>
      <c r="B167" s="138">
        <v>45146</v>
      </c>
      <c r="C167" s="117" t="s">
        <v>1323</v>
      </c>
      <c r="D167" s="117" t="s">
        <v>1324</v>
      </c>
      <c r="E167" s="117" t="s">
        <v>1325</v>
      </c>
      <c r="F167" s="117"/>
      <c r="G167" s="117" t="s">
        <v>43</v>
      </c>
      <c r="H167" s="117" t="s">
        <v>1</v>
      </c>
      <c r="I167"/>
      <c r="J167"/>
      <c r="K167" s="117" t="s">
        <v>105</v>
      </c>
      <c r="L167">
        <v>3</v>
      </c>
      <c r="M167" s="117" t="s">
        <v>113</v>
      </c>
      <c r="N167" s="117" t="s">
        <v>12</v>
      </c>
      <c r="O167" s="117" t="s">
        <v>49</v>
      </c>
      <c r="P167" s="117" t="s">
        <v>40</v>
      </c>
      <c r="Q167" s="139">
        <v>20007726</v>
      </c>
      <c r="R167" s="117" t="s">
        <v>78</v>
      </c>
      <c r="S167" s="117" t="s">
        <v>109</v>
      </c>
      <c r="T167" s="117"/>
      <c r="U167" s="117" t="s">
        <v>108</v>
      </c>
      <c r="V167" s="12">
        <f>+IFERROR(IF(VLOOKUP(Q167,COMISIONES!$C$2:$K$33,9,0)&gt;=VLOOKUP(TC!Q167,COMISIONES!$C$2:$I$33,7,0),1,0),0)</f>
        <v>1</v>
      </c>
      <c r="W167" s="262">
        <f>+IF(H167="Segunda",VLOOKUP(_xlfn.CONCAT(P167,G167,H167,V167),'PUNTOS 2021'!$E$23:$F$30,2,0),TC!L167)</f>
        <v>3</v>
      </c>
      <c r="X167" s="67">
        <f>+VLOOKUP(Q167,COMISIONES!$C$2:$AO$33,39,0)</f>
        <v>65</v>
      </c>
      <c r="Y167" s="67">
        <f t="shared" si="2"/>
        <v>195</v>
      </c>
      <c r="Z167" s="58" t="s">
        <v>80</v>
      </c>
      <c r="AA167" s="13">
        <f>+VLOOKUP(Q167,COMISIONES!$C$2:$C$33,1,0)</f>
        <v>20007726</v>
      </c>
      <c r="AB167" s="13" t="s">
        <v>269</v>
      </c>
    </row>
    <row r="168" spans="1:28" hidden="1">
      <c r="A168" s="117" t="s">
        <v>821</v>
      </c>
      <c r="B168" s="138">
        <v>45146</v>
      </c>
      <c r="C168" s="117" t="s">
        <v>1326</v>
      </c>
      <c r="D168" s="117" t="s">
        <v>1327</v>
      </c>
      <c r="E168" s="117" t="s">
        <v>1328</v>
      </c>
      <c r="F168" s="117"/>
      <c r="G168" s="117" t="s">
        <v>43</v>
      </c>
      <c r="H168" s="117" t="s">
        <v>1</v>
      </c>
      <c r="I168"/>
      <c r="J168"/>
      <c r="K168" s="117" t="s">
        <v>105</v>
      </c>
      <c r="L168">
        <v>3</v>
      </c>
      <c r="M168" s="117" t="s">
        <v>119</v>
      </c>
      <c r="N168" s="117" t="s">
        <v>22</v>
      </c>
      <c r="O168" s="117" t="s">
        <v>52</v>
      </c>
      <c r="P168" s="117" t="s">
        <v>40</v>
      </c>
      <c r="Q168" s="139">
        <v>20009174</v>
      </c>
      <c r="R168" s="117" t="s">
        <v>78</v>
      </c>
      <c r="S168" s="117" t="s">
        <v>109</v>
      </c>
      <c r="T168" s="117"/>
      <c r="U168" s="117" t="s">
        <v>108</v>
      </c>
      <c r="V168" s="12">
        <f>+IFERROR(IF(VLOOKUP(Q168,COMISIONES!$C$2:$K$33,9,0)&gt;=VLOOKUP(TC!Q168,COMISIONES!$C$2:$I$33,7,0),1,0),0)</f>
        <v>0</v>
      </c>
      <c r="W168" s="262">
        <f>+IF(H168="Segunda",VLOOKUP(_xlfn.CONCAT(P168,G168,H168,V168),'PUNTOS 2021'!$E$23:$F$30,2,0),TC!L168)</f>
        <v>3</v>
      </c>
      <c r="X168" s="67">
        <f>+VLOOKUP(Q168,COMISIONES!$C$2:$AO$33,39,0)</f>
        <v>60</v>
      </c>
      <c r="Y168" s="67">
        <f t="shared" si="2"/>
        <v>180</v>
      </c>
      <c r="Z168" s="58" t="s">
        <v>80</v>
      </c>
      <c r="AA168" s="13">
        <f>+VLOOKUP(Q168,COMISIONES!$C$2:$C$33,1,0)</f>
        <v>20009174</v>
      </c>
      <c r="AB168" s="13" t="s">
        <v>269</v>
      </c>
    </row>
    <row r="169" spans="1:28" hidden="1">
      <c r="A169" s="117" t="s">
        <v>821</v>
      </c>
      <c r="B169" s="138">
        <v>45146</v>
      </c>
      <c r="C169" s="117" t="s">
        <v>1329</v>
      </c>
      <c r="D169" s="117" t="s">
        <v>1330</v>
      </c>
      <c r="E169" s="117" t="s">
        <v>1331</v>
      </c>
      <c r="F169" s="117"/>
      <c r="G169" s="117" t="s">
        <v>44</v>
      </c>
      <c r="H169" s="117" t="s">
        <v>1</v>
      </c>
      <c r="I169"/>
      <c r="J169"/>
      <c r="K169" s="117" t="s">
        <v>105</v>
      </c>
      <c r="L169">
        <v>5</v>
      </c>
      <c r="M169" s="117" t="s">
        <v>123</v>
      </c>
      <c r="N169" s="117" t="s">
        <v>23</v>
      </c>
      <c r="O169" s="117" t="s">
        <v>49</v>
      </c>
      <c r="P169" s="117" t="s">
        <v>40</v>
      </c>
      <c r="Q169" s="139">
        <v>20009269</v>
      </c>
      <c r="R169" s="117" t="s">
        <v>78</v>
      </c>
      <c r="S169" s="117" t="s">
        <v>109</v>
      </c>
      <c r="T169" s="117" t="s">
        <v>109</v>
      </c>
      <c r="U169" s="117" t="s">
        <v>128</v>
      </c>
      <c r="V169" s="12">
        <f>+IFERROR(IF(VLOOKUP(Q169,COMISIONES!$C$2:$K$33,9,0)&gt;=VLOOKUP(TC!Q169,COMISIONES!$C$2:$I$33,7,0),1,0),0)</f>
        <v>1</v>
      </c>
      <c r="W169" s="262">
        <f>+IF(H169="Segunda",VLOOKUP(_xlfn.CONCAT(P169,G169,H169,V169),'PUNTOS 2021'!$E$23:$F$30,2,0),TC!L169)</f>
        <v>5</v>
      </c>
      <c r="X169" s="67">
        <f>+VLOOKUP(Q169,COMISIONES!$C$2:$AO$33,39,0)</f>
        <v>65</v>
      </c>
      <c r="Y169" s="67">
        <f t="shared" si="2"/>
        <v>325</v>
      </c>
      <c r="Z169" s="58" t="s">
        <v>80</v>
      </c>
      <c r="AA169" s="13">
        <f>+VLOOKUP(Q169,COMISIONES!$C$2:$C$33,1,0)</f>
        <v>20009269</v>
      </c>
      <c r="AB169" s="13" t="s">
        <v>269</v>
      </c>
    </row>
    <row r="170" spans="1:28" hidden="1">
      <c r="A170" s="117" t="s">
        <v>821</v>
      </c>
      <c r="B170" s="138">
        <v>45146</v>
      </c>
      <c r="C170" s="117" t="s">
        <v>1332</v>
      </c>
      <c r="D170" s="117" t="s">
        <v>1333</v>
      </c>
      <c r="E170" s="117" t="s">
        <v>1334</v>
      </c>
      <c r="F170" s="117"/>
      <c r="G170" s="117" t="s">
        <v>43</v>
      </c>
      <c r="H170" s="117" t="s">
        <v>1</v>
      </c>
      <c r="I170"/>
      <c r="J170"/>
      <c r="K170" s="117" t="s">
        <v>105</v>
      </c>
      <c r="L170">
        <v>3</v>
      </c>
      <c r="M170" s="117" t="s">
        <v>120</v>
      </c>
      <c r="N170" s="117" t="s">
        <v>21</v>
      </c>
      <c r="O170" s="117" t="s">
        <v>50</v>
      </c>
      <c r="P170" s="117" t="s">
        <v>40</v>
      </c>
      <c r="Q170" s="139">
        <v>20008711</v>
      </c>
      <c r="R170" s="117" t="s">
        <v>78</v>
      </c>
      <c r="S170" s="117" t="s">
        <v>109</v>
      </c>
      <c r="T170" s="117" t="s">
        <v>109</v>
      </c>
      <c r="U170" s="117" t="s">
        <v>128</v>
      </c>
      <c r="V170" s="12">
        <f>+IFERROR(IF(VLOOKUP(Q170,COMISIONES!$C$2:$K$33,9,0)&gt;=VLOOKUP(TC!Q170,COMISIONES!$C$2:$I$33,7,0),1,0),0)</f>
        <v>0</v>
      </c>
      <c r="W170" s="262">
        <f>+IF(H170="Segunda",VLOOKUP(_xlfn.CONCAT(P170,G170,H170,V170),'PUNTOS 2021'!$E$23:$F$30,2,0),TC!L170)</f>
        <v>3</v>
      </c>
      <c r="X170" s="67">
        <v>0</v>
      </c>
      <c r="Y170" s="67">
        <f t="shared" si="2"/>
        <v>0</v>
      </c>
      <c r="Z170" s="58" t="s">
        <v>80</v>
      </c>
      <c r="AB170" s="13" t="s">
        <v>269</v>
      </c>
    </row>
    <row r="171" spans="1:28" hidden="1">
      <c r="A171" s="117" t="s">
        <v>821</v>
      </c>
      <c r="B171" s="138">
        <v>45146</v>
      </c>
      <c r="C171" s="117" t="s">
        <v>1335</v>
      </c>
      <c r="D171" s="117" t="s">
        <v>1336</v>
      </c>
      <c r="E171" s="117" t="s">
        <v>1337</v>
      </c>
      <c r="F171" s="117"/>
      <c r="G171" s="117" t="s">
        <v>44</v>
      </c>
      <c r="H171" s="117" t="s">
        <v>1</v>
      </c>
      <c r="I171"/>
      <c r="J171"/>
      <c r="K171" s="117" t="s">
        <v>129</v>
      </c>
      <c r="L171">
        <v>5</v>
      </c>
      <c r="M171" s="117" t="s">
        <v>161</v>
      </c>
      <c r="N171" s="117" t="s">
        <v>158</v>
      </c>
      <c r="O171" s="117" t="s">
        <v>50</v>
      </c>
      <c r="P171" s="117" t="s">
        <v>40</v>
      </c>
      <c r="Q171" s="139">
        <v>20006162</v>
      </c>
      <c r="R171" s="117" t="s">
        <v>78</v>
      </c>
      <c r="S171" s="117" t="s">
        <v>109</v>
      </c>
      <c r="T171" s="117" t="s">
        <v>109</v>
      </c>
      <c r="U171" s="117" t="s">
        <v>128</v>
      </c>
      <c r="V171" s="12">
        <f>+IFERROR(IF(VLOOKUP(Q171,COMISIONES!$C$2:$K$33,9,0)&gt;=VLOOKUP(TC!Q171,COMISIONES!$C$2:$I$33,7,0),1,0),0)</f>
        <v>0</v>
      </c>
      <c r="W171" s="262">
        <f>+IF(H171="Segunda",VLOOKUP(_xlfn.CONCAT(P171,G171,H171,V171),'PUNTOS 2021'!$E$23:$F$30,2,0),TC!L171)</f>
        <v>5</v>
      </c>
      <c r="X171" s="67">
        <f>+VLOOKUP(Q171,COMISIONES!$C$2:$AO$33,39,0)</f>
        <v>60</v>
      </c>
      <c r="Y171" s="67">
        <f t="shared" si="2"/>
        <v>300</v>
      </c>
      <c r="Z171" s="58" t="s">
        <v>80</v>
      </c>
      <c r="AA171" s="13">
        <f>+VLOOKUP(Q171,COMISIONES!$C$2:$C$33,1,0)</f>
        <v>20006162</v>
      </c>
      <c r="AB171" s="13" t="s">
        <v>269</v>
      </c>
    </row>
    <row r="172" spans="1:28" hidden="1">
      <c r="A172" s="117" t="s">
        <v>821</v>
      </c>
      <c r="B172" s="138">
        <v>45146</v>
      </c>
      <c r="C172" s="117" t="s">
        <v>1338</v>
      </c>
      <c r="D172" s="117" t="s">
        <v>1339</v>
      </c>
      <c r="E172" s="117" t="s">
        <v>1340</v>
      </c>
      <c r="F172" s="117"/>
      <c r="G172" s="117" t="s">
        <v>45</v>
      </c>
      <c r="H172" s="117" t="s">
        <v>48</v>
      </c>
      <c r="I172"/>
      <c r="J172"/>
      <c r="K172" s="117" t="s">
        <v>105</v>
      </c>
      <c r="L172">
        <v>0</v>
      </c>
      <c r="M172" s="117" t="s">
        <v>112</v>
      </c>
      <c r="N172" s="117" t="s">
        <v>9</v>
      </c>
      <c r="O172" s="117" t="s">
        <v>51</v>
      </c>
      <c r="P172" s="117" t="s">
        <v>40</v>
      </c>
      <c r="Q172" s="139">
        <v>20004638</v>
      </c>
      <c r="R172" s="117" t="s">
        <v>78</v>
      </c>
      <c r="S172" s="117" t="s">
        <v>107</v>
      </c>
      <c r="T172" s="117" t="s">
        <v>48</v>
      </c>
      <c r="U172" s="117" t="s">
        <v>108</v>
      </c>
      <c r="V172" s="12">
        <f>+IFERROR(IF(VLOOKUP(Q172,COMISIONES!$C$2:$K$33,9,0)&gt;=VLOOKUP(TC!Q172,COMISIONES!$C$2:$I$33,7,0),1,0),0)</f>
        <v>0</v>
      </c>
      <c r="W172" s="262">
        <f>+IF(H172="Segunda",VLOOKUP(_xlfn.CONCAT(P172,G172,H172,V172),'PUNTOS 2021'!$E$23:$F$30,2,0),TC!L172)</f>
        <v>0</v>
      </c>
      <c r="X172" s="67">
        <f>+VLOOKUP(Q172,COMISIONES!$C$2:$AO$33,39,0)</f>
        <v>60</v>
      </c>
      <c r="Y172" s="67">
        <f t="shared" si="2"/>
        <v>0</v>
      </c>
      <c r="Z172" s="58" t="s">
        <v>80</v>
      </c>
      <c r="AA172" s="13">
        <f>+VLOOKUP(Q172,COMISIONES!$C$2:$C$33,1,0)</f>
        <v>20004638</v>
      </c>
      <c r="AB172" s="13" t="s">
        <v>269</v>
      </c>
    </row>
    <row r="173" spans="1:28" hidden="1">
      <c r="A173" s="117" t="s">
        <v>821</v>
      </c>
      <c r="B173" s="138">
        <v>45146</v>
      </c>
      <c r="C173" s="117" t="s">
        <v>1341</v>
      </c>
      <c r="D173" s="117" t="s">
        <v>1342</v>
      </c>
      <c r="E173" s="117" t="s">
        <v>1343</v>
      </c>
      <c r="F173" s="117"/>
      <c r="G173" s="117" t="s">
        <v>43</v>
      </c>
      <c r="H173" s="117" t="s">
        <v>1</v>
      </c>
      <c r="I173"/>
      <c r="J173"/>
      <c r="K173" s="117" t="s">
        <v>105</v>
      </c>
      <c r="L173">
        <v>3</v>
      </c>
      <c r="M173" s="117" t="s">
        <v>121</v>
      </c>
      <c r="N173" s="117" t="s">
        <v>3</v>
      </c>
      <c r="O173" s="117" t="s">
        <v>49</v>
      </c>
      <c r="P173" s="117" t="s">
        <v>40</v>
      </c>
      <c r="Q173" s="139">
        <v>20004161</v>
      </c>
      <c r="R173" s="117" t="s">
        <v>78</v>
      </c>
      <c r="S173" s="117" t="s">
        <v>109</v>
      </c>
      <c r="T173" s="117"/>
      <c r="U173" s="117" t="s">
        <v>108</v>
      </c>
      <c r="V173" s="12">
        <f>+IFERROR(IF(VLOOKUP(Q173,COMISIONES!$C$2:$K$33,9,0)&gt;=VLOOKUP(TC!Q173,COMISIONES!$C$2:$I$33,7,0),1,0),0)</f>
        <v>1</v>
      </c>
      <c r="W173" s="262">
        <f>+IF(H173="Segunda",VLOOKUP(_xlfn.CONCAT(P173,G173,H173,V173),'PUNTOS 2021'!$E$23:$F$30,2,0),TC!L173)</f>
        <v>3</v>
      </c>
      <c r="X173" s="67">
        <f>+VLOOKUP(Q173,COMISIONES!$C$2:$AO$33,39,0)</f>
        <v>65</v>
      </c>
      <c r="Y173" s="67">
        <f t="shared" si="2"/>
        <v>195</v>
      </c>
      <c r="Z173" s="58" t="s">
        <v>80</v>
      </c>
      <c r="AA173" s="13">
        <f>+VLOOKUP(Q173,COMISIONES!$C$2:$C$33,1,0)</f>
        <v>20004161</v>
      </c>
      <c r="AB173" s="13" t="s">
        <v>269</v>
      </c>
    </row>
    <row r="174" spans="1:28" hidden="1">
      <c r="A174" s="117" t="s">
        <v>821</v>
      </c>
      <c r="B174" s="138">
        <v>45146</v>
      </c>
      <c r="C174" s="117" t="s">
        <v>1344</v>
      </c>
      <c r="D174" s="117" t="s">
        <v>1345</v>
      </c>
      <c r="E174" s="117" t="s">
        <v>1346</v>
      </c>
      <c r="F174" s="117"/>
      <c r="G174" s="117" t="s">
        <v>44</v>
      </c>
      <c r="H174" s="117" t="s">
        <v>1</v>
      </c>
      <c r="I174"/>
      <c r="J174"/>
      <c r="K174" s="117" t="s">
        <v>105</v>
      </c>
      <c r="L174">
        <v>5</v>
      </c>
      <c r="M174" s="117" t="s">
        <v>255</v>
      </c>
      <c r="N174" s="117" t="s">
        <v>4</v>
      </c>
      <c r="O174" s="117" t="s">
        <v>51</v>
      </c>
      <c r="P174" s="117" t="s">
        <v>40</v>
      </c>
      <c r="Q174" s="139">
        <v>20000033</v>
      </c>
      <c r="R174" s="117" t="s">
        <v>78</v>
      </c>
      <c r="S174" s="117" t="s">
        <v>109</v>
      </c>
      <c r="T174" s="117"/>
      <c r="U174" s="117" t="s">
        <v>108</v>
      </c>
      <c r="V174" s="12">
        <f>+IFERROR(IF(VLOOKUP(Q174,COMISIONES!$C$2:$K$33,9,0)&gt;=VLOOKUP(TC!Q174,COMISIONES!$C$2:$I$33,7,0),1,0),0)</f>
        <v>1</v>
      </c>
      <c r="W174" s="262">
        <f>+IF(H174="Segunda",VLOOKUP(_xlfn.CONCAT(P174,G174,H174,V174),'PUNTOS 2021'!$E$23:$F$30,2,0),TC!L174)</f>
        <v>5</v>
      </c>
      <c r="X174" s="67">
        <f>+VLOOKUP(Q174,COMISIONES!$C$2:$AO$33,39,0)</f>
        <v>60</v>
      </c>
      <c r="Y174" s="67">
        <f t="shared" si="2"/>
        <v>300</v>
      </c>
      <c r="Z174" s="58" t="s">
        <v>80</v>
      </c>
      <c r="AA174" s="13">
        <f>+VLOOKUP(Q174,COMISIONES!$C$2:$C$33,1,0)</f>
        <v>20000033</v>
      </c>
      <c r="AB174" s="13" t="s">
        <v>269</v>
      </c>
    </row>
    <row r="175" spans="1:28" hidden="1">
      <c r="A175" s="117" t="s">
        <v>821</v>
      </c>
      <c r="B175" s="138">
        <v>45146</v>
      </c>
      <c r="C175" s="117" t="s">
        <v>1347</v>
      </c>
      <c r="D175" s="117" t="s">
        <v>1348</v>
      </c>
      <c r="E175" s="117" t="s">
        <v>1349</v>
      </c>
      <c r="F175" s="117"/>
      <c r="G175" s="117" t="s">
        <v>43</v>
      </c>
      <c r="H175" s="117" t="s">
        <v>1</v>
      </c>
      <c r="I175"/>
      <c r="J175"/>
      <c r="K175" s="117" t="s">
        <v>105</v>
      </c>
      <c r="L175">
        <v>3</v>
      </c>
      <c r="M175" s="117" t="s">
        <v>122</v>
      </c>
      <c r="N175" s="117" t="s">
        <v>5</v>
      </c>
      <c r="O175" s="117" t="s">
        <v>50</v>
      </c>
      <c r="P175" s="117" t="s">
        <v>40</v>
      </c>
      <c r="Q175" s="139">
        <v>20004566</v>
      </c>
      <c r="R175" s="117" t="s">
        <v>78</v>
      </c>
      <c r="S175" s="117" t="s">
        <v>109</v>
      </c>
      <c r="T175" s="117"/>
      <c r="U175" s="117" t="s">
        <v>108</v>
      </c>
      <c r="V175" s="12">
        <f>+IFERROR(IF(VLOOKUP(Q175,COMISIONES!$C$2:$K$33,9,0)&gt;=VLOOKUP(TC!Q175,COMISIONES!$C$2:$I$33,7,0),1,0),0)</f>
        <v>1</v>
      </c>
      <c r="W175" s="262">
        <f>+IF(H175="Segunda",VLOOKUP(_xlfn.CONCAT(P175,G175,H175,V175),'PUNTOS 2021'!$E$23:$F$30,2,0),TC!L175)</f>
        <v>3</v>
      </c>
      <c r="X175" s="67">
        <f>+VLOOKUP(Q175,COMISIONES!$C$2:$AO$33,39,0)</f>
        <v>60</v>
      </c>
      <c r="Y175" s="67">
        <f t="shared" si="2"/>
        <v>180</v>
      </c>
      <c r="Z175" s="58" t="s">
        <v>80</v>
      </c>
      <c r="AA175" s="13">
        <f>+VLOOKUP(Q175,COMISIONES!$C$2:$C$33,1,0)</f>
        <v>20004566</v>
      </c>
      <c r="AB175" s="13" t="s">
        <v>269</v>
      </c>
    </row>
    <row r="176" spans="1:28" hidden="1">
      <c r="A176" s="117" t="s">
        <v>821</v>
      </c>
      <c r="B176" s="138">
        <v>45146</v>
      </c>
      <c r="C176" s="117" t="s">
        <v>1350</v>
      </c>
      <c r="D176" s="117" t="s">
        <v>1351</v>
      </c>
      <c r="E176" s="117" t="s">
        <v>1352</v>
      </c>
      <c r="F176" s="117"/>
      <c r="G176" s="117" t="s">
        <v>45</v>
      </c>
      <c r="H176" s="117" t="s">
        <v>1</v>
      </c>
      <c r="I176"/>
      <c r="J176"/>
      <c r="K176" s="117" t="s">
        <v>105</v>
      </c>
      <c r="L176">
        <v>7</v>
      </c>
      <c r="M176" s="117" t="s">
        <v>113</v>
      </c>
      <c r="N176" s="117" t="s">
        <v>12</v>
      </c>
      <c r="O176" s="117" t="s">
        <v>49</v>
      </c>
      <c r="P176" s="117" t="s">
        <v>40</v>
      </c>
      <c r="Q176" s="139">
        <v>20007726</v>
      </c>
      <c r="R176" s="117" t="s">
        <v>78</v>
      </c>
      <c r="S176" s="117" t="s">
        <v>109</v>
      </c>
      <c r="T176" s="117"/>
      <c r="U176" s="117" t="s">
        <v>108</v>
      </c>
      <c r="V176" s="12">
        <f>+IFERROR(IF(VLOOKUP(Q176,COMISIONES!$C$2:$K$33,9,0)&gt;=VLOOKUP(TC!Q176,COMISIONES!$C$2:$I$33,7,0),1,0),0)</f>
        <v>1</v>
      </c>
      <c r="W176" s="262">
        <f>+IF(H176="Segunda",VLOOKUP(_xlfn.CONCAT(P176,G176,H176,V176),'PUNTOS 2021'!$E$23:$F$30,2,0),TC!L176)</f>
        <v>7</v>
      </c>
      <c r="X176" s="67">
        <f>+VLOOKUP(Q176,COMISIONES!$C$2:$AO$33,39,0)</f>
        <v>65</v>
      </c>
      <c r="Y176" s="67">
        <f t="shared" si="2"/>
        <v>455</v>
      </c>
      <c r="Z176" s="58" t="s">
        <v>80</v>
      </c>
      <c r="AA176" s="13">
        <f>+VLOOKUP(Q176,COMISIONES!$C$2:$C$33,1,0)</f>
        <v>20007726</v>
      </c>
      <c r="AB176" s="13" t="s">
        <v>269</v>
      </c>
    </row>
    <row r="177" spans="1:28" hidden="1">
      <c r="A177" s="117" t="s">
        <v>821</v>
      </c>
      <c r="B177" s="138">
        <v>45146</v>
      </c>
      <c r="C177" s="117" t="s">
        <v>1353</v>
      </c>
      <c r="D177" s="117" t="s">
        <v>1354</v>
      </c>
      <c r="E177" s="117" t="s">
        <v>1355</v>
      </c>
      <c r="F177" s="117"/>
      <c r="G177" s="117" t="s">
        <v>45</v>
      </c>
      <c r="H177" s="117" t="s">
        <v>1</v>
      </c>
      <c r="I177"/>
      <c r="J177"/>
      <c r="K177" s="117" t="s">
        <v>105</v>
      </c>
      <c r="L177">
        <v>7</v>
      </c>
      <c r="M177" s="117" t="s">
        <v>125</v>
      </c>
      <c r="N177" s="117" t="s">
        <v>18</v>
      </c>
      <c r="O177" s="117" t="s">
        <v>50</v>
      </c>
      <c r="P177" s="117" t="s">
        <v>40</v>
      </c>
      <c r="Q177" s="139">
        <v>20008439</v>
      </c>
      <c r="R177" s="117" t="s">
        <v>78</v>
      </c>
      <c r="S177" s="117" t="s">
        <v>109</v>
      </c>
      <c r="T177" s="117"/>
      <c r="U177" s="117" t="s">
        <v>108</v>
      </c>
      <c r="V177" s="12">
        <f>+IFERROR(IF(VLOOKUP(Q177,COMISIONES!$C$2:$K$33,9,0)&gt;=VLOOKUP(TC!Q177,COMISIONES!$C$2:$I$33,7,0),1,0),0)</f>
        <v>1</v>
      </c>
      <c r="W177" s="262">
        <f>+IF(H177="Segunda",VLOOKUP(_xlfn.CONCAT(P177,G177,H177,V177),'PUNTOS 2021'!$E$23:$F$30,2,0),TC!L177)</f>
        <v>7</v>
      </c>
      <c r="X177" s="67">
        <f>+VLOOKUP(Q177,COMISIONES!$C$2:$AO$33,39,0)</f>
        <v>60</v>
      </c>
      <c r="Y177" s="67">
        <f t="shared" si="2"/>
        <v>420</v>
      </c>
      <c r="Z177" s="58" t="s">
        <v>80</v>
      </c>
      <c r="AA177" s="13">
        <f>+VLOOKUP(Q177,COMISIONES!$C$2:$C$33,1,0)</f>
        <v>20008439</v>
      </c>
      <c r="AB177" s="13" t="s">
        <v>269</v>
      </c>
    </row>
    <row r="178" spans="1:28">
      <c r="A178" s="117" t="s">
        <v>821</v>
      </c>
      <c r="B178" s="138">
        <v>45146</v>
      </c>
      <c r="C178" s="117" t="s">
        <v>1356</v>
      </c>
      <c r="D178" s="117" t="s">
        <v>1357</v>
      </c>
      <c r="E178" s="117" t="s">
        <v>1358</v>
      </c>
      <c r="F178" s="117"/>
      <c r="G178" s="117" t="s">
        <v>43</v>
      </c>
      <c r="H178" s="117" t="s">
        <v>2</v>
      </c>
      <c r="I178"/>
      <c r="J178"/>
      <c r="K178" s="117" t="s">
        <v>105</v>
      </c>
      <c r="L178">
        <v>1</v>
      </c>
      <c r="M178" s="117" t="s">
        <v>125</v>
      </c>
      <c r="N178" s="117" t="s">
        <v>18</v>
      </c>
      <c r="O178" s="117" t="s">
        <v>50</v>
      </c>
      <c r="P178" s="117" t="s">
        <v>40</v>
      </c>
      <c r="Q178" s="139">
        <v>20008439</v>
      </c>
      <c r="R178" s="117" t="s">
        <v>78</v>
      </c>
      <c r="S178" s="117" t="s">
        <v>109</v>
      </c>
      <c r="T178" s="117"/>
      <c r="U178" s="117" t="s">
        <v>108</v>
      </c>
      <c r="V178" s="12">
        <f>+IFERROR(IF(VLOOKUP(Q178,COMISIONES!$C$2:$K$33,9,0)&gt;=VLOOKUP(TC!Q178,COMISIONES!$C$2:$I$33,7,0),1,0),0)</f>
        <v>1</v>
      </c>
      <c r="W178" s="262">
        <f>+IF(H178="Segunda",VLOOKUP(_xlfn.CONCAT(P178,G178,H178,V178),'PUNTOS 2021'!$E$23:$F$30,2,0),TC!L178)</f>
        <v>1</v>
      </c>
      <c r="X178" s="67">
        <f>+VLOOKUP(Q178,COMISIONES!$C$2:$AO$33,39,0)</f>
        <v>60</v>
      </c>
      <c r="Y178" s="67">
        <f t="shared" si="2"/>
        <v>60</v>
      </c>
      <c r="Z178" s="58" t="s">
        <v>80</v>
      </c>
      <c r="AA178" s="13">
        <f>+VLOOKUP(Q178,COMISIONES!$C$2:$C$33,1,0)</f>
        <v>20008439</v>
      </c>
      <c r="AB178" s="13" t="s">
        <v>269</v>
      </c>
    </row>
    <row r="179" spans="1:28" hidden="1">
      <c r="A179" s="117" t="s">
        <v>821</v>
      </c>
      <c r="B179" s="138">
        <v>45146</v>
      </c>
      <c r="C179" s="117" t="s">
        <v>1359</v>
      </c>
      <c r="D179" s="117" t="s">
        <v>1360</v>
      </c>
      <c r="E179" s="117" t="s">
        <v>1361</v>
      </c>
      <c r="F179" s="117"/>
      <c r="G179" s="117" t="s">
        <v>45</v>
      </c>
      <c r="H179" s="117" t="s">
        <v>1</v>
      </c>
      <c r="I179"/>
      <c r="J179"/>
      <c r="K179" s="117" t="s">
        <v>105</v>
      </c>
      <c r="L179">
        <v>7</v>
      </c>
      <c r="M179" s="117" t="s">
        <v>115</v>
      </c>
      <c r="N179" s="117" t="s">
        <v>6</v>
      </c>
      <c r="O179" s="117" t="s">
        <v>51</v>
      </c>
      <c r="P179" s="117" t="s">
        <v>40</v>
      </c>
      <c r="Q179" s="139">
        <v>20001487</v>
      </c>
      <c r="R179" s="117" t="s">
        <v>78</v>
      </c>
      <c r="S179" s="117" t="s">
        <v>109</v>
      </c>
      <c r="T179" s="117"/>
      <c r="U179" s="117" t="s">
        <v>108</v>
      </c>
      <c r="V179" s="12">
        <f>+IFERROR(IF(VLOOKUP(Q179,COMISIONES!$C$2:$K$33,9,0)&gt;=VLOOKUP(TC!Q179,COMISIONES!$C$2:$I$33,7,0),1,0),0)</f>
        <v>1</v>
      </c>
      <c r="W179" s="262">
        <f>+IF(H179="Segunda",VLOOKUP(_xlfn.CONCAT(P179,G179,H179,V179),'PUNTOS 2021'!$E$23:$F$30,2,0),TC!L179)</f>
        <v>7</v>
      </c>
      <c r="X179" s="67">
        <f>+VLOOKUP(Q179,COMISIONES!$C$2:$AO$33,39,0)</f>
        <v>65</v>
      </c>
      <c r="Y179" s="67">
        <f t="shared" si="2"/>
        <v>455</v>
      </c>
      <c r="Z179" s="58" t="s">
        <v>80</v>
      </c>
      <c r="AA179" s="13">
        <f>+VLOOKUP(Q179,COMISIONES!$C$2:$C$33,1,0)</f>
        <v>20001487</v>
      </c>
      <c r="AB179" s="13" t="s">
        <v>269</v>
      </c>
    </row>
    <row r="180" spans="1:28" hidden="1">
      <c r="A180" s="117" t="s">
        <v>821</v>
      </c>
      <c r="B180" s="138">
        <v>45146</v>
      </c>
      <c r="C180" s="117" t="s">
        <v>1362</v>
      </c>
      <c r="D180" s="117" t="s">
        <v>1363</v>
      </c>
      <c r="E180" s="117" t="s">
        <v>1364</v>
      </c>
      <c r="F180" s="117"/>
      <c r="G180" s="117" t="s">
        <v>45</v>
      </c>
      <c r="H180" s="117" t="s">
        <v>1</v>
      </c>
      <c r="I180"/>
      <c r="J180"/>
      <c r="K180" s="117" t="s">
        <v>105</v>
      </c>
      <c r="L180">
        <v>7</v>
      </c>
      <c r="M180" s="117" t="s">
        <v>255</v>
      </c>
      <c r="N180" s="117" t="s">
        <v>4</v>
      </c>
      <c r="O180" s="117" t="s">
        <v>51</v>
      </c>
      <c r="P180" s="117" t="s">
        <v>40</v>
      </c>
      <c r="Q180" s="139">
        <v>20000033</v>
      </c>
      <c r="R180" s="117" t="s">
        <v>78</v>
      </c>
      <c r="S180" s="117" t="s">
        <v>109</v>
      </c>
      <c r="T180" s="117"/>
      <c r="U180" s="117" t="s">
        <v>108</v>
      </c>
      <c r="V180" s="12">
        <f>+IFERROR(IF(VLOOKUP(Q180,COMISIONES!$C$2:$K$33,9,0)&gt;=VLOOKUP(TC!Q180,COMISIONES!$C$2:$I$33,7,0),1,0),0)</f>
        <v>1</v>
      </c>
      <c r="W180" s="262">
        <f>+IF(H180="Segunda",VLOOKUP(_xlfn.CONCAT(P180,G180,H180,V180),'PUNTOS 2021'!$E$23:$F$30,2,0),TC!L180)</f>
        <v>7</v>
      </c>
      <c r="X180" s="67">
        <f>+VLOOKUP(Q180,COMISIONES!$C$2:$AO$33,39,0)</f>
        <v>60</v>
      </c>
      <c r="Y180" s="67">
        <f t="shared" si="2"/>
        <v>420</v>
      </c>
      <c r="Z180" s="58" t="s">
        <v>80</v>
      </c>
      <c r="AA180" s="13">
        <f>+VLOOKUP(Q180,COMISIONES!$C$2:$C$33,1,0)</f>
        <v>20000033</v>
      </c>
      <c r="AB180" s="13" t="s">
        <v>269</v>
      </c>
    </row>
    <row r="181" spans="1:28" hidden="1">
      <c r="A181" s="117" t="s">
        <v>821</v>
      </c>
      <c r="B181" s="138">
        <v>45146</v>
      </c>
      <c r="C181" s="117" t="s">
        <v>1365</v>
      </c>
      <c r="D181" s="117" t="s">
        <v>1366</v>
      </c>
      <c r="E181" s="117" t="s">
        <v>1367</v>
      </c>
      <c r="F181" s="117"/>
      <c r="G181" s="117" t="s">
        <v>43</v>
      </c>
      <c r="H181" s="117" t="s">
        <v>1</v>
      </c>
      <c r="I181"/>
      <c r="J181"/>
      <c r="K181" s="117" t="s">
        <v>105</v>
      </c>
      <c r="L181">
        <v>3</v>
      </c>
      <c r="M181" s="117" t="s">
        <v>257</v>
      </c>
      <c r="N181" s="117" t="s">
        <v>15</v>
      </c>
      <c r="O181" s="117" t="s">
        <v>52</v>
      </c>
      <c r="P181" s="117" t="s">
        <v>40</v>
      </c>
      <c r="Q181" s="139">
        <v>20005527</v>
      </c>
      <c r="R181" s="117" t="s">
        <v>78</v>
      </c>
      <c r="S181" s="117" t="s">
        <v>109</v>
      </c>
      <c r="T181" s="117"/>
      <c r="U181" s="117" t="s">
        <v>108</v>
      </c>
      <c r="V181" s="12">
        <f>+IFERROR(IF(VLOOKUP(Q181,COMISIONES!$C$2:$K$33,9,0)&gt;=VLOOKUP(TC!Q181,COMISIONES!$C$2:$I$33,7,0),1,0),0)</f>
        <v>0</v>
      </c>
      <c r="W181" s="262">
        <f>+IF(H181="Segunda",VLOOKUP(_xlfn.CONCAT(P181,G181,H181,V181),'PUNTOS 2021'!$E$23:$F$30,2,0),TC!L181)</f>
        <v>3</v>
      </c>
      <c r="X181" s="67">
        <f>+VLOOKUP(Q181,COMISIONES!$C$2:$AO$33,39,0)</f>
        <v>40</v>
      </c>
      <c r="Y181" s="67">
        <f t="shared" si="2"/>
        <v>120</v>
      </c>
      <c r="Z181" s="58" t="s">
        <v>80</v>
      </c>
      <c r="AA181" s="13">
        <f>+VLOOKUP(Q181,COMISIONES!$C$2:$C$33,1,0)</f>
        <v>20005527</v>
      </c>
      <c r="AB181" s="13" t="s">
        <v>269</v>
      </c>
    </row>
    <row r="182" spans="1:28" hidden="1">
      <c r="A182" s="117" t="s">
        <v>821</v>
      </c>
      <c r="B182" s="138">
        <v>45146</v>
      </c>
      <c r="C182" s="117" t="s">
        <v>1368</v>
      </c>
      <c r="D182" s="117" t="s">
        <v>1369</v>
      </c>
      <c r="E182" s="117" t="s">
        <v>1370</v>
      </c>
      <c r="F182" s="117"/>
      <c r="G182" s="117" t="s">
        <v>44</v>
      </c>
      <c r="H182" s="117" t="s">
        <v>1</v>
      </c>
      <c r="I182"/>
      <c r="J182"/>
      <c r="K182" s="117" t="s">
        <v>105</v>
      </c>
      <c r="L182">
        <v>5</v>
      </c>
      <c r="M182" s="117" t="s">
        <v>115</v>
      </c>
      <c r="N182" s="117" t="s">
        <v>6</v>
      </c>
      <c r="O182" s="117" t="s">
        <v>51</v>
      </c>
      <c r="P182" s="117" t="s">
        <v>40</v>
      </c>
      <c r="Q182" s="139">
        <v>20001487</v>
      </c>
      <c r="R182" s="117" t="s">
        <v>78</v>
      </c>
      <c r="S182" s="117" t="s">
        <v>109</v>
      </c>
      <c r="T182" s="117"/>
      <c r="U182" s="117" t="s">
        <v>108</v>
      </c>
      <c r="V182" s="12">
        <f>+IFERROR(IF(VLOOKUP(Q182,COMISIONES!$C$2:$K$33,9,0)&gt;=VLOOKUP(TC!Q182,COMISIONES!$C$2:$I$33,7,0),1,0),0)</f>
        <v>1</v>
      </c>
      <c r="W182" s="262">
        <f>+IF(H182="Segunda",VLOOKUP(_xlfn.CONCAT(P182,G182,H182,V182),'PUNTOS 2021'!$E$23:$F$30,2,0),TC!L182)</f>
        <v>5</v>
      </c>
      <c r="X182" s="67">
        <f>+VLOOKUP(Q182,COMISIONES!$C$2:$AO$33,39,0)</f>
        <v>65</v>
      </c>
      <c r="Y182" s="67">
        <f t="shared" si="2"/>
        <v>325</v>
      </c>
      <c r="Z182" s="58" t="s">
        <v>80</v>
      </c>
      <c r="AA182" s="13">
        <f>+VLOOKUP(Q182,COMISIONES!$C$2:$C$33,1,0)</f>
        <v>20001487</v>
      </c>
      <c r="AB182" s="13" t="s">
        <v>269</v>
      </c>
    </row>
    <row r="183" spans="1:28" hidden="1">
      <c r="A183" s="117" t="s">
        <v>821</v>
      </c>
      <c r="B183" s="138">
        <v>45147</v>
      </c>
      <c r="C183" s="117" t="s">
        <v>1371</v>
      </c>
      <c r="D183" s="117" t="s">
        <v>1372</v>
      </c>
      <c r="E183" s="117" t="s">
        <v>1373</v>
      </c>
      <c r="F183" s="117"/>
      <c r="G183" s="117" t="s">
        <v>44</v>
      </c>
      <c r="H183" s="117" t="s">
        <v>1</v>
      </c>
      <c r="I183"/>
      <c r="J183"/>
      <c r="K183" s="117" t="s">
        <v>129</v>
      </c>
      <c r="L183">
        <v>5</v>
      </c>
      <c r="M183" s="117" t="s">
        <v>125</v>
      </c>
      <c r="N183" s="117" t="s">
        <v>18</v>
      </c>
      <c r="O183" s="117" t="s">
        <v>50</v>
      </c>
      <c r="P183" s="117" t="s">
        <v>40</v>
      </c>
      <c r="Q183" s="139">
        <v>20008439</v>
      </c>
      <c r="R183" s="117" t="s">
        <v>78</v>
      </c>
      <c r="S183" s="117" t="s">
        <v>109</v>
      </c>
      <c r="T183" s="117" t="s">
        <v>109</v>
      </c>
      <c r="U183" s="117" t="s">
        <v>128</v>
      </c>
      <c r="V183" s="12">
        <f>+IFERROR(IF(VLOOKUP(Q183,COMISIONES!$C$2:$K$33,9,0)&gt;=VLOOKUP(TC!Q183,COMISIONES!$C$2:$I$33,7,0),1,0),0)</f>
        <v>1</v>
      </c>
      <c r="W183" s="262">
        <f>+IF(H183="Segunda",VLOOKUP(_xlfn.CONCAT(P183,G183,H183,V183),'PUNTOS 2021'!$E$23:$F$30,2,0),TC!L183)</f>
        <v>5</v>
      </c>
      <c r="X183" s="67">
        <f>+VLOOKUP(Q183,COMISIONES!$C$2:$AO$33,39,0)</f>
        <v>60</v>
      </c>
      <c r="Y183" s="67">
        <f t="shared" si="2"/>
        <v>300</v>
      </c>
      <c r="Z183" s="58" t="s">
        <v>80</v>
      </c>
      <c r="AA183" s="13">
        <f>+VLOOKUP(Q183,COMISIONES!$C$2:$C$33,1,0)</f>
        <v>20008439</v>
      </c>
      <c r="AB183" s="13" t="s">
        <v>269</v>
      </c>
    </row>
    <row r="184" spans="1:28" hidden="1">
      <c r="A184" s="117" t="s">
        <v>821</v>
      </c>
      <c r="B184" s="138">
        <v>45147</v>
      </c>
      <c r="C184" s="117" t="s">
        <v>1374</v>
      </c>
      <c r="D184" s="117" t="s">
        <v>1375</v>
      </c>
      <c r="E184" s="117" t="s">
        <v>1376</v>
      </c>
      <c r="F184" s="117"/>
      <c r="G184" s="117" t="s">
        <v>43</v>
      </c>
      <c r="H184" s="117" t="s">
        <v>1</v>
      </c>
      <c r="I184"/>
      <c r="J184"/>
      <c r="K184" s="117" t="s">
        <v>105</v>
      </c>
      <c r="L184">
        <v>3</v>
      </c>
      <c r="M184" s="117" t="s">
        <v>262</v>
      </c>
      <c r="N184" s="117" t="s">
        <v>7</v>
      </c>
      <c r="O184" s="117" t="s">
        <v>52</v>
      </c>
      <c r="P184" s="117" t="s">
        <v>40</v>
      </c>
      <c r="Q184" s="139">
        <v>20007352</v>
      </c>
      <c r="R184" s="117" t="s">
        <v>78</v>
      </c>
      <c r="S184" s="117" t="s">
        <v>109</v>
      </c>
      <c r="T184" s="117"/>
      <c r="U184" s="117" t="s">
        <v>108</v>
      </c>
      <c r="V184" s="12">
        <f>+IFERROR(IF(VLOOKUP(Q184,COMISIONES!$C$2:$K$33,9,0)&gt;=VLOOKUP(TC!Q184,COMISIONES!$C$2:$I$33,7,0),1,0),0)</f>
        <v>0</v>
      </c>
      <c r="W184" s="262">
        <f>+IF(H184="Segunda",VLOOKUP(_xlfn.CONCAT(P184,G184,H184,V184),'PUNTOS 2021'!$E$23:$F$30,2,0),TC!L184)</f>
        <v>3</v>
      </c>
      <c r="X184" s="67">
        <f>+VLOOKUP(Q184,COMISIONES!$C$2:$AO$33,39,0)</f>
        <v>30</v>
      </c>
      <c r="Y184" s="67">
        <f t="shared" si="2"/>
        <v>90</v>
      </c>
      <c r="Z184" s="58" t="s">
        <v>80</v>
      </c>
      <c r="AA184" s="13">
        <f>+VLOOKUP(Q184,COMISIONES!$C$2:$C$33,1,0)</f>
        <v>20007352</v>
      </c>
      <c r="AB184" s="13" t="s">
        <v>269</v>
      </c>
    </row>
    <row r="185" spans="1:28" hidden="1">
      <c r="A185" s="117" t="s">
        <v>821</v>
      </c>
      <c r="B185" s="138">
        <v>45147</v>
      </c>
      <c r="C185" s="117" t="s">
        <v>1377</v>
      </c>
      <c r="D185" s="117" t="s">
        <v>1378</v>
      </c>
      <c r="E185" s="117" t="s">
        <v>1379</v>
      </c>
      <c r="F185" s="117"/>
      <c r="G185" s="117" t="s">
        <v>44</v>
      </c>
      <c r="H185" s="117" t="s">
        <v>1</v>
      </c>
      <c r="I185"/>
      <c r="J185"/>
      <c r="K185" s="117" t="s">
        <v>129</v>
      </c>
      <c r="L185">
        <v>5</v>
      </c>
      <c r="M185" s="117" t="s">
        <v>161</v>
      </c>
      <c r="N185" s="117" t="s">
        <v>158</v>
      </c>
      <c r="O185" s="117" t="s">
        <v>50</v>
      </c>
      <c r="P185" s="117" t="s">
        <v>40</v>
      </c>
      <c r="Q185" s="139">
        <v>20006162</v>
      </c>
      <c r="R185" s="117" t="s">
        <v>78</v>
      </c>
      <c r="S185" s="117" t="s">
        <v>109</v>
      </c>
      <c r="T185" s="117" t="s">
        <v>109</v>
      </c>
      <c r="U185" s="117" t="s">
        <v>128</v>
      </c>
      <c r="V185" s="12">
        <f>+IFERROR(IF(VLOOKUP(Q185,COMISIONES!$C$2:$K$33,9,0)&gt;=VLOOKUP(TC!Q185,COMISIONES!$C$2:$I$33,7,0),1,0),0)</f>
        <v>0</v>
      </c>
      <c r="W185" s="262">
        <f>+IF(H185="Segunda",VLOOKUP(_xlfn.CONCAT(P185,G185,H185,V185),'PUNTOS 2021'!$E$23:$F$30,2,0),TC!L185)</f>
        <v>5</v>
      </c>
      <c r="X185" s="67">
        <f>+VLOOKUP(Q185,COMISIONES!$C$2:$AO$33,39,0)</f>
        <v>60</v>
      </c>
      <c r="Y185" s="67">
        <f t="shared" si="2"/>
        <v>300</v>
      </c>
      <c r="Z185" s="58" t="s">
        <v>80</v>
      </c>
      <c r="AA185" s="13">
        <f>+VLOOKUP(Q185,COMISIONES!$C$2:$C$33,1,0)</f>
        <v>20006162</v>
      </c>
      <c r="AB185" s="13" t="s">
        <v>269</v>
      </c>
    </row>
    <row r="186" spans="1:28">
      <c r="A186" s="117" t="s">
        <v>821</v>
      </c>
      <c r="B186" s="138">
        <v>45147</v>
      </c>
      <c r="C186" s="117" t="s">
        <v>1380</v>
      </c>
      <c r="D186" s="117" t="s">
        <v>1381</v>
      </c>
      <c r="E186" s="117" t="s">
        <v>1382</v>
      </c>
      <c r="F186" s="117"/>
      <c r="G186" s="117" t="s">
        <v>45</v>
      </c>
      <c r="H186" s="117" t="s">
        <v>2</v>
      </c>
      <c r="I186"/>
      <c r="J186"/>
      <c r="K186" s="117" t="s">
        <v>117</v>
      </c>
      <c r="L186">
        <v>2</v>
      </c>
      <c r="M186" s="117" t="s">
        <v>260</v>
      </c>
      <c r="N186" s="117" t="s">
        <v>261</v>
      </c>
      <c r="O186" s="117" t="s">
        <v>52</v>
      </c>
      <c r="P186" s="117" t="s">
        <v>40</v>
      </c>
      <c r="Q186" s="139">
        <v>20010262</v>
      </c>
      <c r="R186" s="117" t="s">
        <v>78</v>
      </c>
      <c r="S186" s="117" t="s">
        <v>109</v>
      </c>
      <c r="T186" s="117" t="s">
        <v>109</v>
      </c>
      <c r="U186" s="117" t="s">
        <v>128</v>
      </c>
      <c r="V186" s="12">
        <f>+IFERROR(IF(VLOOKUP(Q186,COMISIONES!$C$2:$K$33,9,0)&gt;=VLOOKUP(TC!Q186,COMISIONES!$C$2:$I$33,7,0),1,0),0)</f>
        <v>0</v>
      </c>
      <c r="W186" s="262">
        <f>+IF(H186="Segunda",VLOOKUP(_xlfn.CONCAT(P186,G186,H186,V186),'PUNTOS 2021'!$E$23:$F$30,2,0),TC!L186)</f>
        <v>0.5</v>
      </c>
      <c r="X186" s="67">
        <f>+VLOOKUP(Q186,COMISIONES!$C$2:$AO$33,39,0)</f>
        <v>60</v>
      </c>
      <c r="Y186" s="67">
        <f t="shared" si="2"/>
        <v>30</v>
      </c>
      <c r="Z186" s="58" t="s">
        <v>80</v>
      </c>
      <c r="AA186" s="13">
        <f>+VLOOKUP(Q186,COMISIONES!$C$2:$C$33,1,0)</f>
        <v>20010262</v>
      </c>
      <c r="AB186" s="13" t="s">
        <v>269</v>
      </c>
    </row>
    <row r="187" spans="1:28">
      <c r="A187" s="117" t="s">
        <v>821</v>
      </c>
      <c r="B187" s="138">
        <v>45147</v>
      </c>
      <c r="C187" s="117" t="s">
        <v>1383</v>
      </c>
      <c r="D187" s="117" t="s">
        <v>1384</v>
      </c>
      <c r="E187" s="117" t="s">
        <v>1385</v>
      </c>
      <c r="F187" s="117"/>
      <c r="G187" s="117" t="s">
        <v>44</v>
      </c>
      <c r="H187" s="117" t="s">
        <v>2</v>
      </c>
      <c r="I187"/>
      <c r="J187"/>
      <c r="K187" s="117" t="s">
        <v>105</v>
      </c>
      <c r="L187">
        <v>1</v>
      </c>
      <c r="M187" s="117" t="s">
        <v>120</v>
      </c>
      <c r="N187" s="117" t="s">
        <v>21</v>
      </c>
      <c r="O187" s="117" t="s">
        <v>50</v>
      </c>
      <c r="P187" s="117" t="s">
        <v>40</v>
      </c>
      <c r="Q187" s="139">
        <v>20008711</v>
      </c>
      <c r="R187" s="117" t="s">
        <v>78</v>
      </c>
      <c r="S187" s="117" t="s">
        <v>109</v>
      </c>
      <c r="T187" s="117"/>
      <c r="U187" s="117" t="s">
        <v>108</v>
      </c>
      <c r="V187" s="12">
        <f>+IFERROR(IF(VLOOKUP(Q187,COMISIONES!$C$2:$K$33,9,0)&gt;=VLOOKUP(TC!Q187,COMISIONES!$C$2:$I$33,7,0),1,0),0)</f>
        <v>0</v>
      </c>
      <c r="W187" s="262">
        <f>+IF(H187="Segunda",VLOOKUP(_xlfn.CONCAT(P187,G187,H187,V187),'PUNTOS 2021'!$E$23:$F$30,2,0),TC!L187)</f>
        <v>0.5</v>
      </c>
      <c r="X187" s="67">
        <f>+VLOOKUP(Q187,COMISIONES!$C$2:$AO$33,39,0)</f>
        <v>60</v>
      </c>
      <c r="Y187" s="67">
        <f t="shared" si="2"/>
        <v>30</v>
      </c>
      <c r="Z187" s="58" t="s">
        <v>80</v>
      </c>
      <c r="AA187" s="13">
        <f>+VLOOKUP(Q187,COMISIONES!$C$2:$C$33,1,0)</f>
        <v>20008711</v>
      </c>
      <c r="AB187" s="13" t="s">
        <v>269</v>
      </c>
    </row>
    <row r="188" spans="1:28" hidden="1">
      <c r="A188" s="117" t="s">
        <v>821</v>
      </c>
      <c r="B188" s="138">
        <v>45147</v>
      </c>
      <c r="C188" s="117" t="s">
        <v>1386</v>
      </c>
      <c r="D188" s="117" t="s">
        <v>1387</v>
      </c>
      <c r="E188" s="117" t="s">
        <v>1388</v>
      </c>
      <c r="F188" s="117"/>
      <c r="G188" s="117" t="s">
        <v>45</v>
      </c>
      <c r="H188" s="117" t="s">
        <v>1</v>
      </c>
      <c r="I188"/>
      <c r="J188"/>
      <c r="K188" s="117" t="s">
        <v>105</v>
      </c>
      <c r="L188">
        <v>7</v>
      </c>
      <c r="M188" s="117" t="s">
        <v>257</v>
      </c>
      <c r="N188" s="117" t="s">
        <v>15</v>
      </c>
      <c r="O188" s="117" t="s">
        <v>52</v>
      </c>
      <c r="P188" s="117" t="s">
        <v>40</v>
      </c>
      <c r="Q188" s="139">
        <v>20005527</v>
      </c>
      <c r="R188" s="117" t="s">
        <v>78</v>
      </c>
      <c r="S188" s="117" t="s">
        <v>109</v>
      </c>
      <c r="T188" s="117"/>
      <c r="U188" s="117" t="s">
        <v>108</v>
      </c>
      <c r="V188" s="12">
        <f>+IFERROR(IF(VLOOKUP(Q188,COMISIONES!$C$2:$K$33,9,0)&gt;=VLOOKUP(TC!Q188,COMISIONES!$C$2:$I$33,7,0),1,0),0)</f>
        <v>0</v>
      </c>
      <c r="W188" s="262">
        <f>+IF(H188="Segunda",VLOOKUP(_xlfn.CONCAT(P188,G188,H188,V188),'PUNTOS 2021'!$E$23:$F$30,2,0),TC!L188)</f>
        <v>7</v>
      </c>
      <c r="X188" s="67">
        <f>+VLOOKUP(Q188,COMISIONES!$C$2:$AO$33,39,0)</f>
        <v>40</v>
      </c>
      <c r="Y188" s="67">
        <f t="shared" ref="Y188:Y251" si="3">X188*W188</f>
        <v>280</v>
      </c>
      <c r="Z188" s="58" t="s">
        <v>80</v>
      </c>
      <c r="AA188" s="13">
        <f>+VLOOKUP(Q188,COMISIONES!$C$2:$C$33,1,0)</f>
        <v>20005527</v>
      </c>
      <c r="AB188" s="13" t="s">
        <v>269</v>
      </c>
    </row>
    <row r="189" spans="1:28" hidden="1">
      <c r="A189" s="117" t="s">
        <v>821</v>
      </c>
      <c r="B189" s="138">
        <v>45147</v>
      </c>
      <c r="C189" s="117" t="s">
        <v>1389</v>
      </c>
      <c r="D189" s="117" t="s">
        <v>1390</v>
      </c>
      <c r="E189" s="117" t="s">
        <v>1391</v>
      </c>
      <c r="F189" s="117"/>
      <c r="G189" s="117" t="s">
        <v>45</v>
      </c>
      <c r="H189" s="117" t="s">
        <v>1</v>
      </c>
      <c r="I189"/>
      <c r="J189"/>
      <c r="K189" s="117" t="s">
        <v>105</v>
      </c>
      <c r="L189">
        <v>7</v>
      </c>
      <c r="M189" s="117" t="s">
        <v>115</v>
      </c>
      <c r="N189" s="117" t="s">
        <v>6</v>
      </c>
      <c r="O189" s="117" t="s">
        <v>51</v>
      </c>
      <c r="P189" s="117" t="s">
        <v>40</v>
      </c>
      <c r="Q189" s="139">
        <v>20001487</v>
      </c>
      <c r="R189" s="117" t="s">
        <v>78</v>
      </c>
      <c r="S189" s="117" t="s">
        <v>109</v>
      </c>
      <c r="T189" s="117"/>
      <c r="U189" s="117" t="s">
        <v>108</v>
      </c>
      <c r="V189" s="12">
        <f>+IFERROR(IF(VLOOKUP(Q189,COMISIONES!$C$2:$K$33,9,0)&gt;=VLOOKUP(TC!Q189,COMISIONES!$C$2:$I$33,7,0),1,0),0)</f>
        <v>1</v>
      </c>
      <c r="W189" s="262">
        <f>+IF(H189="Segunda",VLOOKUP(_xlfn.CONCAT(P189,G189,H189,V189),'PUNTOS 2021'!$E$23:$F$30,2,0),TC!L189)</f>
        <v>7</v>
      </c>
      <c r="X189" s="67">
        <f>+VLOOKUP(Q189,COMISIONES!$C$2:$AO$33,39,0)</f>
        <v>65</v>
      </c>
      <c r="Y189" s="67">
        <f t="shared" si="3"/>
        <v>455</v>
      </c>
      <c r="Z189" s="58" t="s">
        <v>80</v>
      </c>
      <c r="AA189" s="13">
        <f>+VLOOKUP(Q189,COMISIONES!$C$2:$C$33,1,0)</f>
        <v>20001487</v>
      </c>
      <c r="AB189" s="13" t="s">
        <v>269</v>
      </c>
    </row>
    <row r="190" spans="1:28">
      <c r="A190" s="117" t="s">
        <v>821</v>
      </c>
      <c r="B190" s="138">
        <v>45147</v>
      </c>
      <c r="C190" s="117" t="s">
        <v>1392</v>
      </c>
      <c r="D190" s="117" t="s">
        <v>1393</v>
      </c>
      <c r="E190" s="117" t="s">
        <v>1394</v>
      </c>
      <c r="F190" s="117"/>
      <c r="G190" s="117" t="s">
        <v>45</v>
      </c>
      <c r="H190" s="117" t="s">
        <v>2</v>
      </c>
      <c r="I190"/>
      <c r="J190"/>
      <c r="K190" s="117" t="s">
        <v>105</v>
      </c>
      <c r="L190">
        <v>2</v>
      </c>
      <c r="M190" s="117" t="s">
        <v>106</v>
      </c>
      <c r="N190" s="117" t="s">
        <v>8</v>
      </c>
      <c r="O190" s="117" t="s">
        <v>51</v>
      </c>
      <c r="P190" s="117" t="s">
        <v>40</v>
      </c>
      <c r="Q190" s="139">
        <v>20002636</v>
      </c>
      <c r="R190" s="117" t="s">
        <v>78</v>
      </c>
      <c r="S190" s="117" t="s">
        <v>109</v>
      </c>
      <c r="T190" s="117"/>
      <c r="U190" s="117" t="s">
        <v>108</v>
      </c>
      <c r="V190" s="12">
        <f>+IFERROR(IF(VLOOKUP(Q190,COMISIONES!$C$2:$K$33,9,0)&gt;=VLOOKUP(TC!Q190,COMISIONES!$C$2:$I$33,7,0),1,0),0)</f>
        <v>0</v>
      </c>
      <c r="W190" s="262">
        <f>+IF(H190="Segunda",VLOOKUP(_xlfn.CONCAT(P190,G190,H190,V190),'PUNTOS 2021'!$E$23:$F$30,2,0),TC!L190)</f>
        <v>0.5</v>
      </c>
      <c r="X190" s="67">
        <f>+VLOOKUP(Q190,COMISIONES!$C$2:$AO$33,39,0)</f>
        <v>40</v>
      </c>
      <c r="Y190" s="67">
        <f t="shared" si="3"/>
        <v>20</v>
      </c>
      <c r="Z190" s="58" t="s">
        <v>80</v>
      </c>
      <c r="AA190" s="13">
        <f>+VLOOKUP(Q190,COMISIONES!$C$2:$C$33,1,0)</f>
        <v>20002636</v>
      </c>
      <c r="AB190" s="13" t="s">
        <v>269</v>
      </c>
    </row>
    <row r="191" spans="1:28" hidden="1">
      <c r="A191" s="117" t="s">
        <v>821</v>
      </c>
      <c r="B191" s="138">
        <v>45147</v>
      </c>
      <c r="C191" s="117" t="s">
        <v>1395</v>
      </c>
      <c r="D191" s="117" t="s">
        <v>1381</v>
      </c>
      <c r="E191" s="117" t="s">
        <v>1396</v>
      </c>
      <c r="F191" s="117"/>
      <c r="G191" s="117" t="s">
        <v>45</v>
      </c>
      <c r="H191" s="117" t="s">
        <v>1</v>
      </c>
      <c r="I191"/>
      <c r="J191"/>
      <c r="K191" s="117" t="s">
        <v>129</v>
      </c>
      <c r="L191">
        <v>7</v>
      </c>
      <c r="M191" s="117" t="s">
        <v>260</v>
      </c>
      <c r="N191" s="117" t="s">
        <v>261</v>
      </c>
      <c r="O191" s="117" t="s">
        <v>52</v>
      </c>
      <c r="P191" s="117" t="s">
        <v>40</v>
      </c>
      <c r="Q191" s="139">
        <v>20010262</v>
      </c>
      <c r="R191" s="117" t="s">
        <v>78</v>
      </c>
      <c r="S191" s="117" t="s">
        <v>109</v>
      </c>
      <c r="T191" s="117" t="s">
        <v>109</v>
      </c>
      <c r="U191" s="117" t="s">
        <v>128</v>
      </c>
      <c r="V191" s="12">
        <f>+IFERROR(IF(VLOOKUP(Q191,COMISIONES!$C$2:$K$33,9,0)&gt;=VLOOKUP(TC!Q191,COMISIONES!$C$2:$I$33,7,0),1,0),0)</f>
        <v>0</v>
      </c>
      <c r="W191" s="262">
        <f>+IF(H191="Segunda",VLOOKUP(_xlfn.CONCAT(P191,G191,H191,V191),'PUNTOS 2021'!$E$23:$F$30,2,0),TC!L191)</f>
        <v>7</v>
      </c>
      <c r="X191" s="67">
        <f>+VLOOKUP(Q191,COMISIONES!$C$2:$AO$33,39,0)</f>
        <v>60</v>
      </c>
      <c r="Y191" s="67">
        <f t="shared" si="3"/>
        <v>420</v>
      </c>
      <c r="Z191" s="58" t="s">
        <v>80</v>
      </c>
      <c r="AA191" s="13">
        <f>+VLOOKUP(Q191,COMISIONES!$C$2:$C$33,1,0)</f>
        <v>20010262</v>
      </c>
      <c r="AB191" s="13" t="s">
        <v>269</v>
      </c>
    </row>
    <row r="192" spans="1:28" hidden="1">
      <c r="A192" s="117" t="s">
        <v>821</v>
      </c>
      <c r="B192" s="138">
        <v>45148</v>
      </c>
      <c r="C192" s="117" t="s">
        <v>1397</v>
      </c>
      <c r="D192" s="117" t="s">
        <v>1398</v>
      </c>
      <c r="E192" s="117" t="s">
        <v>1399</v>
      </c>
      <c r="F192" s="117"/>
      <c r="G192" s="117" t="s">
        <v>43</v>
      </c>
      <c r="H192" s="117" t="s">
        <v>1</v>
      </c>
      <c r="I192"/>
      <c r="J192"/>
      <c r="K192" s="117" t="s">
        <v>105</v>
      </c>
      <c r="L192">
        <v>3</v>
      </c>
      <c r="M192" s="117" t="s">
        <v>256</v>
      </c>
      <c r="N192" s="117" t="s">
        <v>236</v>
      </c>
      <c r="O192" s="117" t="s">
        <v>49</v>
      </c>
      <c r="P192" s="117" t="s">
        <v>40</v>
      </c>
      <c r="Q192" s="139">
        <v>20010101</v>
      </c>
      <c r="R192" s="117" t="s">
        <v>78</v>
      </c>
      <c r="S192" s="117" t="s">
        <v>109</v>
      </c>
      <c r="T192" s="117"/>
      <c r="U192" s="117" t="s">
        <v>108</v>
      </c>
      <c r="V192" s="12">
        <f>+IFERROR(IF(VLOOKUP(Q192,COMISIONES!$C$2:$K$33,9,0)&gt;=VLOOKUP(TC!Q192,COMISIONES!$C$2:$I$33,7,0),1,0),0)</f>
        <v>0</v>
      </c>
      <c r="W192" s="262">
        <f>+IF(H192="Segunda",VLOOKUP(_xlfn.CONCAT(P192,G192,H192,V192),'PUNTOS 2021'!$E$23:$F$30,2,0),TC!L192)</f>
        <v>3</v>
      </c>
      <c r="X192" s="67">
        <f>+VLOOKUP(Q192,COMISIONES!$C$2:$AO$33,39,0)</f>
        <v>65</v>
      </c>
      <c r="Y192" s="67">
        <f t="shared" si="3"/>
        <v>195</v>
      </c>
      <c r="Z192" s="58" t="s">
        <v>80</v>
      </c>
      <c r="AA192" s="13">
        <f>+VLOOKUP(Q192,COMISIONES!$C$2:$C$33,1,0)</f>
        <v>20010101</v>
      </c>
      <c r="AB192" s="13" t="s">
        <v>269</v>
      </c>
    </row>
    <row r="193" spans="1:28" hidden="1">
      <c r="A193" s="117" t="s">
        <v>821</v>
      </c>
      <c r="B193" s="138">
        <v>45148</v>
      </c>
      <c r="C193" s="117" t="s">
        <v>1400</v>
      </c>
      <c r="D193" s="117" t="s">
        <v>1401</v>
      </c>
      <c r="E193" s="117" t="s">
        <v>1402</v>
      </c>
      <c r="F193" s="117"/>
      <c r="G193" s="117" t="s">
        <v>43</v>
      </c>
      <c r="H193" s="117" t="s">
        <v>1</v>
      </c>
      <c r="I193"/>
      <c r="J193"/>
      <c r="K193" s="117" t="s">
        <v>130</v>
      </c>
      <c r="L193">
        <v>3</v>
      </c>
      <c r="M193" s="117" t="s">
        <v>123</v>
      </c>
      <c r="N193" s="117" t="s">
        <v>23</v>
      </c>
      <c r="O193" s="117" t="s">
        <v>49</v>
      </c>
      <c r="P193" s="117" t="s">
        <v>40</v>
      </c>
      <c r="Q193" s="139">
        <v>20009269</v>
      </c>
      <c r="R193" s="117" t="s">
        <v>78</v>
      </c>
      <c r="S193" s="117" t="s">
        <v>109</v>
      </c>
      <c r="T193" s="117" t="s">
        <v>109</v>
      </c>
      <c r="U193" s="117" t="s">
        <v>128</v>
      </c>
      <c r="V193" s="12">
        <f>+IFERROR(IF(VLOOKUP(Q193,COMISIONES!$C$2:$K$33,9,0)&gt;=VLOOKUP(TC!Q193,COMISIONES!$C$2:$I$33,7,0),1,0),0)</f>
        <v>1</v>
      </c>
      <c r="W193" s="262">
        <f>+IF(H193="Segunda",VLOOKUP(_xlfn.CONCAT(P193,G193,H193,V193),'PUNTOS 2021'!$E$23:$F$30,2,0),TC!L193)</f>
        <v>3</v>
      </c>
      <c r="X193" s="67">
        <f>+VLOOKUP(Q193,COMISIONES!$C$2:$AO$33,39,0)</f>
        <v>65</v>
      </c>
      <c r="Y193" s="67">
        <f t="shared" si="3"/>
        <v>195</v>
      </c>
      <c r="Z193" s="58" t="s">
        <v>80</v>
      </c>
      <c r="AA193" s="13">
        <f>+VLOOKUP(Q193,COMISIONES!$C$2:$C$33,1,0)</f>
        <v>20009269</v>
      </c>
      <c r="AB193" s="13" t="s">
        <v>269</v>
      </c>
    </row>
    <row r="194" spans="1:28" hidden="1">
      <c r="A194" s="117" t="s">
        <v>821</v>
      </c>
      <c r="B194" s="138">
        <v>45148</v>
      </c>
      <c r="C194" s="117" t="s">
        <v>1403</v>
      </c>
      <c r="D194" s="117" t="s">
        <v>1404</v>
      </c>
      <c r="E194" s="117" t="s">
        <v>1405</v>
      </c>
      <c r="F194" s="117"/>
      <c r="G194" s="117" t="s">
        <v>43</v>
      </c>
      <c r="H194" s="117" t="s">
        <v>1</v>
      </c>
      <c r="I194"/>
      <c r="J194"/>
      <c r="K194" s="117" t="s">
        <v>129</v>
      </c>
      <c r="L194">
        <v>3</v>
      </c>
      <c r="M194" s="117" t="s">
        <v>260</v>
      </c>
      <c r="N194" s="117" t="s">
        <v>261</v>
      </c>
      <c r="O194" s="117" t="s">
        <v>52</v>
      </c>
      <c r="P194" s="117" t="s">
        <v>40</v>
      </c>
      <c r="Q194" s="139">
        <v>20010262</v>
      </c>
      <c r="R194" s="117" t="s">
        <v>78</v>
      </c>
      <c r="S194" s="117" t="s">
        <v>109</v>
      </c>
      <c r="T194" s="117" t="s">
        <v>109</v>
      </c>
      <c r="U194" s="117" t="s">
        <v>128</v>
      </c>
      <c r="V194" s="12">
        <f>+IFERROR(IF(VLOOKUP(Q194,COMISIONES!$C$2:$K$33,9,0)&gt;=VLOOKUP(TC!Q194,COMISIONES!$C$2:$I$33,7,0),1,0),0)</f>
        <v>0</v>
      </c>
      <c r="W194" s="262">
        <f>+IF(H194="Segunda",VLOOKUP(_xlfn.CONCAT(P194,G194,H194,V194),'PUNTOS 2021'!$E$23:$F$30,2,0),TC!L194)</f>
        <v>3</v>
      </c>
      <c r="X194" s="67">
        <f>+VLOOKUP(Q194,COMISIONES!$C$2:$AO$33,39,0)</f>
        <v>60</v>
      </c>
      <c r="Y194" s="67">
        <f t="shared" si="3"/>
        <v>180</v>
      </c>
      <c r="Z194" s="58" t="s">
        <v>80</v>
      </c>
      <c r="AA194" s="13">
        <f>+VLOOKUP(Q194,COMISIONES!$C$2:$C$33,1,0)</f>
        <v>20010262</v>
      </c>
      <c r="AB194" s="13" t="s">
        <v>269</v>
      </c>
    </row>
    <row r="195" spans="1:28" hidden="1">
      <c r="A195" s="117" t="s">
        <v>821</v>
      </c>
      <c r="B195" s="138">
        <v>45148</v>
      </c>
      <c r="C195" s="117" t="s">
        <v>1406</v>
      </c>
      <c r="D195" s="117" t="s">
        <v>1407</v>
      </c>
      <c r="E195" s="117" t="s">
        <v>1408</v>
      </c>
      <c r="F195" s="117"/>
      <c r="G195" s="117" t="s">
        <v>44</v>
      </c>
      <c r="H195" s="117" t="s">
        <v>1</v>
      </c>
      <c r="I195"/>
      <c r="J195"/>
      <c r="K195" s="117" t="s">
        <v>105</v>
      </c>
      <c r="L195">
        <v>5</v>
      </c>
      <c r="M195" s="117" t="s">
        <v>260</v>
      </c>
      <c r="N195" s="117" t="s">
        <v>261</v>
      </c>
      <c r="O195" s="117" t="s">
        <v>52</v>
      </c>
      <c r="P195" s="117" t="s">
        <v>40</v>
      </c>
      <c r="Q195" s="139">
        <v>20010262</v>
      </c>
      <c r="R195" s="117" t="s">
        <v>78</v>
      </c>
      <c r="S195" s="117" t="s">
        <v>109</v>
      </c>
      <c r="T195" s="117"/>
      <c r="U195" s="117" t="s">
        <v>108</v>
      </c>
      <c r="V195" s="12">
        <f>+IFERROR(IF(VLOOKUP(Q195,COMISIONES!$C$2:$K$33,9,0)&gt;=VLOOKUP(TC!Q195,COMISIONES!$C$2:$I$33,7,0),1,0),0)</f>
        <v>0</v>
      </c>
      <c r="W195" s="262">
        <f>+IF(H195="Segunda",VLOOKUP(_xlfn.CONCAT(P195,G195,H195,V195),'PUNTOS 2021'!$E$23:$F$30,2,0),TC!L195)</f>
        <v>5</v>
      </c>
      <c r="X195" s="67">
        <f>+VLOOKUP(Q195,COMISIONES!$C$2:$AO$33,39,0)</f>
        <v>60</v>
      </c>
      <c r="Y195" s="67">
        <f t="shared" si="3"/>
        <v>300</v>
      </c>
      <c r="Z195" s="58" t="s">
        <v>80</v>
      </c>
      <c r="AA195" s="13">
        <f>+VLOOKUP(Q195,COMISIONES!$C$2:$C$33,1,0)</f>
        <v>20010262</v>
      </c>
      <c r="AB195" s="13" t="s">
        <v>269</v>
      </c>
    </row>
    <row r="196" spans="1:28" hidden="1">
      <c r="A196" s="117" t="s">
        <v>821</v>
      </c>
      <c r="B196" s="138">
        <v>45148</v>
      </c>
      <c r="C196" s="117" t="s">
        <v>1409</v>
      </c>
      <c r="D196" s="117" t="s">
        <v>1410</v>
      </c>
      <c r="E196" s="117" t="s">
        <v>1411</v>
      </c>
      <c r="F196" s="117"/>
      <c r="G196" s="117" t="s">
        <v>43</v>
      </c>
      <c r="H196" s="117" t="s">
        <v>1</v>
      </c>
      <c r="I196"/>
      <c r="J196"/>
      <c r="K196" s="117" t="s">
        <v>105</v>
      </c>
      <c r="L196">
        <v>3</v>
      </c>
      <c r="M196" s="117" t="s">
        <v>255</v>
      </c>
      <c r="N196" s="117" t="s">
        <v>4</v>
      </c>
      <c r="O196" s="117" t="s">
        <v>51</v>
      </c>
      <c r="P196" s="117" t="s">
        <v>40</v>
      </c>
      <c r="Q196" s="139">
        <v>20000033</v>
      </c>
      <c r="R196" s="117" t="s">
        <v>78</v>
      </c>
      <c r="S196" s="117" t="s">
        <v>109</v>
      </c>
      <c r="T196" s="117"/>
      <c r="U196" s="117" t="s">
        <v>108</v>
      </c>
      <c r="V196" s="12">
        <f>+IFERROR(IF(VLOOKUP(Q196,COMISIONES!$C$2:$K$33,9,0)&gt;=VLOOKUP(TC!Q196,COMISIONES!$C$2:$I$33,7,0),1,0),0)</f>
        <v>1</v>
      </c>
      <c r="W196" s="262">
        <f>+IF(H196="Segunda",VLOOKUP(_xlfn.CONCAT(P196,G196,H196,V196),'PUNTOS 2021'!$E$23:$F$30,2,0),TC!L196)</f>
        <v>3</v>
      </c>
      <c r="X196" s="67">
        <f>+VLOOKUP(Q196,COMISIONES!$C$2:$AO$33,39,0)</f>
        <v>60</v>
      </c>
      <c r="Y196" s="67">
        <f t="shared" si="3"/>
        <v>180</v>
      </c>
      <c r="Z196" s="58" t="s">
        <v>80</v>
      </c>
      <c r="AA196" s="13">
        <f>+VLOOKUP(Q196,COMISIONES!$C$2:$C$33,1,0)</f>
        <v>20000033</v>
      </c>
      <c r="AB196" s="13" t="s">
        <v>269</v>
      </c>
    </row>
    <row r="197" spans="1:28" hidden="1">
      <c r="A197" s="117" t="s">
        <v>821</v>
      </c>
      <c r="B197" s="138">
        <v>45148</v>
      </c>
      <c r="C197" s="117" t="s">
        <v>1412</v>
      </c>
      <c r="D197" s="117" t="s">
        <v>1413</v>
      </c>
      <c r="E197" s="117" t="s">
        <v>1414</v>
      </c>
      <c r="F197" s="117"/>
      <c r="G197" s="117" t="s">
        <v>45</v>
      </c>
      <c r="H197" s="117" t="s">
        <v>1</v>
      </c>
      <c r="I197"/>
      <c r="J197"/>
      <c r="K197" s="117" t="s">
        <v>105</v>
      </c>
      <c r="L197">
        <v>7</v>
      </c>
      <c r="M197" s="117" t="s">
        <v>110</v>
      </c>
      <c r="N197" s="117" t="s">
        <v>10</v>
      </c>
      <c r="O197" s="117" t="s">
        <v>51</v>
      </c>
      <c r="P197" s="117" t="s">
        <v>40</v>
      </c>
      <c r="Q197" s="139">
        <v>20000661</v>
      </c>
      <c r="R197" s="117" t="s">
        <v>78</v>
      </c>
      <c r="S197" s="117" t="s">
        <v>109</v>
      </c>
      <c r="T197" s="117"/>
      <c r="U197" s="117" t="s">
        <v>108</v>
      </c>
      <c r="V197" s="12">
        <f>+IFERROR(IF(VLOOKUP(Q197,COMISIONES!$C$2:$K$33,9,0)&gt;=VLOOKUP(TC!Q197,COMISIONES!$C$2:$I$33,7,0),1,0),0)</f>
        <v>1</v>
      </c>
      <c r="W197" s="262">
        <f>+IF(H197="Segunda",VLOOKUP(_xlfn.CONCAT(P197,G197,H197,V197),'PUNTOS 2021'!$E$23:$F$30,2,0),TC!L197)</f>
        <v>7</v>
      </c>
      <c r="X197" s="67">
        <f>+VLOOKUP(Q197,COMISIONES!$C$2:$AO$33,39,0)</f>
        <v>60</v>
      </c>
      <c r="Y197" s="67">
        <f t="shared" si="3"/>
        <v>420</v>
      </c>
      <c r="Z197" s="58" t="s">
        <v>80</v>
      </c>
      <c r="AA197" s="13">
        <f>+VLOOKUP(Q197,COMISIONES!$C$2:$C$33,1,0)</f>
        <v>20000661</v>
      </c>
      <c r="AB197" s="13" t="s">
        <v>269</v>
      </c>
    </row>
    <row r="198" spans="1:28" hidden="1">
      <c r="A198" s="117" t="s">
        <v>821</v>
      </c>
      <c r="B198" s="138">
        <v>45148</v>
      </c>
      <c r="C198" s="117" t="s">
        <v>1415</v>
      </c>
      <c r="D198" s="117" t="s">
        <v>1416</v>
      </c>
      <c r="E198" s="117" t="s">
        <v>1417</v>
      </c>
      <c r="F198" s="117"/>
      <c r="G198" s="117" t="s">
        <v>45</v>
      </c>
      <c r="H198" s="117" t="s">
        <v>1</v>
      </c>
      <c r="I198"/>
      <c r="J198"/>
      <c r="K198" s="117" t="s">
        <v>105</v>
      </c>
      <c r="L198">
        <v>7</v>
      </c>
      <c r="M198" s="117" t="s">
        <v>119</v>
      </c>
      <c r="N198" s="117" t="s">
        <v>22</v>
      </c>
      <c r="O198" s="117" t="s">
        <v>52</v>
      </c>
      <c r="P198" s="117" t="s">
        <v>40</v>
      </c>
      <c r="Q198" s="139">
        <v>20009174</v>
      </c>
      <c r="R198" s="117" t="s">
        <v>78</v>
      </c>
      <c r="S198" s="117" t="s">
        <v>109</v>
      </c>
      <c r="T198" s="117"/>
      <c r="U198" s="117" t="s">
        <v>108</v>
      </c>
      <c r="V198" s="12">
        <f>+IFERROR(IF(VLOOKUP(Q198,COMISIONES!$C$2:$K$33,9,0)&gt;=VLOOKUP(TC!Q198,COMISIONES!$C$2:$I$33,7,0),1,0),0)</f>
        <v>0</v>
      </c>
      <c r="W198" s="262">
        <f>+IF(H198="Segunda",VLOOKUP(_xlfn.CONCAT(P198,G198,H198,V198),'PUNTOS 2021'!$E$23:$F$30,2,0),TC!L198)</f>
        <v>7</v>
      </c>
      <c r="X198" s="67">
        <f>+VLOOKUP(Q198,COMISIONES!$C$2:$AO$33,39,0)</f>
        <v>60</v>
      </c>
      <c r="Y198" s="67">
        <f t="shared" si="3"/>
        <v>420</v>
      </c>
      <c r="Z198" s="58" t="s">
        <v>80</v>
      </c>
      <c r="AA198" s="13">
        <f>+VLOOKUP(Q198,COMISIONES!$C$2:$C$33,1,0)</f>
        <v>20009174</v>
      </c>
      <c r="AB198" s="13" t="s">
        <v>269</v>
      </c>
    </row>
    <row r="199" spans="1:28" hidden="1">
      <c r="A199" s="117" t="s">
        <v>821</v>
      </c>
      <c r="B199" s="138">
        <v>45148</v>
      </c>
      <c r="C199" s="117" t="s">
        <v>1418</v>
      </c>
      <c r="D199" s="117" t="s">
        <v>1419</v>
      </c>
      <c r="E199" s="117" t="s">
        <v>1420</v>
      </c>
      <c r="F199" s="117"/>
      <c r="G199" s="117" t="s">
        <v>43</v>
      </c>
      <c r="H199" s="117" t="s">
        <v>1</v>
      </c>
      <c r="I199"/>
      <c r="J199"/>
      <c r="K199" s="117" t="s">
        <v>105</v>
      </c>
      <c r="L199">
        <v>3</v>
      </c>
      <c r="M199" s="117" t="s">
        <v>112</v>
      </c>
      <c r="N199" s="117" t="s">
        <v>9</v>
      </c>
      <c r="O199" s="117" t="s">
        <v>51</v>
      </c>
      <c r="P199" s="117" t="s">
        <v>40</v>
      </c>
      <c r="Q199" s="139">
        <v>20004638</v>
      </c>
      <c r="R199" s="117" t="s">
        <v>78</v>
      </c>
      <c r="S199" s="117" t="s">
        <v>109</v>
      </c>
      <c r="T199" s="117"/>
      <c r="U199" s="117" t="s">
        <v>108</v>
      </c>
      <c r="V199" s="12">
        <f>+IFERROR(IF(VLOOKUP(Q199,COMISIONES!$C$2:$K$33,9,0)&gt;=VLOOKUP(TC!Q199,COMISIONES!$C$2:$I$33,7,0),1,0),0)</f>
        <v>0</v>
      </c>
      <c r="W199" s="262">
        <f>+IF(H199="Segunda",VLOOKUP(_xlfn.CONCAT(P199,G199,H199,V199),'PUNTOS 2021'!$E$23:$F$30,2,0),TC!L199)</f>
        <v>3</v>
      </c>
      <c r="X199" s="67">
        <f>+VLOOKUP(Q199,COMISIONES!$C$2:$AO$33,39,0)</f>
        <v>60</v>
      </c>
      <c r="Y199" s="67">
        <f t="shared" si="3"/>
        <v>180</v>
      </c>
      <c r="Z199" s="58" t="s">
        <v>80</v>
      </c>
      <c r="AA199" s="13">
        <f>+VLOOKUP(Q199,COMISIONES!$C$2:$C$33,1,0)</f>
        <v>20004638</v>
      </c>
      <c r="AB199" s="13" t="s">
        <v>269</v>
      </c>
    </row>
    <row r="200" spans="1:28" hidden="1">
      <c r="A200" s="117" t="s">
        <v>821</v>
      </c>
      <c r="B200" s="138">
        <v>45148</v>
      </c>
      <c r="C200" s="117" t="s">
        <v>1421</v>
      </c>
      <c r="D200" s="117" t="s">
        <v>1422</v>
      </c>
      <c r="E200" s="117" t="s">
        <v>1423</v>
      </c>
      <c r="F200" s="117"/>
      <c r="G200" s="117" t="s">
        <v>45</v>
      </c>
      <c r="H200" s="117" t="s">
        <v>1</v>
      </c>
      <c r="I200"/>
      <c r="J200"/>
      <c r="K200" s="117" t="s">
        <v>105</v>
      </c>
      <c r="L200">
        <v>7</v>
      </c>
      <c r="M200" s="117" t="s">
        <v>122</v>
      </c>
      <c r="N200" s="117" t="s">
        <v>5</v>
      </c>
      <c r="O200" s="117" t="s">
        <v>50</v>
      </c>
      <c r="P200" s="117" t="s">
        <v>40</v>
      </c>
      <c r="Q200" s="139">
        <v>20004566</v>
      </c>
      <c r="R200" s="117" t="s">
        <v>78</v>
      </c>
      <c r="S200" s="117" t="s">
        <v>109</v>
      </c>
      <c r="T200" s="117" t="s">
        <v>109</v>
      </c>
      <c r="U200" s="117" t="s">
        <v>128</v>
      </c>
      <c r="V200" s="12">
        <f>+IFERROR(IF(VLOOKUP(Q200,COMISIONES!$C$2:$K$33,9,0)&gt;=VLOOKUP(TC!Q200,COMISIONES!$C$2:$I$33,7,0),1,0),0)</f>
        <v>1</v>
      </c>
      <c r="W200" s="262">
        <f>+IF(H200="Segunda",VLOOKUP(_xlfn.CONCAT(P200,G200,H200,V200),'PUNTOS 2021'!$E$23:$F$30,2,0),TC!L200)</f>
        <v>7</v>
      </c>
      <c r="X200" s="67">
        <f>+VLOOKUP(Q200,COMISIONES!$C$2:$AO$33,39,0)</f>
        <v>60</v>
      </c>
      <c r="Y200" s="67">
        <f t="shared" si="3"/>
        <v>420</v>
      </c>
      <c r="Z200" s="58" t="s">
        <v>80</v>
      </c>
      <c r="AA200" s="13">
        <f>+VLOOKUP(Q200,COMISIONES!$C$2:$C$33,1,0)</f>
        <v>20004566</v>
      </c>
      <c r="AB200" s="13" t="s">
        <v>269</v>
      </c>
    </row>
    <row r="201" spans="1:28" hidden="1">
      <c r="A201" s="117" t="s">
        <v>821</v>
      </c>
      <c r="B201" s="138">
        <v>45148</v>
      </c>
      <c r="C201" s="117" t="s">
        <v>1424</v>
      </c>
      <c r="D201" s="117" t="s">
        <v>1425</v>
      </c>
      <c r="E201" s="117" t="s">
        <v>1426</v>
      </c>
      <c r="F201" s="117"/>
      <c r="G201" s="117" t="s">
        <v>44</v>
      </c>
      <c r="H201" s="117" t="s">
        <v>1</v>
      </c>
      <c r="I201"/>
      <c r="J201"/>
      <c r="K201" s="117" t="s">
        <v>105</v>
      </c>
      <c r="L201">
        <v>5</v>
      </c>
      <c r="M201" s="117" t="s">
        <v>273</v>
      </c>
      <c r="N201" s="117" t="s">
        <v>292</v>
      </c>
      <c r="O201" s="117" t="s">
        <v>51</v>
      </c>
      <c r="P201" s="117" t="s">
        <v>40</v>
      </c>
      <c r="Q201" s="139">
        <v>20007943</v>
      </c>
      <c r="R201" s="117" t="s">
        <v>78</v>
      </c>
      <c r="S201" s="117" t="s">
        <v>109</v>
      </c>
      <c r="T201" s="117"/>
      <c r="U201" s="117" t="s">
        <v>108</v>
      </c>
      <c r="V201" s="12">
        <f>+IFERROR(IF(VLOOKUP(Q201,COMISIONES!$C$2:$K$33,9,0)&gt;=VLOOKUP(TC!Q201,COMISIONES!$C$2:$I$33,7,0),1,0),0)</f>
        <v>0</v>
      </c>
      <c r="W201" s="262">
        <f>+IF(H201="Segunda",VLOOKUP(_xlfn.CONCAT(P201,G201,H201,V201),'PUNTOS 2021'!$E$23:$F$30,2,0),TC!L201)</f>
        <v>5</v>
      </c>
      <c r="X201" s="67">
        <f>+VLOOKUP(Q201,COMISIONES!$C$2:$AO$33,39,0)</f>
        <v>20</v>
      </c>
      <c r="Y201" s="67">
        <f t="shared" si="3"/>
        <v>100</v>
      </c>
      <c r="Z201" s="58" t="s">
        <v>80</v>
      </c>
      <c r="AA201" s="13">
        <f>+VLOOKUP(Q201,COMISIONES!$C$2:$C$33,1,0)</f>
        <v>20007943</v>
      </c>
      <c r="AB201" s="13" t="s">
        <v>269</v>
      </c>
    </row>
    <row r="202" spans="1:28" hidden="1">
      <c r="A202" s="117" t="s">
        <v>821</v>
      </c>
      <c r="B202" s="138">
        <v>45148</v>
      </c>
      <c r="C202" s="117" t="s">
        <v>1427</v>
      </c>
      <c r="D202" s="117" t="s">
        <v>1428</v>
      </c>
      <c r="E202" s="117" t="s">
        <v>1429</v>
      </c>
      <c r="F202" s="117"/>
      <c r="G202" s="117" t="s">
        <v>43</v>
      </c>
      <c r="H202" s="117" t="s">
        <v>1</v>
      </c>
      <c r="I202"/>
      <c r="J202"/>
      <c r="K202" s="117" t="s">
        <v>105</v>
      </c>
      <c r="L202">
        <v>3</v>
      </c>
      <c r="M202" s="117" t="s">
        <v>116</v>
      </c>
      <c r="N202" s="117" t="s">
        <v>13</v>
      </c>
      <c r="O202" s="117" t="s">
        <v>50</v>
      </c>
      <c r="P202" s="117" t="s">
        <v>40</v>
      </c>
      <c r="Q202" s="139">
        <v>20007020</v>
      </c>
      <c r="R202" s="117" t="s">
        <v>78</v>
      </c>
      <c r="S202" s="117" t="s">
        <v>109</v>
      </c>
      <c r="T202" s="117"/>
      <c r="U202" s="117" t="s">
        <v>108</v>
      </c>
      <c r="V202" s="12">
        <f>+IFERROR(IF(VLOOKUP(Q202,COMISIONES!$C$2:$K$33,9,0)&gt;=VLOOKUP(TC!Q202,COMISIONES!$C$2:$I$33,7,0),1,0),0)</f>
        <v>0</v>
      </c>
      <c r="W202" s="262">
        <f>+IF(H202="Segunda",VLOOKUP(_xlfn.CONCAT(P202,G202,H202,V202),'PUNTOS 2021'!$E$23:$F$30,2,0),TC!L202)</f>
        <v>3</v>
      </c>
      <c r="X202" s="67">
        <f>+VLOOKUP(Q202,COMISIONES!$C$2:$AO$33,39,0)</f>
        <v>40</v>
      </c>
      <c r="Y202" s="67">
        <f t="shared" si="3"/>
        <v>120</v>
      </c>
      <c r="Z202" s="58" t="s">
        <v>80</v>
      </c>
      <c r="AA202" s="13">
        <f>+VLOOKUP(Q202,COMISIONES!$C$2:$C$33,1,0)</f>
        <v>20007020</v>
      </c>
      <c r="AB202" s="13" t="s">
        <v>269</v>
      </c>
    </row>
    <row r="203" spans="1:28">
      <c r="A203" s="117" t="s">
        <v>821</v>
      </c>
      <c r="B203" s="138">
        <v>45148</v>
      </c>
      <c r="C203" s="117" t="s">
        <v>1430</v>
      </c>
      <c r="D203" s="117" t="s">
        <v>1431</v>
      </c>
      <c r="E203" s="117" t="s">
        <v>1432</v>
      </c>
      <c r="F203" s="117"/>
      <c r="G203" s="117" t="s">
        <v>45</v>
      </c>
      <c r="H203" s="117" t="s">
        <v>2</v>
      </c>
      <c r="I203"/>
      <c r="J203"/>
      <c r="K203" s="117" t="s">
        <v>105</v>
      </c>
      <c r="L203">
        <v>2</v>
      </c>
      <c r="M203" s="117" t="s">
        <v>119</v>
      </c>
      <c r="N203" s="117" t="s">
        <v>22</v>
      </c>
      <c r="O203" s="117" t="s">
        <v>52</v>
      </c>
      <c r="P203" s="117" t="s">
        <v>40</v>
      </c>
      <c r="Q203" s="139">
        <v>20009174</v>
      </c>
      <c r="R203" s="117" t="s">
        <v>78</v>
      </c>
      <c r="S203" s="117" t="s">
        <v>109</v>
      </c>
      <c r="T203" s="117"/>
      <c r="U203" s="117" t="s">
        <v>108</v>
      </c>
      <c r="V203" s="12">
        <f>+IFERROR(IF(VLOOKUP(Q203,COMISIONES!$C$2:$K$33,9,0)&gt;=VLOOKUP(TC!Q203,COMISIONES!$C$2:$I$33,7,0),1,0),0)</f>
        <v>0</v>
      </c>
      <c r="W203" s="262">
        <f>+IF(H203="Segunda",VLOOKUP(_xlfn.CONCAT(P203,G203,H203,V203),'PUNTOS 2021'!$E$23:$F$30,2,0),TC!L203)</f>
        <v>0.5</v>
      </c>
      <c r="X203" s="67">
        <f>+VLOOKUP(Q203,COMISIONES!$C$2:$AO$33,39,0)</f>
        <v>60</v>
      </c>
      <c r="Y203" s="67">
        <f t="shared" si="3"/>
        <v>30</v>
      </c>
      <c r="Z203" s="58" t="s">
        <v>80</v>
      </c>
      <c r="AA203" s="13">
        <f>+VLOOKUP(Q203,COMISIONES!$C$2:$C$33,1,0)</f>
        <v>20009174</v>
      </c>
      <c r="AB203" s="13" t="s">
        <v>269</v>
      </c>
    </row>
    <row r="204" spans="1:28" hidden="1">
      <c r="A204" s="117" t="s">
        <v>821</v>
      </c>
      <c r="B204" s="138">
        <v>45148</v>
      </c>
      <c r="C204" s="117" t="s">
        <v>1433</v>
      </c>
      <c r="D204" s="117" t="s">
        <v>1434</v>
      </c>
      <c r="E204" s="117" t="s">
        <v>1435</v>
      </c>
      <c r="F204" s="117"/>
      <c r="G204" s="117" t="s">
        <v>44</v>
      </c>
      <c r="H204" s="117" t="s">
        <v>1</v>
      </c>
      <c r="I204"/>
      <c r="J204"/>
      <c r="K204" s="117" t="s">
        <v>105</v>
      </c>
      <c r="L204">
        <v>5</v>
      </c>
      <c r="M204" s="117" t="s">
        <v>125</v>
      </c>
      <c r="N204" s="117" t="s">
        <v>18</v>
      </c>
      <c r="O204" s="117" t="s">
        <v>50</v>
      </c>
      <c r="P204" s="117" t="s">
        <v>40</v>
      </c>
      <c r="Q204" s="139">
        <v>20008439</v>
      </c>
      <c r="R204" s="117" t="s">
        <v>78</v>
      </c>
      <c r="S204" s="117" t="s">
        <v>109</v>
      </c>
      <c r="T204" s="117"/>
      <c r="U204" s="117" t="s">
        <v>108</v>
      </c>
      <c r="V204" s="12">
        <f>+IFERROR(IF(VLOOKUP(Q204,COMISIONES!$C$2:$K$33,9,0)&gt;=VLOOKUP(TC!Q204,COMISIONES!$C$2:$I$33,7,0),1,0),0)</f>
        <v>1</v>
      </c>
      <c r="W204" s="262">
        <f>+IF(H204="Segunda",VLOOKUP(_xlfn.CONCAT(P204,G204,H204,V204),'PUNTOS 2021'!$E$23:$F$30,2,0),TC!L204)</f>
        <v>5</v>
      </c>
      <c r="X204" s="67">
        <f>+VLOOKUP(Q204,COMISIONES!$C$2:$AO$33,39,0)</f>
        <v>60</v>
      </c>
      <c r="Y204" s="67">
        <f t="shared" si="3"/>
        <v>300</v>
      </c>
      <c r="Z204" s="58" t="s">
        <v>80</v>
      </c>
      <c r="AA204" s="13">
        <f>+VLOOKUP(Q204,COMISIONES!$C$2:$C$33,1,0)</f>
        <v>20008439</v>
      </c>
      <c r="AB204" s="13" t="s">
        <v>269</v>
      </c>
    </row>
    <row r="205" spans="1:28">
      <c r="A205" s="117" t="s">
        <v>821</v>
      </c>
      <c r="B205" s="138">
        <v>45148</v>
      </c>
      <c r="C205" s="117" t="s">
        <v>1436</v>
      </c>
      <c r="D205" s="117" t="s">
        <v>1437</v>
      </c>
      <c r="E205" s="117" t="s">
        <v>1438</v>
      </c>
      <c r="F205" s="117"/>
      <c r="G205" s="117" t="s">
        <v>45</v>
      </c>
      <c r="H205" s="117" t="s">
        <v>2</v>
      </c>
      <c r="I205"/>
      <c r="J205"/>
      <c r="K205" s="117" t="s">
        <v>105</v>
      </c>
      <c r="L205">
        <v>2</v>
      </c>
      <c r="M205" s="117" t="s">
        <v>262</v>
      </c>
      <c r="N205" s="117" t="s">
        <v>7</v>
      </c>
      <c r="O205" s="117" t="s">
        <v>52</v>
      </c>
      <c r="P205" s="117" t="s">
        <v>40</v>
      </c>
      <c r="Q205" s="139">
        <v>20007352</v>
      </c>
      <c r="R205" s="117" t="s">
        <v>78</v>
      </c>
      <c r="S205" s="117" t="s">
        <v>109</v>
      </c>
      <c r="T205" s="117"/>
      <c r="U205" s="117" t="s">
        <v>108</v>
      </c>
      <c r="V205" s="12">
        <f>+IFERROR(IF(VLOOKUP(Q205,COMISIONES!$C$2:$K$33,9,0)&gt;=VLOOKUP(TC!Q205,COMISIONES!$C$2:$I$33,7,0),1,0),0)</f>
        <v>0</v>
      </c>
      <c r="W205" s="262">
        <f>+IF(H205="Segunda",VLOOKUP(_xlfn.CONCAT(P205,G205,H205,V205),'PUNTOS 2021'!$E$23:$F$30,2,0),TC!L205)</f>
        <v>0.5</v>
      </c>
      <c r="X205" s="67">
        <f>+VLOOKUP(Q205,COMISIONES!$C$2:$AO$33,39,0)</f>
        <v>30</v>
      </c>
      <c r="Y205" s="67">
        <f t="shared" si="3"/>
        <v>15</v>
      </c>
      <c r="Z205" s="58" t="s">
        <v>80</v>
      </c>
      <c r="AA205" s="13">
        <f>+VLOOKUP(Q205,COMISIONES!$C$2:$C$33,1,0)</f>
        <v>20007352</v>
      </c>
      <c r="AB205" s="13" t="s">
        <v>269</v>
      </c>
    </row>
    <row r="206" spans="1:28" hidden="1">
      <c r="A206" s="117" t="s">
        <v>821</v>
      </c>
      <c r="B206" s="138">
        <v>45148</v>
      </c>
      <c r="C206" s="117" t="s">
        <v>1439</v>
      </c>
      <c r="D206" s="117" t="s">
        <v>1440</v>
      </c>
      <c r="E206" s="117" t="s">
        <v>1441</v>
      </c>
      <c r="F206" s="117"/>
      <c r="G206" s="117" t="s">
        <v>45</v>
      </c>
      <c r="H206" s="117" t="s">
        <v>1</v>
      </c>
      <c r="I206"/>
      <c r="J206"/>
      <c r="K206" s="117" t="s">
        <v>105</v>
      </c>
      <c r="L206">
        <v>7</v>
      </c>
      <c r="M206" s="117" t="s">
        <v>116</v>
      </c>
      <c r="N206" s="117" t="s">
        <v>13</v>
      </c>
      <c r="O206" s="117" t="s">
        <v>50</v>
      </c>
      <c r="P206" s="117" t="s">
        <v>40</v>
      </c>
      <c r="Q206" s="139">
        <v>20007020</v>
      </c>
      <c r="R206" s="117" t="s">
        <v>78</v>
      </c>
      <c r="S206" s="117" t="s">
        <v>109</v>
      </c>
      <c r="T206" s="117"/>
      <c r="U206" s="117" t="s">
        <v>108</v>
      </c>
      <c r="V206" s="12">
        <f>+IFERROR(IF(VLOOKUP(Q206,COMISIONES!$C$2:$K$33,9,0)&gt;=VLOOKUP(TC!Q206,COMISIONES!$C$2:$I$33,7,0),1,0),0)</f>
        <v>0</v>
      </c>
      <c r="W206" s="262">
        <f>+IF(H206="Segunda",VLOOKUP(_xlfn.CONCAT(P206,G206,H206,V206),'PUNTOS 2021'!$E$23:$F$30,2,0),TC!L206)</f>
        <v>7</v>
      </c>
      <c r="X206" s="67">
        <f>+VLOOKUP(Q206,COMISIONES!$C$2:$AO$33,39,0)</f>
        <v>40</v>
      </c>
      <c r="Y206" s="67">
        <f t="shared" si="3"/>
        <v>280</v>
      </c>
      <c r="Z206" s="58" t="s">
        <v>80</v>
      </c>
      <c r="AA206" s="13">
        <f>+VLOOKUP(Q206,COMISIONES!$C$2:$C$33,1,0)</f>
        <v>20007020</v>
      </c>
      <c r="AB206" s="13" t="s">
        <v>269</v>
      </c>
    </row>
    <row r="207" spans="1:28" hidden="1">
      <c r="A207" s="117" t="s">
        <v>821</v>
      </c>
      <c r="B207" s="138">
        <v>45148</v>
      </c>
      <c r="C207" s="117" t="s">
        <v>1442</v>
      </c>
      <c r="D207" s="117" t="s">
        <v>1443</v>
      </c>
      <c r="E207" s="117" t="s">
        <v>1444</v>
      </c>
      <c r="F207" s="117"/>
      <c r="G207" s="117" t="s">
        <v>45</v>
      </c>
      <c r="H207" s="117" t="s">
        <v>1</v>
      </c>
      <c r="I207"/>
      <c r="J207"/>
      <c r="K207" s="117" t="s">
        <v>105</v>
      </c>
      <c r="L207">
        <v>7</v>
      </c>
      <c r="M207" s="117" t="s">
        <v>273</v>
      </c>
      <c r="N207" s="117" t="s">
        <v>292</v>
      </c>
      <c r="O207" s="117" t="s">
        <v>51</v>
      </c>
      <c r="P207" s="117" t="s">
        <v>40</v>
      </c>
      <c r="Q207" s="139">
        <v>20007943</v>
      </c>
      <c r="R207" s="117" t="s">
        <v>78</v>
      </c>
      <c r="S207" s="117" t="s">
        <v>109</v>
      </c>
      <c r="T207" s="117"/>
      <c r="U207" s="117" t="s">
        <v>108</v>
      </c>
      <c r="V207" s="12">
        <f>+IFERROR(IF(VLOOKUP(Q207,COMISIONES!$C$2:$K$33,9,0)&gt;=VLOOKUP(TC!Q207,COMISIONES!$C$2:$I$33,7,0),1,0),0)</f>
        <v>0</v>
      </c>
      <c r="W207" s="262">
        <f>+IF(H207="Segunda",VLOOKUP(_xlfn.CONCAT(P207,G207,H207,V207),'PUNTOS 2021'!$E$23:$F$30,2,0),TC!L207)</f>
        <v>7</v>
      </c>
      <c r="X207" s="67">
        <f>+VLOOKUP(Q207,COMISIONES!$C$2:$AO$33,39,0)</f>
        <v>20</v>
      </c>
      <c r="Y207" s="67">
        <f t="shared" si="3"/>
        <v>140</v>
      </c>
      <c r="Z207" s="58" t="s">
        <v>80</v>
      </c>
      <c r="AA207" s="13">
        <f>+VLOOKUP(Q207,COMISIONES!$C$2:$C$33,1,0)</f>
        <v>20007943</v>
      </c>
      <c r="AB207" s="13" t="s">
        <v>269</v>
      </c>
    </row>
    <row r="208" spans="1:28" hidden="1">
      <c r="A208" s="117" t="s">
        <v>821</v>
      </c>
      <c r="B208" s="138">
        <v>45149</v>
      </c>
      <c r="C208" s="117" t="s">
        <v>1445</v>
      </c>
      <c r="D208" s="117" t="s">
        <v>1446</v>
      </c>
      <c r="E208" s="117" t="s">
        <v>1447</v>
      </c>
      <c r="F208" s="117"/>
      <c r="G208" s="117" t="s">
        <v>45</v>
      </c>
      <c r="H208" s="117" t="s">
        <v>1</v>
      </c>
      <c r="I208"/>
      <c r="J208"/>
      <c r="K208" s="117" t="s">
        <v>105</v>
      </c>
      <c r="L208">
        <v>7</v>
      </c>
      <c r="M208" s="117" t="s">
        <v>262</v>
      </c>
      <c r="N208" s="117" t="s">
        <v>7</v>
      </c>
      <c r="O208" s="117" t="s">
        <v>52</v>
      </c>
      <c r="P208" s="117" t="s">
        <v>40</v>
      </c>
      <c r="Q208" s="139">
        <v>20007352</v>
      </c>
      <c r="R208" s="117" t="s">
        <v>78</v>
      </c>
      <c r="S208" s="117" t="s">
        <v>109</v>
      </c>
      <c r="T208" s="117" t="s">
        <v>109</v>
      </c>
      <c r="U208" s="117" t="s">
        <v>128</v>
      </c>
      <c r="V208" s="12">
        <f>+IFERROR(IF(VLOOKUP(Q208,COMISIONES!$C$2:$K$33,9,0)&gt;=VLOOKUP(TC!Q208,COMISIONES!$C$2:$I$33,7,0),1,0),0)</f>
        <v>0</v>
      </c>
      <c r="W208" s="262">
        <f>+IF(H208="Segunda",VLOOKUP(_xlfn.CONCAT(P208,G208,H208,V208),'PUNTOS 2021'!$E$23:$F$30,2,0),TC!L208)</f>
        <v>7</v>
      </c>
      <c r="X208" s="67">
        <f>+VLOOKUP(Q208,COMISIONES!$C$2:$AO$33,39,0)</f>
        <v>30</v>
      </c>
      <c r="Y208" s="67">
        <f t="shared" si="3"/>
        <v>210</v>
      </c>
      <c r="Z208" s="58" t="s">
        <v>80</v>
      </c>
      <c r="AA208" s="13">
        <f>+VLOOKUP(Q208,COMISIONES!$C$2:$C$33,1,0)</f>
        <v>20007352</v>
      </c>
      <c r="AB208" s="13" t="s">
        <v>269</v>
      </c>
    </row>
    <row r="209" spans="1:28" hidden="1">
      <c r="A209" s="117" t="s">
        <v>821</v>
      </c>
      <c r="B209" s="138">
        <v>45149</v>
      </c>
      <c r="C209" s="117" t="s">
        <v>1448</v>
      </c>
      <c r="D209" s="117" t="s">
        <v>1449</v>
      </c>
      <c r="E209" s="117" t="s">
        <v>1450</v>
      </c>
      <c r="F209" s="117"/>
      <c r="G209" s="117" t="s">
        <v>45</v>
      </c>
      <c r="H209" s="117" t="s">
        <v>1</v>
      </c>
      <c r="I209"/>
      <c r="J209"/>
      <c r="K209" s="117" t="s">
        <v>105</v>
      </c>
      <c r="L209">
        <v>7</v>
      </c>
      <c r="M209" s="117" t="s">
        <v>126</v>
      </c>
      <c r="N209" s="117" t="s">
        <v>11</v>
      </c>
      <c r="O209" s="117" t="s">
        <v>49</v>
      </c>
      <c r="P209" s="117" t="s">
        <v>40</v>
      </c>
      <c r="Q209" s="139">
        <v>20004235</v>
      </c>
      <c r="R209" s="117" t="s">
        <v>78</v>
      </c>
      <c r="S209" s="117" t="s">
        <v>109</v>
      </c>
      <c r="T209" s="117" t="s">
        <v>109</v>
      </c>
      <c r="U209" s="117" t="s">
        <v>128</v>
      </c>
      <c r="V209" s="12">
        <f>+IFERROR(IF(VLOOKUP(Q209,COMISIONES!$C$2:$K$33,9,0)&gt;=VLOOKUP(TC!Q209,COMISIONES!$C$2:$I$33,7,0),1,0),0)</f>
        <v>0</v>
      </c>
      <c r="W209" s="262">
        <f>+IF(H209="Segunda",VLOOKUP(_xlfn.CONCAT(P209,G209,H209,V209),'PUNTOS 2021'!$E$23:$F$30,2,0),TC!L209)</f>
        <v>7</v>
      </c>
      <c r="X209" s="67">
        <f>+VLOOKUP(Q209,COMISIONES!$C$2:$AO$33,39,0)</f>
        <v>40</v>
      </c>
      <c r="Y209" s="67">
        <f t="shared" si="3"/>
        <v>280</v>
      </c>
      <c r="Z209" s="58" t="s">
        <v>80</v>
      </c>
      <c r="AA209" s="13">
        <f>+VLOOKUP(Q209,COMISIONES!$C$2:$C$33,1,0)</f>
        <v>20004235</v>
      </c>
      <c r="AB209" s="13" t="s">
        <v>269</v>
      </c>
    </row>
    <row r="210" spans="1:28" hidden="1">
      <c r="A210" s="117" t="s">
        <v>821</v>
      </c>
      <c r="B210" s="138">
        <v>45149</v>
      </c>
      <c r="C210" s="117" t="s">
        <v>1451</v>
      </c>
      <c r="D210" s="117" t="s">
        <v>1452</v>
      </c>
      <c r="E210" s="117" t="s">
        <v>1453</v>
      </c>
      <c r="F210" s="117"/>
      <c r="G210" s="117" t="s">
        <v>43</v>
      </c>
      <c r="H210" s="117" t="s">
        <v>1</v>
      </c>
      <c r="I210"/>
      <c r="J210"/>
      <c r="K210" s="117" t="s">
        <v>105</v>
      </c>
      <c r="L210">
        <v>3</v>
      </c>
      <c r="M210" s="117" t="s">
        <v>111</v>
      </c>
      <c r="N210" s="117" t="s">
        <v>14</v>
      </c>
      <c r="O210" s="117" t="s">
        <v>50</v>
      </c>
      <c r="P210" s="117" t="s">
        <v>40</v>
      </c>
      <c r="Q210" s="139">
        <v>20006360</v>
      </c>
      <c r="R210" s="117" t="s">
        <v>78</v>
      </c>
      <c r="S210" s="117" t="s">
        <v>109</v>
      </c>
      <c r="T210" s="117" t="s">
        <v>109</v>
      </c>
      <c r="U210" s="117" t="s">
        <v>128</v>
      </c>
      <c r="V210" s="12">
        <f>+IFERROR(IF(VLOOKUP(Q210,COMISIONES!$C$2:$K$33,9,0)&gt;=VLOOKUP(TC!Q210,COMISIONES!$C$2:$I$33,7,0),1,0),0)</f>
        <v>0</v>
      </c>
      <c r="W210" s="262">
        <f>+IF(H210="Segunda",VLOOKUP(_xlfn.CONCAT(P210,G210,H210,V210),'PUNTOS 2021'!$E$23:$F$30,2,0),TC!L210)</f>
        <v>3</v>
      </c>
      <c r="X210" s="67">
        <f>+VLOOKUP(Q210,COMISIONES!$C$2:$AO$33,39,0)</f>
        <v>40</v>
      </c>
      <c r="Y210" s="67">
        <f t="shared" si="3"/>
        <v>120</v>
      </c>
      <c r="Z210" s="58" t="s">
        <v>80</v>
      </c>
      <c r="AA210" s="13">
        <f>+VLOOKUP(Q210,COMISIONES!$C$2:$C$33,1,0)</f>
        <v>20006360</v>
      </c>
      <c r="AB210" s="13" t="s">
        <v>269</v>
      </c>
    </row>
    <row r="211" spans="1:28" hidden="1">
      <c r="A211" s="117" t="s">
        <v>821</v>
      </c>
      <c r="B211" s="138">
        <v>45149</v>
      </c>
      <c r="C211" s="117" t="s">
        <v>1454</v>
      </c>
      <c r="D211" s="117" t="s">
        <v>1455</v>
      </c>
      <c r="E211" s="117" t="s">
        <v>1456</v>
      </c>
      <c r="F211" s="117"/>
      <c r="G211" s="117" t="s">
        <v>45</v>
      </c>
      <c r="H211" s="117" t="s">
        <v>1</v>
      </c>
      <c r="I211"/>
      <c r="J211"/>
      <c r="K211" s="117" t="s">
        <v>105</v>
      </c>
      <c r="L211">
        <v>7</v>
      </c>
      <c r="M211" s="117" t="s">
        <v>115</v>
      </c>
      <c r="N211" s="117" t="s">
        <v>6</v>
      </c>
      <c r="O211" s="117" t="s">
        <v>51</v>
      </c>
      <c r="P211" s="117" t="s">
        <v>40</v>
      </c>
      <c r="Q211" s="139">
        <v>20001487</v>
      </c>
      <c r="R211" s="117" t="s">
        <v>78</v>
      </c>
      <c r="S211" s="117" t="s">
        <v>109</v>
      </c>
      <c r="T211" s="117"/>
      <c r="U211" s="117" t="s">
        <v>108</v>
      </c>
      <c r="V211" s="12">
        <f>+IFERROR(IF(VLOOKUP(Q211,COMISIONES!$C$2:$K$33,9,0)&gt;=VLOOKUP(TC!Q211,COMISIONES!$C$2:$I$33,7,0),1,0),0)</f>
        <v>1</v>
      </c>
      <c r="W211" s="262">
        <f>+IF(H211="Segunda",VLOOKUP(_xlfn.CONCAT(P211,G211,H211,V211),'PUNTOS 2021'!$E$23:$F$30,2,0),TC!L211)</f>
        <v>7</v>
      </c>
      <c r="X211" s="67">
        <f>+VLOOKUP(Q211,COMISIONES!$C$2:$AO$33,39,0)</f>
        <v>65</v>
      </c>
      <c r="Y211" s="67">
        <f t="shared" si="3"/>
        <v>455</v>
      </c>
      <c r="Z211" s="58" t="s">
        <v>80</v>
      </c>
      <c r="AA211" s="13">
        <f>+VLOOKUP(Q211,COMISIONES!$C$2:$C$33,1,0)</f>
        <v>20001487</v>
      </c>
      <c r="AB211" s="13" t="s">
        <v>269</v>
      </c>
    </row>
    <row r="212" spans="1:28">
      <c r="A212" s="117" t="s">
        <v>821</v>
      </c>
      <c r="B212" s="138">
        <v>45149</v>
      </c>
      <c r="C212" s="117" t="s">
        <v>1457</v>
      </c>
      <c r="D212" s="117" t="s">
        <v>1458</v>
      </c>
      <c r="E212" s="117" t="s">
        <v>1459</v>
      </c>
      <c r="F212" s="117"/>
      <c r="G212" s="117" t="s">
        <v>44</v>
      </c>
      <c r="H212" s="117" t="s">
        <v>2</v>
      </c>
      <c r="I212"/>
      <c r="J212"/>
      <c r="K212" s="117" t="s">
        <v>105</v>
      </c>
      <c r="L212">
        <v>1</v>
      </c>
      <c r="M212" s="117" t="s">
        <v>121</v>
      </c>
      <c r="N212" s="117" t="s">
        <v>3</v>
      </c>
      <c r="O212" s="117" t="s">
        <v>49</v>
      </c>
      <c r="P212" s="117" t="s">
        <v>40</v>
      </c>
      <c r="Q212" s="139">
        <v>20004161</v>
      </c>
      <c r="R212" s="117" t="s">
        <v>78</v>
      </c>
      <c r="S212" s="117" t="s">
        <v>109</v>
      </c>
      <c r="T212" s="117"/>
      <c r="U212" s="117" t="s">
        <v>108</v>
      </c>
      <c r="V212" s="12">
        <f>+IFERROR(IF(VLOOKUP(Q212,COMISIONES!$C$2:$K$33,9,0)&gt;=VLOOKUP(TC!Q212,COMISIONES!$C$2:$I$33,7,0),1,0),0)</f>
        <v>1</v>
      </c>
      <c r="W212" s="262">
        <f>+IF(H212="Segunda",VLOOKUP(_xlfn.CONCAT(P212,G212,H212,V212),'PUNTOS 2021'!$E$23:$F$30,2,0),TC!L212)</f>
        <v>1</v>
      </c>
      <c r="X212" s="67">
        <f>+VLOOKUP(Q212,COMISIONES!$C$2:$AO$33,39,0)</f>
        <v>65</v>
      </c>
      <c r="Y212" s="67">
        <f t="shared" si="3"/>
        <v>65</v>
      </c>
      <c r="Z212" s="58" t="s">
        <v>80</v>
      </c>
      <c r="AA212" s="13">
        <f>+VLOOKUP(Q212,COMISIONES!$C$2:$C$33,1,0)</f>
        <v>20004161</v>
      </c>
      <c r="AB212" s="13" t="s">
        <v>269</v>
      </c>
    </row>
    <row r="213" spans="1:28" hidden="1">
      <c r="A213" s="117" t="s">
        <v>821</v>
      </c>
      <c r="B213" s="138">
        <v>45149</v>
      </c>
      <c r="C213" s="117" t="s">
        <v>1460</v>
      </c>
      <c r="D213" s="117" t="s">
        <v>1461</v>
      </c>
      <c r="E213" s="117" t="s">
        <v>1462</v>
      </c>
      <c r="F213" s="117"/>
      <c r="G213" s="117" t="s">
        <v>43</v>
      </c>
      <c r="H213" s="117" t="s">
        <v>1</v>
      </c>
      <c r="I213"/>
      <c r="J213"/>
      <c r="K213" s="117" t="s">
        <v>105</v>
      </c>
      <c r="L213">
        <v>3</v>
      </c>
      <c r="M213" s="117" t="s">
        <v>119</v>
      </c>
      <c r="N213" s="117" t="s">
        <v>22</v>
      </c>
      <c r="O213" s="117" t="s">
        <v>52</v>
      </c>
      <c r="P213" s="117" t="s">
        <v>40</v>
      </c>
      <c r="Q213" s="139">
        <v>20009174</v>
      </c>
      <c r="R213" s="117" t="s">
        <v>78</v>
      </c>
      <c r="S213" s="117" t="s">
        <v>109</v>
      </c>
      <c r="T213" s="117"/>
      <c r="U213" s="117" t="s">
        <v>108</v>
      </c>
      <c r="V213" s="12">
        <f>+IFERROR(IF(VLOOKUP(Q213,COMISIONES!$C$2:$K$33,9,0)&gt;=VLOOKUP(TC!Q213,COMISIONES!$C$2:$I$33,7,0),1,0),0)</f>
        <v>0</v>
      </c>
      <c r="W213" s="262">
        <f>+IF(H213="Segunda",VLOOKUP(_xlfn.CONCAT(P213,G213,H213,V213),'PUNTOS 2021'!$E$23:$F$30,2,0),TC!L213)</f>
        <v>3</v>
      </c>
      <c r="X213" s="67">
        <f>+VLOOKUP(Q213,COMISIONES!$C$2:$AO$33,39,0)</f>
        <v>60</v>
      </c>
      <c r="Y213" s="67">
        <f t="shared" si="3"/>
        <v>180</v>
      </c>
      <c r="Z213" s="58" t="s">
        <v>80</v>
      </c>
      <c r="AA213" s="13">
        <f>+VLOOKUP(Q213,COMISIONES!$C$2:$C$33,1,0)</f>
        <v>20009174</v>
      </c>
      <c r="AB213" s="13" t="s">
        <v>269</v>
      </c>
    </row>
    <row r="214" spans="1:28" hidden="1">
      <c r="A214" s="117" t="s">
        <v>821</v>
      </c>
      <c r="B214" s="138">
        <v>45149</v>
      </c>
      <c r="C214" s="117" t="s">
        <v>1463</v>
      </c>
      <c r="D214" s="117" t="s">
        <v>1464</v>
      </c>
      <c r="E214" s="117" t="s">
        <v>1465</v>
      </c>
      <c r="F214" s="117"/>
      <c r="G214" s="117" t="s">
        <v>45</v>
      </c>
      <c r="H214" s="117" t="s">
        <v>1</v>
      </c>
      <c r="I214"/>
      <c r="J214"/>
      <c r="K214" s="117" t="s">
        <v>105</v>
      </c>
      <c r="L214">
        <v>7</v>
      </c>
      <c r="M214" s="117" t="s">
        <v>124</v>
      </c>
      <c r="N214" s="117" t="s">
        <v>17</v>
      </c>
      <c r="O214" s="117" t="s">
        <v>52</v>
      </c>
      <c r="P214" s="117" t="s">
        <v>40</v>
      </c>
      <c r="Q214" s="139">
        <v>20006233</v>
      </c>
      <c r="R214" s="117" t="s">
        <v>78</v>
      </c>
      <c r="S214" s="117" t="s">
        <v>109</v>
      </c>
      <c r="T214" s="117"/>
      <c r="U214" s="117" t="s">
        <v>108</v>
      </c>
      <c r="V214" s="12">
        <f>+IFERROR(IF(VLOOKUP(Q214,COMISIONES!$C$2:$K$33,9,0)&gt;=VLOOKUP(TC!Q214,COMISIONES!$C$2:$I$33,7,0),1,0),0)</f>
        <v>0</v>
      </c>
      <c r="W214" s="262">
        <f>+IF(H214="Segunda",VLOOKUP(_xlfn.CONCAT(P214,G214,H214,V214),'PUNTOS 2021'!$E$23:$F$30,2,0),TC!L214)</f>
        <v>7</v>
      </c>
      <c r="X214" s="67">
        <f>+VLOOKUP(Q214,COMISIONES!$C$2:$AO$33,39,0)</f>
        <v>40</v>
      </c>
      <c r="Y214" s="67">
        <f t="shared" si="3"/>
        <v>280</v>
      </c>
      <c r="Z214" s="58" t="s">
        <v>80</v>
      </c>
      <c r="AA214" s="13">
        <f>+VLOOKUP(Q214,COMISIONES!$C$2:$C$33,1,0)</f>
        <v>20006233</v>
      </c>
      <c r="AB214" s="13" t="s">
        <v>269</v>
      </c>
    </row>
    <row r="215" spans="1:28" hidden="1">
      <c r="A215" s="117" t="s">
        <v>821</v>
      </c>
      <c r="B215" s="138">
        <v>45149</v>
      </c>
      <c r="C215" s="117" t="s">
        <v>1466</v>
      </c>
      <c r="D215" s="117" t="s">
        <v>1467</v>
      </c>
      <c r="E215" s="117" t="s">
        <v>1468</v>
      </c>
      <c r="F215" s="117" t="s">
        <v>1469</v>
      </c>
      <c r="G215" s="117" t="s">
        <v>43</v>
      </c>
      <c r="H215" s="117" t="s">
        <v>1</v>
      </c>
      <c r="I215"/>
      <c r="J215"/>
      <c r="K215" s="117" t="s">
        <v>105</v>
      </c>
      <c r="L215">
        <v>3</v>
      </c>
      <c r="M215" s="117" t="s">
        <v>113</v>
      </c>
      <c r="N215" s="117" t="s">
        <v>12</v>
      </c>
      <c r="O215" s="117" t="s">
        <v>49</v>
      </c>
      <c r="P215" s="117" t="s">
        <v>40</v>
      </c>
      <c r="Q215" s="139">
        <v>20007726</v>
      </c>
      <c r="R215" s="117" t="s">
        <v>78</v>
      </c>
      <c r="S215" s="117" t="s">
        <v>109</v>
      </c>
      <c r="T215" s="117"/>
      <c r="U215" s="117" t="s">
        <v>108</v>
      </c>
      <c r="V215" s="12">
        <f>+IFERROR(IF(VLOOKUP(Q215,COMISIONES!$C$2:$K$33,9,0)&gt;=VLOOKUP(TC!Q215,COMISIONES!$C$2:$I$33,7,0),1,0),0)</f>
        <v>1</v>
      </c>
      <c r="W215" s="262">
        <f>+IF(H215="Segunda",VLOOKUP(_xlfn.CONCAT(P215,G215,H215,V215),'PUNTOS 2021'!$E$23:$F$30,2,0),TC!L215)</f>
        <v>3</v>
      </c>
      <c r="X215" s="67">
        <f>+VLOOKUP(Q215,COMISIONES!$C$2:$AO$33,39,0)</f>
        <v>65</v>
      </c>
      <c r="Y215" s="67">
        <f t="shared" si="3"/>
        <v>195</v>
      </c>
      <c r="Z215" s="58" t="s">
        <v>80</v>
      </c>
      <c r="AA215" s="13">
        <f>+VLOOKUP(Q215,COMISIONES!$C$2:$C$33,1,0)</f>
        <v>20007726</v>
      </c>
      <c r="AB215" s="13" t="s">
        <v>269</v>
      </c>
    </row>
    <row r="216" spans="1:28" hidden="1">
      <c r="A216" s="117" t="s">
        <v>821</v>
      </c>
      <c r="B216" s="138">
        <v>45149</v>
      </c>
      <c r="C216" s="117" t="s">
        <v>1470</v>
      </c>
      <c r="D216" s="117" t="s">
        <v>1471</v>
      </c>
      <c r="E216" s="117" t="s">
        <v>1472</v>
      </c>
      <c r="F216" s="117"/>
      <c r="G216" s="117" t="s">
        <v>44</v>
      </c>
      <c r="H216" s="117" t="s">
        <v>1</v>
      </c>
      <c r="I216"/>
      <c r="J216"/>
      <c r="K216" s="117" t="s">
        <v>105</v>
      </c>
      <c r="L216">
        <v>5</v>
      </c>
      <c r="M216" s="117" t="s">
        <v>110</v>
      </c>
      <c r="N216" s="117" t="s">
        <v>10</v>
      </c>
      <c r="O216" s="117" t="s">
        <v>51</v>
      </c>
      <c r="P216" s="117" t="s">
        <v>40</v>
      </c>
      <c r="Q216" s="139">
        <v>20000661</v>
      </c>
      <c r="R216" s="117" t="s">
        <v>78</v>
      </c>
      <c r="S216" s="117" t="s">
        <v>109</v>
      </c>
      <c r="T216" s="117"/>
      <c r="U216" s="117" t="s">
        <v>108</v>
      </c>
      <c r="V216" s="12">
        <f>+IFERROR(IF(VLOOKUP(Q216,COMISIONES!$C$2:$K$33,9,0)&gt;=VLOOKUP(TC!Q216,COMISIONES!$C$2:$I$33,7,0),1,0),0)</f>
        <v>1</v>
      </c>
      <c r="W216" s="262">
        <f>+IF(H216="Segunda",VLOOKUP(_xlfn.CONCAT(P216,G216,H216,V216),'PUNTOS 2021'!$E$23:$F$30,2,0),TC!L216)</f>
        <v>5</v>
      </c>
      <c r="X216" s="67">
        <f>+VLOOKUP(Q216,COMISIONES!$C$2:$AO$33,39,0)</f>
        <v>60</v>
      </c>
      <c r="Y216" s="67">
        <f t="shared" si="3"/>
        <v>300</v>
      </c>
      <c r="Z216" s="58" t="s">
        <v>80</v>
      </c>
      <c r="AA216" s="13">
        <f>+VLOOKUP(Q216,COMISIONES!$C$2:$C$33,1,0)</f>
        <v>20000661</v>
      </c>
      <c r="AB216" s="13" t="s">
        <v>269</v>
      </c>
    </row>
    <row r="217" spans="1:28" hidden="1">
      <c r="A217" s="117" t="s">
        <v>821</v>
      </c>
      <c r="B217" s="138">
        <v>45149</v>
      </c>
      <c r="C217" s="117" t="s">
        <v>1473</v>
      </c>
      <c r="D217" s="117" t="s">
        <v>1474</v>
      </c>
      <c r="E217" s="117" t="s">
        <v>1475</v>
      </c>
      <c r="F217" s="117"/>
      <c r="G217" s="117" t="s">
        <v>44</v>
      </c>
      <c r="H217" s="117" t="s">
        <v>1</v>
      </c>
      <c r="I217"/>
      <c r="J217"/>
      <c r="K217" s="117" t="s">
        <v>105</v>
      </c>
      <c r="L217">
        <v>5</v>
      </c>
      <c r="M217" s="117" t="s">
        <v>115</v>
      </c>
      <c r="N217" s="117" t="s">
        <v>6</v>
      </c>
      <c r="O217" s="117" t="s">
        <v>51</v>
      </c>
      <c r="P217" s="117" t="s">
        <v>40</v>
      </c>
      <c r="Q217" s="139">
        <v>20001487</v>
      </c>
      <c r="R217" s="117" t="s">
        <v>78</v>
      </c>
      <c r="S217" s="117" t="s">
        <v>109</v>
      </c>
      <c r="T217" s="117"/>
      <c r="U217" s="117" t="s">
        <v>108</v>
      </c>
      <c r="V217" s="12">
        <f>+IFERROR(IF(VLOOKUP(Q217,COMISIONES!$C$2:$K$33,9,0)&gt;=VLOOKUP(TC!Q217,COMISIONES!$C$2:$I$33,7,0),1,0),0)</f>
        <v>1</v>
      </c>
      <c r="W217" s="262">
        <f>+IF(H217="Segunda",VLOOKUP(_xlfn.CONCAT(P217,G217,H217,V217),'PUNTOS 2021'!$E$23:$F$30,2,0),TC!L217)</f>
        <v>5</v>
      </c>
      <c r="X217" s="67">
        <f>+VLOOKUP(Q217,COMISIONES!$C$2:$AO$33,39,0)</f>
        <v>65</v>
      </c>
      <c r="Y217" s="67">
        <f t="shared" si="3"/>
        <v>325</v>
      </c>
      <c r="Z217" s="58" t="s">
        <v>80</v>
      </c>
      <c r="AA217" s="13">
        <f>+VLOOKUP(Q217,COMISIONES!$C$2:$C$33,1,0)</f>
        <v>20001487</v>
      </c>
      <c r="AB217" s="13" t="s">
        <v>269</v>
      </c>
    </row>
    <row r="218" spans="1:28" hidden="1">
      <c r="A218" s="117" t="s">
        <v>821</v>
      </c>
      <c r="B218" s="138">
        <v>45149</v>
      </c>
      <c r="C218" s="117" t="s">
        <v>1476</v>
      </c>
      <c r="D218" s="117" t="s">
        <v>1477</v>
      </c>
      <c r="E218" s="117" t="s">
        <v>1478</v>
      </c>
      <c r="F218" s="117"/>
      <c r="G218" s="117" t="s">
        <v>43</v>
      </c>
      <c r="H218" s="117" t="s">
        <v>1</v>
      </c>
      <c r="I218"/>
      <c r="J218"/>
      <c r="K218" s="117" t="s">
        <v>105</v>
      </c>
      <c r="L218">
        <v>3</v>
      </c>
      <c r="M218" s="117" t="s">
        <v>262</v>
      </c>
      <c r="N218" s="117" t="s">
        <v>7</v>
      </c>
      <c r="O218" s="117" t="s">
        <v>52</v>
      </c>
      <c r="P218" s="117" t="s">
        <v>40</v>
      </c>
      <c r="Q218" s="139">
        <v>20007352</v>
      </c>
      <c r="R218" s="117" t="s">
        <v>78</v>
      </c>
      <c r="S218" s="117" t="s">
        <v>109</v>
      </c>
      <c r="T218" s="117"/>
      <c r="U218" s="117" t="s">
        <v>108</v>
      </c>
      <c r="V218" s="12">
        <f>+IFERROR(IF(VLOOKUP(Q218,COMISIONES!$C$2:$K$33,9,0)&gt;=VLOOKUP(TC!Q218,COMISIONES!$C$2:$I$33,7,0),1,0),0)</f>
        <v>0</v>
      </c>
      <c r="W218" s="262">
        <f>+IF(H218="Segunda",VLOOKUP(_xlfn.CONCAT(P218,G218,H218,V218),'PUNTOS 2021'!$E$23:$F$30,2,0),TC!L218)</f>
        <v>3</v>
      </c>
      <c r="X218" s="67">
        <f>+VLOOKUP(Q218,COMISIONES!$C$2:$AO$33,39,0)</f>
        <v>30</v>
      </c>
      <c r="Y218" s="67">
        <f t="shared" si="3"/>
        <v>90</v>
      </c>
      <c r="Z218" s="58" t="s">
        <v>80</v>
      </c>
      <c r="AA218" s="13">
        <f>+VLOOKUP(Q218,COMISIONES!$C$2:$C$33,1,0)</f>
        <v>20007352</v>
      </c>
      <c r="AB218" s="13" t="s">
        <v>269</v>
      </c>
    </row>
    <row r="219" spans="1:28" hidden="1">
      <c r="A219" s="117" t="s">
        <v>821</v>
      </c>
      <c r="B219" s="138">
        <v>45150</v>
      </c>
      <c r="C219" s="117" t="s">
        <v>1479</v>
      </c>
      <c r="D219" s="117" t="s">
        <v>1480</v>
      </c>
      <c r="E219" s="117" t="s">
        <v>1481</v>
      </c>
      <c r="F219" s="117"/>
      <c r="G219" s="117" t="s">
        <v>44</v>
      </c>
      <c r="H219" s="117" t="s">
        <v>1</v>
      </c>
      <c r="I219"/>
      <c r="J219"/>
      <c r="K219" s="117" t="s">
        <v>105</v>
      </c>
      <c r="L219">
        <v>5</v>
      </c>
      <c r="M219" s="117" t="s">
        <v>119</v>
      </c>
      <c r="N219" s="117" t="s">
        <v>22</v>
      </c>
      <c r="O219" s="117" t="s">
        <v>52</v>
      </c>
      <c r="P219" s="117" t="s">
        <v>40</v>
      </c>
      <c r="Q219" s="139">
        <v>20009174</v>
      </c>
      <c r="R219" s="117" t="s">
        <v>78</v>
      </c>
      <c r="S219" s="117" t="s">
        <v>109</v>
      </c>
      <c r="T219" s="117"/>
      <c r="U219" s="117" t="s">
        <v>108</v>
      </c>
      <c r="V219" s="12">
        <f>+IFERROR(IF(VLOOKUP(Q219,COMISIONES!$C$2:$K$33,9,0)&gt;=VLOOKUP(TC!Q219,COMISIONES!$C$2:$I$33,7,0),1,0),0)</f>
        <v>0</v>
      </c>
      <c r="W219" s="262">
        <f>+IF(H219="Segunda",VLOOKUP(_xlfn.CONCAT(P219,G219,H219,V219),'PUNTOS 2021'!$E$23:$F$30,2,0),TC!L219)</f>
        <v>5</v>
      </c>
      <c r="X219" s="67">
        <f>+VLOOKUP(Q219,COMISIONES!$C$2:$AO$33,39,0)</f>
        <v>60</v>
      </c>
      <c r="Y219" s="67">
        <f t="shared" si="3"/>
        <v>300</v>
      </c>
      <c r="Z219" s="58" t="s">
        <v>80</v>
      </c>
      <c r="AA219" s="13">
        <f>+VLOOKUP(Q219,COMISIONES!$C$2:$C$33,1,0)</f>
        <v>20009174</v>
      </c>
      <c r="AB219" s="13" t="s">
        <v>269</v>
      </c>
    </row>
    <row r="220" spans="1:28" hidden="1">
      <c r="A220" s="117" t="s">
        <v>821</v>
      </c>
      <c r="B220" s="138">
        <v>45150</v>
      </c>
      <c r="C220" s="117" t="s">
        <v>1482</v>
      </c>
      <c r="D220" s="117" t="s">
        <v>1483</v>
      </c>
      <c r="E220" s="117" t="s">
        <v>1484</v>
      </c>
      <c r="F220" s="117"/>
      <c r="G220" s="117" t="s">
        <v>44</v>
      </c>
      <c r="H220" s="117" t="s">
        <v>1</v>
      </c>
      <c r="I220"/>
      <c r="J220"/>
      <c r="K220" s="117" t="s">
        <v>129</v>
      </c>
      <c r="L220">
        <v>5</v>
      </c>
      <c r="M220" s="117" t="s">
        <v>125</v>
      </c>
      <c r="N220" s="117" t="s">
        <v>18</v>
      </c>
      <c r="O220" s="117" t="s">
        <v>50</v>
      </c>
      <c r="P220" s="117" t="s">
        <v>40</v>
      </c>
      <c r="Q220" s="139">
        <v>20008439</v>
      </c>
      <c r="R220" s="117" t="s">
        <v>78</v>
      </c>
      <c r="S220" s="117" t="s">
        <v>109</v>
      </c>
      <c r="T220" s="117" t="s">
        <v>109</v>
      </c>
      <c r="U220" s="117" t="s">
        <v>128</v>
      </c>
      <c r="V220" s="12">
        <f>+IFERROR(IF(VLOOKUP(Q220,COMISIONES!$C$2:$K$33,9,0)&gt;=VLOOKUP(TC!Q220,COMISIONES!$C$2:$I$33,7,0),1,0),0)</f>
        <v>1</v>
      </c>
      <c r="W220" s="262">
        <f>+IF(H220="Segunda",VLOOKUP(_xlfn.CONCAT(P220,G220,H220,V220),'PUNTOS 2021'!$E$23:$F$30,2,0),TC!L220)</f>
        <v>5</v>
      </c>
      <c r="X220" s="67">
        <f>+VLOOKUP(Q220,COMISIONES!$C$2:$AO$33,39,0)</f>
        <v>60</v>
      </c>
      <c r="Y220" s="67">
        <f t="shared" si="3"/>
        <v>300</v>
      </c>
      <c r="Z220" s="58" t="s">
        <v>80</v>
      </c>
      <c r="AA220" s="13">
        <f>+VLOOKUP(Q220,COMISIONES!$C$2:$C$33,1,0)</f>
        <v>20008439</v>
      </c>
      <c r="AB220" s="13" t="s">
        <v>269</v>
      </c>
    </row>
    <row r="221" spans="1:28" hidden="1">
      <c r="A221" s="117" t="s">
        <v>821</v>
      </c>
      <c r="B221" s="138">
        <v>45150</v>
      </c>
      <c r="C221" s="117" t="s">
        <v>1485</v>
      </c>
      <c r="D221" s="117" t="s">
        <v>1486</v>
      </c>
      <c r="E221" s="117" t="s">
        <v>1487</v>
      </c>
      <c r="F221" s="117"/>
      <c r="G221" s="117" t="s">
        <v>45</v>
      </c>
      <c r="H221" s="117" t="s">
        <v>1</v>
      </c>
      <c r="I221"/>
      <c r="J221"/>
      <c r="K221" s="117" t="s">
        <v>105</v>
      </c>
      <c r="L221">
        <v>7</v>
      </c>
      <c r="M221" s="117" t="s">
        <v>121</v>
      </c>
      <c r="N221" s="117" t="s">
        <v>3</v>
      </c>
      <c r="O221" s="117" t="s">
        <v>49</v>
      </c>
      <c r="P221" s="117" t="s">
        <v>40</v>
      </c>
      <c r="Q221" s="139">
        <v>20004161</v>
      </c>
      <c r="R221" s="117" t="s">
        <v>78</v>
      </c>
      <c r="S221" s="117" t="s">
        <v>109</v>
      </c>
      <c r="T221" s="117"/>
      <c r="U221" s="117" t="s">
        <v>108</v>
      </c>
      <c r="V221" s="12">
        <f>+IFERROR(IF(VLOOKUP(Q221,COMISIONES!$C$2:$K$33,9,0)&gt;=VLOOKUP(TC!Q221,COMISIONES!$C$2:$I$33,7,0),1,0),0)</f>
        <v>1</v>
      </c>
      <c r="W221" s="262">
        <f>+IF(H221="Segunda",VLOOKUP(_xlfn.CONCAT(P221,G221,H221,V221),'PUNTOS 2021'!$E$23:$F$30,2,0),TC!L221)</f>
        <v>7</v>
      </c>
      <c r="X221" s="67">
        <f>+VLOOKUP(Q221,COMISIONES!$C$2:$AO$33,39,0)</f>
        <v>65</v>
      </c>
      <c r="Y221" s="67">
        <f t="shared" si="3"/>
        <v>455</v>
      </c>
      <c r="Z221" s="58" t="s">
        <v>80</v>
      </c>
      <c r="AA221" s="13">
        <f>+VLOOKUP(Q221,COMISIONES!$C$2:$C$33,1,0)</f>
        <v>20004161</v>
      </c>
      <c r="AB221" s="13" t="s">
        <v>269</v>
      </c>
    </row>
    <row r="222" spans="1:28" hidden="1">
      <c r="A222" s="117" t="s">
        <v>821</v>
      </c>
      <c r="B222" s="138">
        <v>45150</v>
      </c>
      <c r="C222" s="117" t="s">
        <v>1488</v>
      </c>
      <c r="D222" s="117" t="s">
        <v>1489</v>
      </c>
      <c r="E222" s="117" t="s">
        <v>1490</v>
      </c>
      <c r="F222" s="117"/>
      <c r="G222" s="117" t="s">
        <v>44</v>
      </c>
      <c r="H222" s="117" t="s">
        <v>1</v>
      </c>
      <c r="I222"/>
      <c r="J222"/>
      <c r="K222" s="117" t="s">
        <v>105</v>
      </c>
      <c r="L222">
        <v>5</v>
      </c>
      <c r="M222" s="117" t="s">
        <v>126</v>
      </c>
      <c r="N222" s="117" t="s">
        <v>11</v>
      </c>
      <c r="O222" s="117" t="s">
        <v>49</v>
      </c>
      <c r="P222" s="117" t="s">
        <v>40</v>
      </c>
      <c r="Q222" s="139">
        <v>20004235</v>
      </c>
      <c r="R222" s="117" t="s">
        <v>78</v>
      </c>
      <c r="S222" s="117" t="s">
        <v>109</v>
      </c>
      <c r="T222" s="117" t="s">
        <v>109</v>
      </c>
      <c r="U222" s="117" t="s">
        <v>128</v>
      </c>
      <c r="V222" s="12">
        <f>+IFERROR(IF(VLOOKUP(Q222,COMISIONES!$C$2:$K$33,9,0)&gt;=VLOOKUP(TC!Q222,COMISIONES!$C$2:$I$33,7,0),1,0),0)</f>
        <v>0</v>
      </c>
      <c r="W222" s="262">
        <f>+IF(H222="Segunda",VLOOKUP(_xlfn.CONCAT(P222,G222,H222,V222),'PUNTOS 2021'!$E$23:$F$30,2,0),TC!L222)</f>
        <v>5</v>
      </c>
      <c r="X222" s="67">
        <f>+VLOOKUP(Q222,COMISIONES!$C$2:$AO$33,39,0)</f>
        <v>40</v>
      </c>
      <c r="Y222" s="67">
        <f t="shared" si="3"/>
        <v>200</v>
      </c>
      <c r="Z222" s="58" t="s">
        <v>80</v>
      </c>
      <c r="AA222" s="13">
        <f>+VLOOKUP(Q222,COMISIONES!$C$2:$C$33,1,0)</f>
        <v>20004235</v>
      </c>
      <c r="AB222" s="13" t="s">
        <v>269</v>
      </c>
    </row>
    <row r="223" spans="1:28">
      <c r="A223" s="117" t="s">
        <v>821</v>
      </c>
      <c r="B223" s="138">
        <v>45150</v>
      </c>
      <c r="C223" s="117" t="s">
        <v>1491</v>
      </c>
      <c r="D223" s="117" t="s">
        <v>1492</v>
      </c>
      <c r="E223" s="117" t="s">
        <v>1493</v>
      </c>
      <c r="F223" s="117"/>
      <c r="G223" s="117" t="s">
        <v>44</v>
      </c>
      <c r="H223" s="117" t="s">
        <v>2</v>
      </c>
      <c r="I223"/>
      <c r="J223"/>
      <c r="K223" s="117" t="s">
        <v>105</v>
      </c>
      <c r="L223">
        <v>1</v>
      </c>
      <c r="M223" s="117" t="s">
        <v>116</v>
      </c>
      <c r="N223" s="117" t="s">
        <v>13</v>
      </c>
      <c r="O223" s="117" t="s">
        <v>50</v>
      </c>
      <c r="P223" s="117" t="s">
        <v>40</v>
      </c>
      <c r="Q223" s="139">
        <v>20007020</v>
      </c>
      <c r="R223" s="117" t="s">
        <v>78</v>
      </c>
      <c r="S223" s="117" t="s">
        <v>109</v>
      </c>
      <c r="T223" s="117"/>
      <c r="U223" s="117" t="s">
        <v>108</v>
      </c>
      <c r="V223" s="12">
        <f>+IFERROR(IF(VLOOKUP(Q223,COMISIONES!$C$2:$K$33,9,0)&gt;=VLOOKUP(TC!Q223,COMISIONES!$C$2:$I$33,7,0),1,0),0)</f>
        <v>0</v>
      </c>
      <c r="W223" s="262">
        <f>+IF(H223="Segunda",VLOOKUP(_xlfn.CONCAT(P223,G223,H223,V223),'PUNTOS 2021'!$E$23:$F$30,2,0),TC!L223)</f>
        <v>0.5</v>
      </c>
      <c r="X223" s="67">
        <f>+VLOOKUP(Q223,COMISIONES!$C$2:$AO$33,39,0)</f>
        <v>40</v>
      </c>
      <c r="Y223" s="67">
        <f t="shared" si="3"/>
        <v>20</v>
      </c>
      <c r="Z223" s="58" t="s">
        <v>80</v>
      </c>
      <c r="AA223" s="13">
        <f>+VLOOKUP(Q223,COMISIONES!$C$2:$C$33,1,0)</f>
        <v>20007020</v>
      </c>
      <c r="AB223" s="13" t="s">
        <v>269</v>
      </c>
    </row>
    <row r="224" spans="1:28">
      <c r="A224" s="117" t="s">
        <v>821</v>
      </c>
      <c r="B224" s="138">
        <v>45150</v>
      </c>
      <c r="C224" s="117" t="s">
        <v>1494</v>
      </c>
      <c r="D224" s="117" t="s">
        <v>1495</v>
      </c>
      <c r="E224" s="117" t="s">
        <v>1496</v>
      </c>
      <c r="F224" s="117"/>
      <c r="G224" s="117" t="s">
        <v>44</v>
      </c>
      <c r="H224" s="117" t="s">
        <v>2</v>
      </c>
      <c r="I224"/>
      <c r="J224"/>
      <c r="K224" s="117" t="s">
        <v>105</v>
      </c>
      <c r="L224">
        <v>1</v>
      </c>
      <c r="M224" s="117" t="s">
        <v>413</v>
      </c>
      <c r="N224" s="117" t="s">
        <v>390</v>
      </c>
      <c r="O224" s="117" t="s">
        <v>49</v>
      </c>
      <c r="P224" s="117" t="s">
        <v>40</v>
      </c>
      <c r="Q224" s="139">
        <v>20010617</v>
      </c>
      <c r="R224" s="117" t="s">
        <v>78</v>
      </c>
      <c r="S224" s="117" t="s">
        <v>109</v>
      </c>
      <c r="T224" s="117"/>
      <c r="U224" s="117" t="s">
        <v>108</v>
      </c>
      <c r="V224" s="12">
        <f>+IFERROR(IF(VLOOKUP(Q224,COMISIONES!$C$2:$K$33,9,0)&gt;=VLOOKUP(TC!Q224,COMISIONES!$C$2:$I$33,7,0),1,0),0)</f>
        <v>0</v>
      </c>
      <c r="W224" s="262">
        <f>+IF(H224="Segunda",VLOOKUP(_xlfn.CONCAT(P224,G224,H224,V224),'PUNTOS 2021'!$E$23:$F$30,2,0),TC!L224)</f>
        <v>0.5</v>
      </c>
      <c r="X224" s="67">
        <f>+VLOOKUP(Q224,COMISIONES!$C$2:$AO$33,39,0)</f>
        <v>18</v>
      </c>
      <c r="Y224" s="67">
        <f t="shared" si="3"/>
        <v>9</v>
      </c>
      <c r="Z224" s="58" t="s">
        <v>80</v>
      </c>
      <c r="AA224" s="13">
        <f>+VLOOKUP(Q224,COMISIONES!$C$2:$C$33,1,0)</f>
        <v>20010617</v>
      </c>
      <c r="AB224" s="13" t="s">
        <v>269</v>
      </c>
    </row>
    <row r="225" spans="1:28">
      <c r="A225" s="117" t="s">
        <v>821</v>
      </c>
      <c r="B225" s="138">
        <v>45150</v>
      </c>
      <c r="C225" s="117" t="s">
        <v>1497</v>
      </c>
      <c r="D225" s="117" t="s">
        <v>1498</v>
      </c>
      <c r="E225" s="117" t="s">
        <v>1499</v>
      </c>
      <c r="F225" s="117"/>
      <c r="G225" s="117" t="s">
        <v>44</v>
      </c>
      <c r="H225" s="117" t="s">
        <v>2</v>
      </c>
      <c r="I225"/>
      <c r="J225"/>
      <c r="K225" s="117" t="s">
        <v>105</v>
      </c>
      <c r="L225">
        <v>1</v>
      </c>
      <c r="M225" s="117" t="s">
        <v>110</v>
      </c>
      <c r="N225" s="117" t="s">
        <v>10</v>
      </c>
      <c r="O225" s="117" t="s">
        <v>51</v>
      </c>
      <c r="P225" s="117" t="s">
        <v>40</v>
      </c>
      <c r="Q225" s="139">
        <v>20000661</v>
      </c>
      <c r="R225" s="117" t="s">
        <v>78</v>
      </c>
      <c r="S225" s="117" t="s">
        <v>109</v>
      </c>
      <c r="T225" s="117"/>
      <c r="U225" s="117" t="s">
        <v>108</v>
      </c>
      <c r="V225" s="12">
        <f>+IFERROR(IF(VLOOKUP(Q225,COMISIONES!$C$2:$K$33,9,0)&gt;=VLOOKUP(TC!Q225,COMISIONES!$C$2:$I$33,7,0),1,0),0)</f>
        <v>1</v>
      </c>
      <c r="W225" s="262">
        <f>+IF(H225="Segunda",VLOOKUP(_xlfn.CONCAT(P225,G225,H225,V225),'PUNTOS 2021'!$E$23:$F$30,2,0),TC!L225)</f>
        <v>1</v>
      </c>
      <c r="X225" s="67">
        <f>+VLOOKUP(Q225,COMISIONES!$C$2:$AO$33,39,0)</f>
        <v>60</v>
      </c>
      <c r="Y225" s="67">
        <f t="shared" si="3"/>
        <v>60</v>
      </c>
      <c r="Z225" s="58" t="s">
        <v>80</v>
      </c>
      <c r="AA225" s="13">
        <f>+VLOOKUP(Q225,COMISIONES!$C$2:$C$33,1,0)</f>
        <v>20000661</v>
      </c>
      <c r="AB225" s="13" t="s">
        <v>269</v>
      </c>
    </row>
    <row r="226" spans="1:28" hidden="1">
      <c r="A226" s="117" t="s">
        <v>821</v>
      </c>
      <c r="B226" s="138">
        <v>45150</v>
      </c>
      <c r="C226" s="117" t="s">
        <v>1500</v>
      </c>
      <c r="D226" s="117" t="s">
        <v>1501</v>
      </c>
      <c r="E226" s="117" t="s">
        <v>1502</v>
      </c>
      <c r="F226" s="117"/>
      <c r="G226" s="117" t="s">
        <v>44</v>
      </c>
      <c r="H226" s="117" t="s">
        <v>1</v>
      </c>
      <c r="I226"/>
      <c r="J226"/>
      <c r="K226" s="117" t="s">
        <v>105</v>
      </c>
      <c r="L226">
        <v>5</v>
      </c>
      <c r="M226" s="117" t="s">
        <v>125</v>
      </c>
      <c r="N226" s="117" t="s">
        <v>18</v>
      </c>
      <c r="O226" s="117" t="s">
        <v>50</v>
      </c>
      <c r="P226" s="117" t="s">
        <v>40</v>
      </c>
      <c r="Q226" s="139">
        <v>20008439</v>
      </c>
      <c r="R226" s="117" t="s">
        <v>78</v>
      </c>
      <c r="S226" s="117" t="s">
        <v>109</v>
      </c>
      <c r="T226" s="117"/>
      <c r="U226" s="117" t="s">
        <v>108</v>
      </c>
      <c r="V226" s="12">
        <f>+IFERROR(IF(VLOOKUP(Q226,COMISIONES!$C$2:$K$33,9,0)&gt;=VLOOKUP(TC!Q226,COMISIONES!$C$2:$I$33,7,0),1,0),0)</f>
        <v>1</v>
      </c>
      <c r="W226" s="262">
        <f>+IF(H226="Segunda",VLOOKUP(_xlfn.CONCAT(P226,G226,H226,V226),'PUNTOS 2021'!$E$23:$F$30,2,0),TC!L226)</f>
        <v>5</v>
      </c>
      <c r="X226" s="67">
        <f>+VLOOKUP(Q226,COMISIONES!$C$2:$AO$33,39,0)</f>
        <v>60</v>
      </c>
      <c r="Y226" s="67">
        <f t="shared" si="3"/>
        <v>300</v>
      </c>
      <c r="Z226" s="58" t="s">
        <v>80</v>
      </c>
      <c r="AA226" s="13">
        <f>+VLOOKUP(Q226,COMISIONES!$C$2:$C$33,1,0)</f>
        <v>20008439</v>
      </c>
      <c r="AB226" s="13" t="s">
        <v>269</v>
      </c>
    </row>
    <row r="227" spans="1:28">
      <c r="A227" s="117" t="s">
        <v>821</v>
      </c>
      <c r="B227" s="138">
        <v>45150</v>
      </c>
      <c r="C227" s="117" t="s">
        <v>1503</v>
      </c>
      <c r="D227" s="117" t="s">
        <v>1504</v>
      </c>
      <c r="E227" s="117" t="s">
        <v>1505</v>
      </c>
      <c r="F227" s="117"/>
      <c r="G227" s="117" t="s">
        <v>45</v>
      </c>
      <c r="H227" s="117" t="s">
        <v>2</v>
      </c>
      <c r="I227"/>
      <c r="J227"/>
      <c r="K227" s="117" t="s">
        <v>105</v>
      </c>
      <c r="L227">
        <v>2</v>
      </c>
      <c r="M227" s="117" t="s">
        <v>110</v>
      </c>
      <c r="N227" s="117" t="s">
        <v>10</v>
      </c>
      <c r="O227" s="117" t="s">
        <v>51</v>
      </c>
      <c r="P227" s="117" t="s">
        <v>40</v>
      </c>
      <c r="Q227" s="139">
        <v>20000661</v>
      </c>
      <c r="R227" s="117" t="s">
        <v>78</v>
      </c>
      <c r="S227" s="117" t="s">
        <v>109</v>
      </c>
      <c r="T227" s="117"/>
      <c r="U227" s="117" t="s">
        <v>108</v>
      </c>
      <c r="V227" s="12">
        <f>+IFERROR(IF(VLOOKUP(Q227,COMISIONES!$C$2:$K$33,9,0)&gt;=VLOOKUP(TC!Q227,COMISIONES!$C$2:$I$33,7,0),1,0),0)</f>
        <v>1</v>
      </c>
      <c r="W227" s="262">
        <f>+IF(H227="Segunda",VLOOKUP(_xlfn.CONCAT(P227,G227,H227,V227),'PUNTOS 2021'!$E$23:$F$30,2,0),TC!L227)</f>
        <v>2</v>
      </c>
      <c r="X227" s="67">
        <f>+VLOOKUP(Q227,COMISIONES!$C$2:$AO$33,39,0)</f>
        <v>60</v>
      </c>
      <c r="Y227" s="67">
        <f t="shared" si="3"/>
        <v>120</v>
      </c>
      <c r="Z227" s="58" t="s">
        <v>80</v>
      </c>
      <c r="AA227" s="13">
        <f>+VLOOKUP(Q227,COMISIONES!$C$2:$C$33,1,0)</f>
        <v>20000661</v>
      </c>
      <c r="AB227" s="13" t="s">
        <v>269</v>
      </c>
    </row>
    <row r="228" spans="1:28" hidden="1">
      <c r="A228" s="117" t="s">
        <v>821</v>
      </c>
      <c r="B228" s="138">
        <v>45150</v>
      </c>
      <c r="C228" s="117" t="s">
        <v>1506</v>
      </c>
      <c r="D228" s="117" t="s">
        <v>1507</v>
      </c>
      <c r="E228" s="117" t="s">
        <v>1508</v>
      </c>
      <c r="F228" s="117"/>
      <c r="G228" s="117" t="s">
        <v>43</v>
      </c>
      <c r="H228" s="117" t="s">
        <v>1</v>
      </c>
      <c r="I228"/>
      <c r="J228"/>
      <c r="K228" s="117" t="s">
        <v>105</v>
      </c>
      <c r="L228">
        <v>3</v>
      </c>
      <c r="M228" s="117" t="s">
        <v>413</v>
      </c>
      <c r="N228" s="117" t="s">
        <v>390</v>
      </c>
      <c r="O228" s="117" t="s">
        <v>49</v>
      </c>
      <c r="P228" s="117" t="s">
        <v>40</v>
      </c>
      <c r="Q228" s="139">
        <v>20010617</v>
      </c>
      <c r="R228" s="117" t="s">
        <v>78</v>
      </c>
      <c r="S228" s="117" t="s">
        <v>109</v>
      </c>
      <c r="T228" s="117"/>
      <c r="U228" s="117" t="s">
        <v>108</v>
      </c>
      <c r="V228" s="12">
        <f>+IFERROR(IF(VLOOKUP(Q228,COMISIONES!$C$2:$K$33,9,0)&gt;=VLOOKUP(TC!Q228,COMISIONES!$C$2:$I$33,7,0),1,0),0)</f>
        <v>0</v>
      </c>
      <c r="W228" s="262">
        <f>+IF(H228="Segunda",VLOOKUP(_xlfn.CONCAT(P228,G228,H228,V228),'PUNTOS 2021'!$E$23:$F$30,2,0),TC!L228)</f>
        <v>3</v>
      </c>
      <c r="X228" s="67">
        <f>+VLOOKUP(Q228,COMISIONES!$C$2:$AO$33,39,0)</f>
        <v>18</v>
      </c>
      <c r="Y228" s="67">
        <f t="shared" si="3"/>
        <v>54</v>
      </c>
      <c r="Z228" s="58" t="s">
        <v>80</v>
      </c>
      <c r="AA228" s="13">
        <f>+VLOOKUP(Q228,COMISIONES!$C$2:$C$33,1,0)</f>
        <v>20010617</v>
      </c>
      <c r="AB228" s="13" t="s">
        <v>269</v>
      </c>
    </row>
    <row r="229" spans="1:28">
      <c r="A229" s="117" t="s">
        <v>821</v>
      </c>
      <c r="B229" s="138">
        <v>45150</v>
      </c>
      <c r="C229" s="117" t="s">
        <v>1509</v>
      </c>
      <c r="D229" s="117" t="s">
        <v>1510</v>
      </c>
      <c r="E229" s="117" t="s">
        <v>1511</v>
      </c>
      <c r="F229" s="117"/>
      <c r="G229" s="117" t="s">
        <v>45</v>
      </c>
      <c r="H229" s="117" t="s">
        <v>2</v>
      </c>
      <c r="I229"/>
      <c r="J229"/>
      <c r="K229" s="117" t="s">
        <v>105</v>
      </c>
      <c r="L229">
        <v>2</v>
      </c>
      <c r="M229" s="117" t="s">
        <v>260</v>
      </c>
      <c r="N229" s="117" t="s">
        <v>261</v>
      </c>
      <c r="O229" s="117" t="s">
        <v>52</v>
      </c>
      <c r="P229" s="117" t="s">
        <v>40</v>
      </c>
      <c r="Q229" s="139">
        <v>20010262</v>
      </c>
      <c r="R229" s="117" t="s">
        <v>78</v>
      </c>
      <c r="S229" s="117" t="s">
        <v>109</v>
      </c>
      <c r="T229" s="117"/>
      <c r="U229" s="117" t="s">
        <v>108</v>
      </c>
      <c r="V229" s="12">
        <f>+IFERROR(IF(VLOOKUP(Q229,COMISIONES!$C$2:$K$33,9,0)&gt;=VLOOKUP(TC!Q229,COMISIONES!$C$2:$I$33,7,0),1,0),0)</f>
        <v>0</v>
      </c>
      <c r="W229" s="262">
        <f>+IF(H229="Segunda",VLOOKUP(_xlfn.CONCAT(P229,G229,H229,V229),'PUNTOS 2021'!$E$23:$F$30,2,0),TC!L229)</f>
        <v>0.5</v>
      </c>
      <c r="X229" s="67">
        <f>+VLOOKUP(Q229,COMISIONES!$C$2:$AO$33,39,0)</f>
        <v>60</v>
      </c>
      <c r="Y229" s="67">
        <f t="shared" si="3"/>
        <v>30</v>
      </c>
      <c r="Z229" s="58" t="s">
        <v>80</v>
      </c>
      <c r="AA229" s="13">
        <f>+VLOOKUP(Q229,COMISIONES!$C$2:$C$33,1,0)</f>
        <v>20010262</v>
      </c>
      <c r="AB229" s="13" t="s">
        <v>269</v>
      </c>
    </row>
    <row r="230" spans="1:28">
      <c r="A230" s="117" t="s">
        <v>821</v>
      </c>
      <c r="B230" s="138">
        <v>45150</v>
      </c>
      <c r="C230" s="117" t="s">
        <v>1512</v>
      </c>
      <c r="D230" s="117" t="s">
        <v>1513</v>
      </c>
      <c r="E230" s="117" t="s">
        <v>1514</v>
      </c>
      <c r="F230" s="117"/>
      <c r="G230" s="117" t="s">
        <v>45</v>
      </c>
      <c r="H230" s="117" t="s">
        <v>2</v>
      </c>
      <c r="I230"/>
      <c r="J230"/>
      <c r="K230" s="117" t="s">
        <v>105</v>
      </c>
      <c r="L230">
        <v>2</v>
      </c>
      <c r="M230" s="117" t="s">
        <v>113</v>
      </c>
      <c r="N230" s="117" t="s">
        <v>12</v>
      </c>
      <c r="O230" s="117" t="s">
        <v>49</v>
      </c>
      <c r="P230" s="117" t="s">
        <v>40</v>
      </c>
      <c r="Q230" s="139">
        <v>20007726</v>
      </c>
      <c r="R230" s="117" t="s">
        <v>78</v>
      </c>
      <c r="S230" s="117" t="s">
        <v>109</v>
      </c>
      <c r="T230" s="117"/>
      <c r="U230" s="117" t="s">
        <v>108</v>
      </c>
      <c r="V230" s="12">
        <f>+IFERROR(IF(VLOOKUP(Q230,COMISIONES!$C$2:$K$33,9,0)&gt;=VLOOKUP(TC!Q230,COMISIONES!$C$2:$I$33,7,0),1,0),0)</f>
        <v>1</v>
      </c>
      <c r="W230" s="262">
        <f>+IF(H230="Segunda",VLOOKUP(_xlfn.CONCAT(P230,G230,H230,V230),'PUNTOS 2021'!$E$23:$F$30,2,0),TC!L230)</f>
        <v>2</v>
      </c>
      <c r="X230" s="67">
        <f>+VLOOKUP(Q230,COMISIONES!$C$2:$AO$33,39,0)</f>
        <v>65</v>
      </c>
      <c r="Y230" s="67">
        <f t="shared" si="3"/>
        <v>130</v>
      </c>
      <c r="Z230" s="58" t="s">
        <v>80</v>
      </c>
      <c r="AA230" s="13">
        <f>+VLOOKUP(Q230,COMISIONES!$C$2:$C$33,1,0)</f>
        <v>20007726</v>
      </c>
      <c r="AB230" s="13" t="s">
        <v>269</v>
      </c>
    </row>
    <row r="231" spans="1:28">
      <c r="A231" s="117" t="s">
        <v>821</v>
      </c>
      <c r="B231" s="138">
        <v>45150</v>
      </c>
      <c r="C231" s="117" t="s">
        <v>1515</v>
      </c>
      <c r="D231" s="117" t="s">
        <v>1516</v>
      </c>
      <c r="E231" s="117" t="s">
        <v>1517</v>
      </c>
      <c r="F231" s="117"/>
      <c r="G231" s="117" t="s">
        <v>43</v>
      </c>
      <c r="H231" s="117" t="s">
        <v>2</v>
      </c>
      <c r="I231"/>
      <c r="J231"/>
      <c r="K231" s="117" t="s">
        <v>105</v>
      </c>
      <c r="L231">
        <v>1</v>
      </c>
      <c r="M231" s="117" t="s">
        <v>119</v>
      </c>
      <c r="N231" s="117" t="s">
        <v>22</v>
      </c>
      <c r="O231" s="117" t="s">
        <v>52</v>
      </c>
      <c r="P231" s="117" t="s">
        <v>40</v>
      </c>
      <c r="Q231" s="139">
        <v>20009174</v>
      </c>
      <c r="R231" s="117" t="s">
        <v>78</v>
      </c>
      <c r="S231" s="117" t="s">
        <v>109</v>
      </c>
      <c r="T231" s="117"/>
      <c r="U231" s="117" t="s">
        <v>108</v>
      </c>
      <c r="V231" s="12">
        <f>+IFERROR(IF(VLOOKUP(Q231,COMISIONES!$C$2:$K$33,9,0)&gt;=VLOOKUP(TC!Q231,COMISIONES!$C$2:$I$33,7,0),1,0),0)</f>
        <v>0</v>
      </c>
      <c r="W231" s="262">
        <f>+IF(H231="Segunda",VLOOKUP(_xlfn.CONCAT(P231,G231,H231,V231),'PUNTOS 2021'!$E$23:$F$30,2,0),TC!L231)</f>
        <v>0.5</v>
      </c>
      <c r="X231" s="67">
        <f>+VLOOKUP(Q231,COMISIONES!$C$2:$AO$33,39,0)</f>
        <v>60</v>
      </c>
      <c r="Y231" s="67">
        <f t="shared" si="3"/>
        <v>30</v>
      </c>
      <c r="Z231" s="58" t="s">
        <v>80</v>
      </c>
      <c r="AA231" s="13">
        <f>+VLOOKUP(Q231,COMISIONES!$C$2:$C$33,1,0)</f>
        <v>20009174</v>
      </c>
      <c r="AB231" s="13" t="s">
        <v>269</v>
      </c>
    </row>
    <row r="232" spans="1:28" hidden="1">
      <c r="A232" s="117" t="s">
        <v>821</v>
      </c>
      <c r="B232" s="138">
        <v>45150</v>
      </c>
      <c r="C232" s="117" t="s">
        <v>1518</v>
      </c>
      <c r="D232" s="117" t="s">
        <v>1519</v>
      </c>
      <c r="E232" s="117" t="s">
        <v>1520</v>
      </c>
      <c r="F232" s="117"/>
      <c r="G232" s="117" t="s">
        <v>44</v>
      </c>
      <c r="H232" s="117" t="s">
        <v>1</v>
      </c>
      <c r="I232"/>
      <c r="J232"/>
      <c r="K232" s="117" t="s">
        <v>105</v>
      </c>
      <c r="L232">
        <v>5</v>
      </c>
      <c r="M232" s="117" t="s">
        <v>113</v>
      </c>
      <c r="N232" s="117" t="s">
        <v>12</v>
      </c>
      <c r="O232" s="117" t="s">
        <v>49</v>
      </c>
      <c r="P232" s="117" t="s">
        <v>40</v>
      </c>
      <c r="Q232" s="139">
        <v>20007726</v>
      </c>
      <c r="R232" s="117" t="s">
        <v>78</v>
      </c>
      <c r="S232" s="117" t="s">
        <v>109</v>
      </c>
      <c r="T232" s="117"/>
      <c r="U232" s="117" t="s">
        <v>108</v>
      </c>
      <c r="V232" s="12">
        <f>+IFERROR(IF(VLOOKUP(Q232,COMISIONES!$C$2:$K$33,9,0)&gt;=VLOOKUP(TC!Q232,COMISIONES!$C$2:$I$33,7,0),1,0),0)</f>
        <v>1</v>
      </c>
      <c r="W232" s="262">
        <f>+IF(H232="Segunda",VLOOKUP(_xlfn.CONCAT(P232,G232,H232,V232),'PUNTOS 2021'!$E$23:$F$30,2,0),TC!L232)</f>
        <v>5</v>
      </c>
      <c r="X232" s="67">
        <f>+VLOOKUP(Q232,COMISIONES!$C$2:$AO$33,39,0)</f>
        <v>65</v>
      </c>
      <c r="Y232" s="67">
        <f t="shared" si="3"/>
        <v>325</v>
      </c>
      <c r="Z232" s="58" t="s">
        <v>80</v>
      </c>
      <c r="AA232" s="13">
        <f>+VLOOKUP(Q232,COMISIONES!$C$2:$C$33,1,0)</f>
        <v>20007726</v>
      </c>
      <c r="AB232" s="13" t="s">
        <v>269</v>
      </c>
    </row>
    <row r="233" spans="1:28" hidden="1">
      <c r="A233" s="117" t="s">
        <v>821</v>
      </c>
      <c r="B233" s="138">
        <v>45150</v>
      </c>
      <c r="C233" s="117" t="s">
        <v>1521</v>
      </c>
      <c r="D233" s="117" t="s">
        <v>1522</v>
      </c>
      <c r="E233" s="117" t="s">
        <v>1523</v>
      </c>
      <c r="F233" s="117"/>
      <c r="G233" s="117" t="s">
        <v>45</v>
      </c>
      <c r="H233" s="117" t="s">
        <v>1</v>
      </c>
      <c r="I233"/>
      <c r="J233"/>
      <c r="K233" s="117" t="s">
        <v>105</v>
      </c>
      <c r="L233">
        <v>7</v>
      </c>
      <c r="M233" s="117" t="s">
        <v>121</v>
      </c>
      <c r="N233" s="117" t="s">
        <v>3</v>
      </c>
      <c r="O233" s="117" t="s">
        <v>49</v>
      </c>
      <c r="P233" s="117" t="s">
        <v>40</v>
      </c>
      <c r="Q233" s="139">
        <v>20004161</v>
      </c>
      <c r="R233" s="117" t="s">
        <v>78</v>
      </c>
      <c r="S233" s="117" t="s">
        <v>109</v>
      </c>
      <c r="T233" s="117"/>
      <c r="U233" s="117" t="s">
        <v>108</v>
      </c>
      <c r="V233" s="12">
        <f>+IFERROR(IF(VLOOKUP(Q233,COMISIONES!$C$2:$K$33,9,0)&gt;=VLOOKUP(TC!Q233,COMISIONES!$C$2:$I$33,7,0),1,0),0)</f>
        <v>1</v>
      </c>
      <c r="W233" s="262">
        <f>+IF(H233="Segunda",VLOOKUP(_xlfn.CONCAT(P233,G233,H233,V233),'PUNTOS 2021'!$E$23:$F$30,2,0),TC!L233)</f>
        <v>7</v>
      </c>
      <c r="X233" s="67">
        <f>+VLOOKUP(Q233,COMISIONES!$C$2:$AO$33,39,0)</f>
        <v>65</v>
      </c>
      <c r="Y233" s="67">
        <f t="shared" si="3"/>
        <v>455</v>
      </c>
      <c r="Z233" s="58" t="s">
        <v>80</v>
      </c>
      <c r="AA233" s="13">
        <f>+VLOOKUP(Q233,COMISIONES!$C$2:$C$33,1,0)</f>
        <v>20004161</v>
      </c>
      <c r="AB233" s="13" t="s">
        <v>269</v>
      </c>
    </row>
    <row r="234" spans="1:28" hidden="1">
      <c r="A234" s="117" t="s">
        <v>821</v>
      </c>
      <c r="B234" s="138">
        <v>45150</v>
      </c>
      <c r="C234" s="117" t="s">
        <v>1524</v>
      </c>
      <c r="D234" s="117" t="s">
        <v>1525</v>
      </c>
      <c r="E234" s="117" t="s">
        <v>1526</v>
      </c>
      <c r="F234" s="117"/>
      <c r="G234" s="117" t="s">
        <v>44</v>
      </c>
      <c r="H234" s="117" t="s">
        <v>1</v>
      </c>
      <c r="I234"/>
      <c r="J234"/>
      <c r="K234" s="117" t="s">
        <v>105</v>
      </c>
      <c r="L234">
        <v>5</v>
      </c>
      <c r="M234" s="117" t="s">
        <v>126</v>
      </c>
      <c r="N234" s="117" t="s">
        <v>11</v>
      </c>
      <c r="O234" s="117" t="s">
        <v>49</v>
      </c>
      <c r="P234" s="117" t="s">
        <v>40</v>
      </c>
      <c r="Q234" s="139">
        <v>20004235</v>
      </c>
      <c r="R234" s="117" t="s">
        <v>78</v>
      </c>
      <c r="S234" s="117" t="s">
        <v>109</v>
      </c>
      <c r="T234" s="117" t="s">
        <v>109</v>
      </c>
      <c r="U234" s="117" t="s">
        <v>128</v>
      </c>
      <c r="V234" s="12">
        <f>+IFERROR(IF(VLOOKUP(Q234,COMISIONES!$C$2:$K$33,9,0)&gt;=VLOOKUP(TC!Q234,COMISIONES!$C$2:$I$33,7,0),1,0),0)</f>
        <v>0</v>
      </c>
      <c r="W234" s="262">
        <f>+IF(H234="Segunda",VLOOKUP(_xlfn.CONCAT(P234,G234,H234,V234),'PUNTOS 2021'!$E$23:$F$30,2,0),TC!L234)</f>
        <v>5</v>
      </c>
      <c r="X234" s="67">
        <f>+VLOOKUP(Q234,COMISIONES!$C$2:$AO$33,39,0)</f>
        <v>40</v>
      </c>
      <c r="Y234" s="67">
        <f t="shared" si="3"/>
        <v>200</v>
      </c>
      <c r="Z234" s="58" t="s">
        <v>80</v>
      </c>
      <c r="AA234" s="13">
        <f>+VLOOKUP(Q234,COMISIONES!$C$2:$C$33,1,0)</f>
        <v>20004235</v>
      </c>
      <c r="AB234" s="13" t="s">
        <v>269</v>
      </c>
    </row>
    <row r="235" spans="1:28" hidden="1">
      <c r="A235" s="117" t="s">
        <v>821</v>
      </c>
      <c r="B235" s="138">
        <v>45150</v>
      </c>
      <c r="C235" s="117" t="s">
        <v>1527</v>
      </c>
      <c r="D235" s="117" t="s">
        <v>1528</v>
      </c>
      <c r="E235" s="117" t="s">
        <v>1529</v>
      </c>
      <c r="F235" s="117"/>
      <c r="G235" s="117" t="s">
        <v>45</v>
      </c>
      <c r="H235" s="117" t="s">
        <v>1</v>
      </c>
      <c r="I235"/>
      <c r="J235"/>
      <c r="K235" s="117" t="s">
        <v>105</v>
      </c>
      <c r="L235">
        <v>7</v>
      </c>
      <c r="M235" s="117" t="s">
        <v>116</v>
      </c>
      <c r="N235" s="117" t="s">
        <v>13</v>
      </c>
      <c r="O235" s="117" t="s">
        <v>50</v>
      </c>
      <c r="P235" s="117" t="s">
        <v>40</v>
      </c>
      <c r="Q235" s="139">
        <v>20007020</v>
      </c>
      <c r="R235" s="117" t="s">
        <v>78</v>
      </c>
      <c r="S235" s="117" t="s">
        <v>109</v>
      </c>
      <c r="T235" s="117"/>
      <c r="U235" s="117" t="s">
        <v>108</v>
      </c>
      <c r="V235" s="12">
        <f>+IFERROR(IF(VLOOKUP(Q235,COMISIONES!$C$2:$K$33,9,0)&gt;=VLOOKUP(TC!Q235,COMISIONES!$C$2:$I$33,7,0),1,0),0)</f>
        <v>0</v>
      </c>
      <c r="W235" s="262">
        <f>+IF(H235="Segunda",VLOOKUP(_xlfn.CONCAT(P235,G235,H235,V235),'PUNTOS 2021'!$E$23:$F$30,2,0),TC!L235)</f>
        <v>7</v>
      </c>
      <c r="X235" s="67">
        <f>+VLOOKUP(Q235,COMISIONES!$C$2:$AO$33,39,0)</f>
        <v>40</v>
      </c>
      <c r="Y235" s="67">
        <f t="shared" si="3"/>
        <v>280</v>
      </c>
      <c r="Z235" s="58" t="s">
        <v>80</v>
      </c>
      <c r="AA235" s="13">
        <f>+VLOOKUP(Q235,COMISIONES!$C$2:$C$33,1,0)</f>
        <v>20007020</v>
      </c>
      <c r="AB235" s="13" t="s">
        <v>269</v>
      </c>
    </row>
    <row r="236" spans="1:28" hidden="1">
      <c r="A236" s="117" t="s">
        <v>821</v>
      </c>
      <c r="B236" s="138">
        <v>45150</v>
      </c>
      <c r="C236" s="117" t="s">
        <v>1530</v>
      </c>
      <c r="D236" s="117" t="s">
        <v>1531</v>
      </c>
      <c r="E236" s="117" t="s">
        <v>1532</v>
      </c>
      <c r="F236" s="117"/>
      <c r="G236" s="117" t="s">
        <v>44</v>
      </c>
      <c r="H236" s="117" t="s">
        <v>1</v>
      </c>
      <c r="I236"/>
      <c r="J236"/>
      <c r="K236" s="117" t="s">
        <v>105</v>
      </c>
      <c r="L236">
        <v>5</v>
      </c>
      <c r="M236" s="117" t="s">
        <v>270</v>
      </c>
      <c r="N236" s="117" t="s">
        <v>271</v>
      </c>
      <c r="O236" s="117" t="s">
        <v>52</v>
      </c>
      <c r="P236" s="117" t="s">
        <v>40</v>
      </c>
      <c r="Q236" s="139">
        <v>20009592</v>
      </c>
      <c r="R236" s="117" t="s">
        <v>78</v>
      </c>
      <c r="S236" s="117" t="s">
        <v>109</v>
      </c>
      <c r="T236" s="117"/>
      <c r="U236" s="117" t="s">
        <v>108</v>
      </c>
      <c r="V236" s="12">
        <f>+IFERROR(IF(VLOOKUP(Q236,COMISIONES!$C$2:$K$33,9,0)&gt;=VLOOKUP(TC!Q236,COMISIONES!$C$2:$I$33,7,0),1,0),0)</f>
        <v>1</v>
      </c>
      <c r="W236" s="262">
        <f>+IF(H236="Segunda",VLOOKUP(_xlfn.CONCAT(P236,G236,H236,V236),'PUNTOS 2021'!$E$23:$F$30,2,0),TC!L236)</f>
        <v>5</v>
      </c>
      <c r="X236" s="67">
        <f>+VLOOKUP(Q236,COMISIONES!$C$2:$AO$33,39,0)</f>
        <v>60</v>
      </c>
      <c r="Y236" s="67">
        <f t="shared" si="3"/>
        <v>300</v>
      </c>
      <c r="Z236" s="58" t="s">
        <v>80</v>
      </c>
      <c r="AA236" s="13">
        <f>+VLOOKUP(Q236,COMISIONES!$C$2:$C$33,1,0)</f>
        <v>20009592</v>
      </c>
      <c r="AB236" s="13" t="s">
        <v>269</v>
      </c>
    </row>
    <row r="237" spans="1:28" hidden="1">
      <c r="A237" s="117" t="s">
        <v>821</v>
      </c>
      <c r="B237" s="138">
        <v>45150</v>
      </c>
      <c r="C237" s="117" t="s">
        <v>1533</v>
      </c>
      <c r="D237" s="117" t="s">
        <v>1534</v>
      </c>
      <c r="E237" s="117" t="s">
        <v>1535</v>
      </c>
      <c r="F237" s="117"/>
      <c r="G237" s="117" t="s">
        <v>45</v>
      </c>
      <c r="H237" s="117" t="s">
        <v>1</v>
      </c>
      <c r="I237"/>
      <c r="J237"/>
      <c r="K237" s="117" t="s">
        <v>105</v>
      </c>
      <c r="L237">
        <v>7</v>
      </c>
      <c r="M237" s="117" t="s">
        <v>125</v>
      </c>
      <c r="N237" s="117" t="s">
        <v>18</v>
      </c>
      <c r="O237" s="117" t="s">
        <v>50</v>
      </c>
      <c r="P237" s="117" t="s">
        <v>40</v>
      </c>
      <c r="Q237" s="139">
        <v>20008439</v>
      </c>
      <c r="R237" s="117" t="s">
        <v>78</v>
      </c>
      <c r="S237" s="117" t="s">
        <v>109</v>
      </c>
      <c r="T237" s="117"/>
      <c r="U237" s="117" t="s">
        <v>108</v>
      </c>
      <c r="V237" s="12">
        <f>+IFERROR(IF(VLOOKUP(Q237,COMISIONES!$C$2:$K$33,9,0)&gt;=VLOOKUP(TC!Q237,COMISIONES!$C$2:$I$33,7,0),1,0),0)</f>
        <v>1</v>
      </c>
      <c r="W237" s="262">
        <f>+IF(H237="Segunda",VLOOKUP(_xlfn.CONCAT(P237,G237,H237,V237),'PUNTOS 2021'!$E$23:$F$30,2,0),TC!L237)</f>
        <v>7</v>
      </c>
      <c r="X237" s="67">
        <f>+VLOOKUP(Q237,COMISIONES!$C$2:$AO$33,39,0)</f>
        <v>60</v>
      </c>
      <c r="Y237" s="67">
        <f t="shared" si="3"/>
        <v>420</v>
      </c>
      <c r="Z237" s="58" t="s">
        <v>80</v>
      </c>
      <c r="AA237" s="13">
        <f>+VLOOKUP(Q237,COMISIONES!$C$2:$C$33,1,0)</f>
        <v>20008439</v>
      </c>
      <c r="AB237" s="13" t="s">
        <v>269</v>
      </c>
    </row>
    <row r="238" spans="1:28" hidden="1">
      <c r="A238" s="117" t="s">
        <v>821</v>
      </c>
      <c r="B238" s="138">
        <v>45150</v>
      </c>
      <c r="C238" s="117" t="s">
        <v>1536</v>
      </c>
      <c r="D238" s="117" t="s">
        <v>1537</v>
      </c>
      <c r="E238" s="117" t="s">
        <v>1538</v>
      </c>
      <c r="F238" s="117"/>
      <c r="G238" s="117" t="s">
        <v>43</v>
      </c>
      <c r="H238" s="117" t="s">
        <v>1</v>
      </c>
      <c r="I238"/>
      <c r="J238"/>
      <c r="K238" s="117" t="s">
        <v>105</v>
      </c>
      <c r="L238">
        <v>3</v>
      </c>
      <c r="M238" s="117" t="s">
        <v>260</v>
      </c>
      <c r="N238" s="117" t="s">
        <v>261</v>
      </c>
      <c r="O238" s="117" t="s">
        <v>52</v>
      </c>
      <c r="P238" s="117" t="s">
        <v>40</v>
      </c>
      <c r="Q238" s="139">
        <v>20010262</v>
      </c>
      <c r="R238" s="117" t="s">
        <v>78</v>
      </c>
      <c r="S238" s="117" t="s">
        <v>109</v>
      </c>
      <c r="T238" s="117"/>
      <c r="U238" s="117" t="s">
        <v>108</v>
      </c>
      <c r="V238" s="12">
        <f>+IFERROR(IF(VLOOKUP(Q238,COMISIONES!$C$2:$K$33,9,0)&gt;=VLOOKUP(TC!Q238,COMISIONES!$C$2:$I$33,7,0),1,0),0)</f>
        <v>0</v>
      </c>
      <c r="W238" s="262">
        <f>+IF(H238="Segunda",VLOOKUP(_xlfn.CONCAT(P238,G238,H238,V238),'PUNTOS 2021'!$E$23:$F$30,2,0),TC!L238)</f>
        <v>3</v>
      </c>
      <c r="X238" s="67">
        <f>+VLOOKUP(Q238,COMISIONES!$C$2:$AO$33,39,0)</f>
        <v>60</v>
      </c>
      <c r="Y238" s="67">
        <f t="shared" si="3"/>
        <v>180</v>
      </c>
      <c r="Z238" s="58" t="s">
        <v>80</v>
      </c>
      <c r="AA238" s="13">
        <f>+VLOOKUP(Q238,COMISIONES!$C$2:$C$33,1,0)</f>
        <v>20010262</v>
      </c>
      <c r="AB238" s="13" t="s">
        <v>269</v>
      </c>
    </row>
    <row r="239" spans="1:28">
      <c r="A239" s="117" t="s">
        <v>821</v>
      </c>
      <c r="B239" s="138">
        <v>45150</v>
      </c>
      <c r="C239" s="117" t="s">
        <v>1539</v>
      </c>
      <c r="D239" s="117" t="s">
        <v>1540</v>
      </c>
      <c r="E239" s="117" t="s">
        <v>1541</v>
      </c>
      <c r="F239" s="117"/>
      <c r="G239" s="117" t="s">
        <v>45</v>
      </c>
      <c r="H239" s="117" t="s">
        <v>2</v>
      </c>
      <c r="I239"/>
      <c r="J239"/>
      <c r="K239" s="117" t="s">
        <v>105</v>
      </c>
      <c r="L239">
        <v>2</v>
      </c>
      <c r="M239" s="117" t="s">
        <v>257</v>
      </c>
      <c r="N239" s="117" t="s">
        <v>15</v>
      </c>
      <c r="O239" s="117" t="s">
        <v>52</v>
      </c>
      <c r="P239" s="117" t="s">
        <v>40</v>
      </c>
      <c r="Q239" s="139">
        <v>20005527</v>
      </c>
      <c r="R239" s="117" t="s">
        <v>78</v>
      </c>
      <c r="S239" s="117" t="s">
        <v>109</v>
      </c>
      <c r="T239" s="117"/>
      <c r="U239" s="117" t="s">
        <v>108</v>
      </c>
      <c r="V239" s="12">
        <f>+IFERROR(IF(VLOOKUP(Q239,COMISIONES!$C$2:$K$33,9,0)&gt;=VLOOKUP(TC!Q239,COMISIONES!$C$2:$I$33,7,0),1,0),0)</f>
        <v>0</v>
      </c>
      <c r="W239" s="262">
        <f>+IF(H239="Segunda",VLOOKUP(_xlfn.CONCAT(P239,G239,H239,V239),'PUNTOS 2021'!$E$23:$F$30,2,0),TC!L239)</f>
        <v>0.5</v>
      </c>
      <c r="X239" s="67">
        <f>+VLOOKUP(Q239,COMISIONES!$C$2:$AO$33,39,0)</f>
        <v>40</v>
      </c>
      <c r="Y239" s="67">
        <f t="shared" si="3"/>
        <v>20</v>
      </c>
      <c r="Z239" s="58" t="s">
        <v>80</v>
      </c>
      <c r="AA239" s="13">
        <f>+VLOOKUP(Q239,COMISIONES!$C$2:$C$33,1,0)</f>
        <v>20005527</v>
      </c>
      <c r="AB239" s="13" t="s">
        <v>269</v>
      </c>
    </row>
    <row r="240" spans="1:28" hidden="1">
      <c r="A240" s="117" t="s">
        <v>821</v>
      </c>
      <c r="B240" s="138">
        <v>45150</v>
      </c>
      <c r="C240" s="117" t="s">
        <v>1542</v>
      </c>
      <c r="D240" s="117" t="s">
        <v>1543</v>
      </c>
      <c r="E240" s="117" t="s">
        <v>1544</v>
      </c>
      <c r="F240" s="117"/>
      <c r="G240" s="117" t="s">
        <v>43</v>
      </c>
      <c r="H240" s="117" t="s">
        <v>1</v>
      </c>
      <c r="I240"/>
      <c r="J240"/>
      <c r="K240" s="117" t="s">
        <v>105</v>
      </c>
      <c r="L240">
        <v>3</v>
      </c>
      <c r="M240" s="117" t="s">
        <v>124</v>
      </c>
      <c r="N240" s="117" t="s">
        <v>17</v>
      </c>
      <c r="O240" s="117" t="s">
        <v>52</v>
      </c>
      <c r="P240" s="117" t="s">
        <v>40</v>
      </c>
      <c r="Q240" s="139">
        <v>20006233</v>
      </c>
      <c r="R240" s="117" t="s">
        <v>78</v>
      </c>
      <c r="S240" s="117" t="s">
        <v>109</v>
      </c>
      <c r="T240" s="117"/>
      <c r="U240" s="117" t="s">
        <v>108</v>
      </c>
      <c r="V240" s="12">
        <f>+IFERROR(IF(VLOOKUP(Q240,COMISIONES!$C$2:$K$33,9,0)&gt;=VLOOKUP(TC!Q240,COMISIONES!$C$2:$I$33,7,0),1,0),0)</f>
        <v>0</v>
      </c>
      <c r="W240" s="262">
        <f>+IF(H240="Segunda",VLOOKUP(_xlfn.CONCAT(P240,G240,H240,V240),'PUNTOS 2021'!$E$23:$F$30,2,0),TC!L240)</f>
        <v>3</v>
      </c>
      <c r="X240" s="67">
        <f>+VLOOKUP(Q240,COMISIONES!$C$2:$AO$33,39,0)</f>
        <v>40</v>
      </c>
      <c r="Y240" s="67">
        <f t="shared" si="3"/>
        <v>120</v>
      </c>
      <c r="Z240" s="58" t="s">
        <v>80</v>
      </c>
      <c r="AA240" s="13">
        <f>+VLOOKUP(Q240,COMISIONES!$C$2:$C$33,1,0)</f>
        <v>20006233</v>
      </c>
      <c r="AB240" s="13" t="s">
        <v>269</v>
      </c>
    </row>
    <row r="241" spans="1:28" hidden="1">
      <c r="A241" s="117" t="s">
        <v>821</v>
      </c>
      <c r="B241" s="138">
        <v>45150</v>
      </c>
      <c r="C241" s="117" t="s">
        <v>1545</v>
      </c>
      <c r="D241" s="117" t="s">
        <v>1546</v>
      </c>
      <c r="E241" s="117" t="s">
        <v>1547</v>
      </c>
      <c r="F241" s="117"/>
      <c r="G241" s="117" t="s">
        <v>44</v>
      </c>
      <c r="H241" s="117" t="s">
        <v>1</v>
      </c>
      <c r="I241"/>
      <c r="J241"/>
      <c r="K241" s="117" t="s">
        <v>105</v>
      </c>
      <c r="L241">
        <v>5</v>
      </c>
      <c r="M241" s="117" t="s">
        <v>115</v>
      </c>
      <c r="N241" s="117" t="s">
        <v>6</v>
      </c>
      <c r="O241" s="117" t="s">
        <v>51</v>
      </c>
      <c r="P241" s="117" t="s">
        <v>40</v>
      </c>
      <c r="Q241" s="139">
        <v>20001487</v>
      </c>
      <c r="R241" s="117" t="s">
        <v>78</v>
      </c>
      <c r="S241" s="117" t="s">
        <v>109</v>
      </c>
      <c r="T241" s="117"/>
      <c r="U241" s="117" t="s">
        <v>108</v>
      </c>
      <c r="V241" s="12">
        <f>+IFERROR(IF(VLOOKUP(Q241,COMISIONES!$C$2:$K$33,9,0)&gt;=VLOOKUP(TC!Q241,COMISIONES!$C$2:$I$33,7,0),1,0),0)</f>
        <v>1</v>
      </c>
      <c r="W241" s="262">
        <f>+IF(H241="Segunda",VLOOKUP(_xlfn.CONCAT(P241,G241,H241,V241),'PUNTOS 2021'!$E$23:$F$30,2,0),TC!L241)</f>
        <v>5</v>
      </c>
      <c r="X241" s="67">
        <f>+VLOOKUP(Q241,COMISIONES!$C$2:$AO$33,39,0)</f>
        <v>65</v>
      </c>
      <c r="Y241" s="67">
        <f t="shared" si="3"/>
        <v>325</v>
      </c>
      <c r="Z241" s="58" t="s">
        <v>80</v>
      </c>
      <c r="AA241" s="13">
        <f>+VLOOKUP(Q241,COMISIONES!$C$2:$C$33,1,0)</f>
        <v>20001487</v>
      </c>
      <c r="AB241" s="13" t="s">
        <v>269</v>
      </c>
    </row>
    <row r="242" spans="1:28">
      <c r="A242" s="117" t="s">
        <v>821</v>
      </c>
      <c r="B242" s="138">
        <v>45150</v>
      </c>
      <c r="C242" s="117" t="s">
        <v>1548</v>
      </c>
      <c r="D242" s="117" t="s">
        <v>1549</v>
      </c>
      <c r="E242" s="117" t="s">
        <v>1550</v>
      </c>
      <c r="F242" s="117"/>
      <c r="G242" s="117" t="s">
        <v>45</v>
      </c>
      <c r="H242" s="117" t="s">
        <v>2</v>
      </c>
      <c r="I242"/>
      <c r="J242"/>
      <c r="K242" s="117" t="s">
        <v>105</v>
      </c>
      <c r="L242">
        <v>2</v>
      </c>
      <c r="M242" s="117" t="s">
        <v>126</v>
      </c>
      <c r="N242" s="117" t="s">
        <v>11</v>
      </c>
      <c r="O242" s="117" t="s">
        <v>49</v>
      </c>
      <c r="P242" s="117" t="s">
        <v>40</v>
      </c>
      <c r="Q242" s="139">
        <v>20004235</v>
      </c>
      <c r="R242" s="117" t="s">
        <v>78</v>
      </c>
      <c r="S242" s="117" t="s">
        <v>109</v>
      </c>
      <c r="T242" s="117"/>
      <c r="U242" s="117" t="s">
        <v>108</v>
      </c>
      <c r="V242" s="12">
        <f>+IFERROR(IF(VLOOKUP(Q242,COMISIONES!$C$2:$K$33,9,0)&gt;=VLOOKUP(TC!Q242,COMISIONES!$C$2:$I$33,7,0),1,0),0)</f>
        <v>0</v>
      </c>
      <c r="W242" s="262">
        <f>+IF(H242="Segunda",VLOOKUP(_xlfn.CONCAT(P242,G242,H242,V242),'PUNTOS 2021'!$E$23:$F$30,2,0),TC!L242)</f>
        <v>0.5</v>
      </c>
      <c r="X242" s="67">
        <f>+VLOOKUP(Q242,COMISIONES!$C$2:$AO$33,39,0)</f>
        <v>40</v>
      </c>
      <c r="Y242" s="67">
        <f t="shared" si="3"/>
        <v>20</v>
      </c>
      <c r="Z242" s="58" t="s">
        <v>80</v>
      </c>
      <c r="AA242" s="13">
        <f>+VLOOKUP(Q242,COMISIONES!$C$2:$C$33,1,0)</f>
        <v>20004235</v>
      </c>
      <c r="AB242" s="13" t="s">
        <v>269</v>
      </c>
    </row>
    <row r="243" spans="1:28" hidden="1">
      <c r="A243" s="117" t="s">
        <v>821</v>
      </c>
      <c r="B243" s="138">
        <v>45150</v>
      </c>
      <c r="C243" s="117" t="s">
        <v>1551</v>
      </c>
      <c r="D243" s="117" t="s">
        <v>1552</v>
      </c>
      <c r="E243" s="117" t="s">
        <v>1553</v>
      </c>
      <c r="F243" s="117"/>
      <c r="G243" s="117" t="s">
        <v>43</v>
      </c>
      <c r="H243" s="117" t="s">
        <v>1</v>
      </c>
      <c r="I243"/>
      <c r="J243"/>
      <c r="K243" s="117" t="s">
        <v>105</v>
      </c>
      <c r="L243">
        <v>3</v>
      </c>
      <c r="M243" s="117" t="s">
        <v>159</v>
      </c>
      <c r="N243" s="117" t="s">
        <v>227</v>
      </c>
      <c r="O243" s="117" t="s">
        <v>49</v>
      </c>
      <c r="P243" s="117" t="s">
        <v>40</v>
      </c>
      <c r="Q243" s="139">
        <v>20009690</v>
      </c>
      <c r="R243" s="117" t="s">
        <v>78</v>
      </c>
      <c r="S243" s="117" t="s">
        <v>109</v>
      </c>
      <c r="T243" s="117"/>
      <c r="U243" s="117" t="s">
        <v>108</v>
      </c>
      <c r="V243" s="12">
        <f>+IFERROR(IF(VLOOKUP(Q243,COMISIONES!$C$2:$K$33,9,0)&gt;=VLOOKUP(TC!Q243,COMISIONES!$C$2:$I$33,7,0),1,0),0)</f>
        <v>0</v>
      </c>
      <c r="W243" s="262">
        <f>+IF(H243="Segunda",VLOOKUP(_xlfn.CONCAT(P243,G243,H243,V243),'PUNTOS 2021'!$E$23:$F$30,2,0),TC!L243)</f>
        <v>3</v>
      </c>
      <c r="X243" s="67">
        <f>+VLOOKUP(Q243,COMISIONES!$C$2:$AO$33,39,0)</f>
        <v>45</v>
      </c>
      <c r="Y243" s="67">
        <f t="shared" si="3"/>
        <v>135</v>
      </c>
      <c r="Z243" s="58" t="s">
        <v>80</v>
      </c>
      <c r="AA243" s="13">
        <f>+VLOOKUP(Q243,COMISIONES!$C$2:$C$33,1,0)</f>
        <v>20009690</v>
      </c>
      <c r="AB243" s="13" t="s">
        <v>269</v>
      </c>
    </row>
    <row r="244" spans="1:28" hidden="1">
      <c r="A244" s="117" t="s">
        <v>821</v>
      </c>
      <c r="B244" s="138">
        <v>45150</v>
      </c>
      <c r="C244" s="117" t="s">
        <v>1554</v>
      </c>
      <c r="D244" s="117" t="s">
        <v>1555</v>
      </c>
      <c r="E244" s="117" t="s">
        <v>1556</v>
      </c>
      <c r="F244" s="117"/>
      <c r="G244" s="117" t="s">
        <v>45</v>
      </c>
      <c r="H244" s="117" t="s">
        <v>1</v>
      </c>
      <c r="I244"/>
      <c r="J244"/>
      <c r="K244" s="117" t="s">
        <v>105</v>
      </c>
      <c r="L244">
        <v>7</v>
      </c>
      <c r="M244" s="117" t="s">
        <v>122</v>
      </c>
      <c r="N244" s="117" t="s">
        <v>5</v>
      </c>
      <c r="O244" s="117" t="s">
        <v>50</v>
      </c>
      <c r="P244" s="117" t="s">
        <v>40</v>
      </c>
      <c r="Q244" s="139">
        <v>20004566</v>
      </c>
      <c r="R244" s="117" t="s">
        <v>78</v>
      </c>
      <c r="S244" s="117" t="s">
        <v>109</v>
      </c>
      <c r="T244" s="117" t="s">
        <v>109</v>
      </c>
      <c r="U244" s="117" t="s">
        <v>128</v>
      </c>
      <c r="V244" s="12">
        <f>+IFERROR(IF(VLOOKUP(Q244,COMISIONES!$C$2:$K$33,9,0)&gt;=VLOOKUP(TC!Q244,COMISIONES!$C$2:$I$33,7,0),1,0),0)</f>
        <v>1</v>
      </c>
      <c r="W244" s="262">
        <f>+IF(H244="Segunda",VLOOKUP(_xlfn.CONCAT(P244,G244,H244,V244),'PUNTOS 2021'!$E$23:$F$30,2,0),TC!L244)</f>
        <v>7</v>
      </c>
      <c r="X244" s="67">
        <f>+VLOOKUP(Q244,COMISIONES!$C$2:$AO$33,39,0)</f>
        <v>60</v>
      </c>
      <c r="Y244" s="67">
        <f t="shared" si="3"/>
        <v>420</v>
      </c>
      <c r="Z244" s="58" t="s">
        <v>80</v>
      </c>
      <c r="AA244" s="13">
        <f>+VLOOKUP(Q244,COMISIONES!$C$2:$C$33,1,0)</f>
        <v>20004566</v>
      </c>
      <c r="AB244" s="13" t="s">
        <v>269</v>
      </c>
    </row>
    <row r="245" spans="1:28" hidden="1">
      <c r="A245" s="117" t="s">
        <v>821</v>
      </c>
      <c r="B245" s="138">
        <v>45150</v>
      </c>
      <c r="C245" s="117" t="s">
        <v>1557</v>
      </c>
      <c r="D245" s="117" t="s">
        <v>1558</v>
      </c>
      <c r="E245" s="117" t="s">
        <v>1559</v>
      </c>
      <c r="F245" s="117"/>
      <c r="G245" s="117" t="s">
        <v>44</v>
      </c>
      <c r="H245" s="117" t="s">
        <v>1</v>
      </c>
      <c r="I245"/>
      <c r="J245"/>
      <c r="K245" s="117" t="s">
        <v>105</v>
      </c>
      <c r="L245">
        <v>5</v>
      </c>
      <c r="M245" s="117" t="s">
        <v>112</v>
      </c>
      <c r="N245" s="117" t="s">
        <v>9</v>
      </c>
      <c r="O245" s="117" t="s">
        <v>51</v>
      </c>
      <c r="P245" s="117" t="s">
        <v>40</v>
      </c>
      <c r="Q245" s="139">
        <v>20004638</v>
      </c>
      <c r="R245" s="117" t="s">
        <v>78</v>
      </c>
      <c r="S245" s="117" t="s">
        <v>109</v>
      </c>
      <c r="T245" s="117"/>
      <c r="U245" s="117" t="s">
        <v>108</v>
      </c>
      <c r="V245" s="12">
        <f>+IFERROR(IF(VLOOKUP(Q245,COMISIONES!$C$2:$K$33,9,0)&gt;=VLOOKUP(TC!Q245,COMISIONES!$C$2:$I$33,7,0),1,0),0)</f>
        <v>0</v>
      </c>
      <c r="W245" s="262">
        <f>+IF(H245="Segunda",VLOOKUP(_xlfn.CONCAT(P245,G245,H245,V245),'PUNTOS 2021'!$E$23:$F$30,2,0),TC!L245)</f>
        <v>5</v>
      </c>
      <c r="X245" s="67">
        <f>+VLOOKUP(Q245,COMISIONES!$C$2:$AO$33,39,0)</f>
        <v>60</v>
      </c>
      <c r="Y245" s="67">
        <f t="shared" si="3"/>
        <v>300</v>
      </c>
      <c r="Z245" s="58" t="s">
        <v>80</v>
      </c>
      <c r="AA245" s="13">
        <f>+VLOOKUP(Q245,COMISIONES!$C$2:$C$33,1,0)</f>
        <v>20004638</v>
      </c>
      <c r="AB245" s="13" t="s">
        <v>269</v>
      </c>
    </row>
    <row r="246" spans="1:28" hidden="1">
      <c r="A246" s="117" t="s">
        <v>821</v>
      </c>
      <c r="B246" s="138">
        <v>45150</v>
      </c>
      <c r="C246" s="117" t="s">
        <v>1560</v>
      </c>
      <c r="D246" s="117" t="s">
        <v>1561</v>
      </c>
      <c r="E246" s="117" t="s">
        <v>1562</v>
      </c>
      <c r="F246" s="117"/>
      <c r="G246" s="117" t="s">
        <v>45</v>
      </c>
      <c r="H246" s="117" t="s">
        <v>1</v>
      </c>
      <c r="I246"/>
      <c r="J246"/>
      <c r="K246" s="117" t="s">
        <v>105</v>
      </c>
      <c r="L246">
        <v>7</v>
      </c>
      <c r="M246" s="117" t="s">
        <v>270</v>
      </c>
      <c r="N246" s="117" t="s">
        <v>271</v>
      </c>
      <c r="O246" s="117" t="s">
        <v>52</v>
      </c>
      <c r="P246" s="117" t="s">
        <v>40</v>
      </c>
      <c r="Q246" s="139">
        <v>20009592</v>
      </c>
      <c r="R246" s="117" t="s">
        <v>78</v>
      </c>
      <c r="S246" s="117" t="s">
        <v>109</v>
      </c>
      <c r="T246" s="117"/>
      <c r="U246" s="117" t="s">
        <v>108</v>
      </c>
      <c r="V246" s="12">
        <f>+IFERROR(IF(VLOOKUP(Q246,COMISIONES!$C$2:$K$33,9,0)&gt;=VLOOKUP(TC!Q246,COMISIONES!$C$2:$I$33,7,0),1,0),0)</f>
        <v>1</v>
      </c>
      <c r="W246" s="262">
        <f>+IF(H246="Segunda",VLOOKUP(_xlfn.CONCAT(P246,G246,H246,V246),'PUNTOS 2021'!$E$23:$F$30,2,0),TC!L246)</f>
        <v>7</v>
      </c>
      <c r="X246" s="67">
        <f>+VLOOKUP(Q246,COMISIONES!$C$2:$AO$33,39,0)</f>
        <v>60</v>
      </c>
      <c r="Y246" s="67">
        <f t="shared" si="3"/>
        <v>420</v>
      </c>
      <c r="Z246" s="58" t="s">
        <v>80</v>
      </c>
      <c r="AA246" s="13">
        <f>+VLOOKUP(Q246,COMISIONES!$C$2:$C$33,1,0)</f>
        <v>20009592</v>
      </c>
      <c r="AB246" s="13" t="s">
        <v>269</v>
      </c>
    </row>
    <row r="247" spans="1:28">
      <c r="A247" s="117" t="s">
        <v>821</v>
      </c>
      <c r="B247" s="138">
        <v>45150</v>
      </c>
      <c r="C247" s="117" t="s">
        <v>1563</v>
      </c>
      <c r="D247" s="117" t="s">
        <v>1564</v>
      </c>
      <c r="E247" s="117" t="s">
        <v>1565</v>
      </c>
      <c r="F247" s="117"/>
      <c r="G247" s="117" t="s">
        <v>44</v>
      </c>
      <c r="H247" s="117" t="s">
        <v>2</v>
      </c>
      <c r="I247"/>
      <c r="J247"/>
      <c r="K247" s="117" t="s">
        <v>105</v>
      </c>
      <c r="L247">
        <v>1</v>
      </c>
      <c r="M247" s="117" t="s">
        <v>110</v>
      </c>
      <c r="N247" s="117" t="s">
        <v>10</v>
      </c>
      <c r="O247" s="117" t="s">
        <v>51</v>
      </c>
      <c r="P247" s="117" t="s">
        <v>40</v>
      </c>
      <c r="Q247" s="139">
        <v>20000661</v>
      </c>
      <c r="R247" s="117" t="s">
        <v>78</v>
      </c>
      <c r="S247" s="117" t="s">
        <v>109</v>
      </c>
      <c r="T247" s="117"/>
      <c r="U247" s="117" t="s">
        <v>108</v>
      </c>
      <c r="V247" s="12">
        <f>+IFERROR(IF(VLOOKUP(Q247,COMISIONES!$C$2:$K$33,9,0)&gt;=VLOOKUP(TC!Q247,COMISIONES!$C$2:$I$33,7,0),1,0),0)</f>
        <v>1</v>
      </c>
      <c r="W247" s="262">
        <f>+IF(H247="Segunda",VLOOKUP(_xlfn.CONCAT(P247,G247,H247,V247),'PUNTOS 2021'!$E$23:$F$30,2,0),TC!L247)</f>
        <v>1</v>
      </c>
      <c r="X247" s="67">
        <f>+VLOOKUP(Q247,COMISIONES!$C$2:$AO$33,39,0)</f>
        <v>60</v>
      </c>
      <c r="Y247" s="67">
        <f t="shared" si="3"/>
        <v>60</v>
      </c>
      <c r="Z247" s="58" t="s">
        <v>80</v>
      </c>
      <c r="AA247" s="13">
        <f>+VLOOKUP(Q247,COMISIONES!$C$2:$C$33,1,0)</f>
        <v>20000661</v>
      </c>
      <c r="AB247" s="13" t="s">
        <v>269</v>
      </c>
    </row>
    <row r="248" spans="1:28">
      <c r="A248" s="117" t="s">
        <v>821</v>
      </c>
      <c r="B248" s="138">
        <v>45151</v>
      </c>
      <c r="C248" s="117" t="s">
        <v>1566</v>
      </c>
      <c r="D248" s="117" t="s">
        <v>1567</v>
      </c>
      <c r="E248" s="117" t="s">
        <v>1568</v>
      </c>
      <c r="F248" s="117"/>
      <c r="G248" s="117" t="s">
        <v>44</v>
      </c>
      <c r="H248" s="117" t="s">
        <v>2</v>
      </c>
      <c r="I248"/>
      <c r="J248"/>
      <c r="K248" s="117" t="s">
        <v>105</v>
      </c>
      <c r="L248">
        <v>1</v>
      </c>
      <c r="M248" s="117" t="s">
        <v>272</v>
      </c>
      <c r="N248" s="117" t="s">
        <v>275</v>
      </c>
      <c r="O248" s="117" t="s">
        <v>52</v>
      </c>
      <c r="P248" s="117" t="s">
        <v>40</v>
      </c>
      <c r="Q248" s="139">
        <v>20009688</v>
      </c>
      <c r="R248" s="117" t="s">
        <v>78</v>
      </c>
      <c r="S248" s="117" t="s">
        <v>109</v>
      </c>
      <c r="T248" s="117"/>
      <c r="U248" s="117" t="s">
        <v>108</v>
      </c>
      <c r="V248" s="12">
        <f>+IFERROR(IF(VLOOKUP(Q248,COMISIONES!$C$2:$K$33,9,0)&gt;=VLOOKUP(TC!Q248,COMISIONES!$C$2:$I$33,7,0),1,0),0)</f>
        <v>0</v>
      </c>
      <c r="W248" s="262">
        <f>+IF(H248="Segunda",VLOOKUP(_xlfn.CONCAT(P248,G248,H248,V248),'PUNTOS 2021'!$E$23:$F$30,2,0),TC!L248)</f>
        <v>0.5</v>
      </c>
      <c r="X248" s="67">
        <f>+VLOOKUP(Q248,COMISIONES!$C$2:$AO$33,39,0)</f>
        <v>30</v>
      </c>
      <c r="Y248" s="67">
        <f t="shared" si="3"/>
        <v>15</v>
      </c>
      <c r="Z248" s="58" t="s">
        <v>80</v>
      </c>
      <c r="AA248" s="13">
        <f>+VLOOKUP(Q248,COMISIONES!$C$2:$C$33,1,0)</f>
        <v>20009688</v>
      </c>
      <c r="AB248" s="13" t="s">
        <v>269</v>
      </c>
    </row>
    <row r="249" spans="1:28" hidden="1">
      <c r="A249" s="117" t="s">
        <v>821</v>
      </c>
      <c r="B249" s="138">
        <v>45151</v>
      </c>
      <c r="C249" s="117" t="s">
        <v>1569</v>
      </c>
      <c r="D249" s="117" t="s">
        <v>1570</v>
      </c>
      <c r="E249" s="117" t="s">
        <v>1571</v>
      </c>
      <c r="F249" s="117"/>
      <c r="G249" s="117" t="s">
        <v>45</v>
      </c>
      <c r="H249" s="117" t="s">
        <v>1</v>
      </c>
      <c r="I249"/>
      <c r="J249"/>
      <c r="K249" s="117" t="s">
        <v>105</v>
      </c>
      <c r="L249">
        <v>7</v>
      </c>
      <c r="M249" s="117" t="s">
        <v>256</v>
      </c>
      <c r="N249" s="117" t="s">
        <v>236</v>
      </c>
      <c r="O249" s="117" t="s">
        <v>49</v>
      </c>
      <c r="P249" s="117" t="s">
        <v>40</v>
      </c>
      <c r="Q249" s="139">
        <v>20010101</v>
      </c>
      <c r="R249" s="117" t="s">
        <v>78</v>
      </c>
      <c r="S249" s="117" t="s">
        <v>109</v>
      </c>
      <c r="T249" s="117" t="s">
        <v>109</v>
      </c>
      <c r="U249" s="117" t="s">
        <v>128</v>
      </c>
      <c r="V249" s="12">
        <f>+IFERROR(IF(VLOOKUP(Q249,COMISIONES!$C$2:$K$33,9,0)&gt;=VLOOKUP(TC!Q249,COMISIONES!$C$2:$I$33,7,0),1,0),0)</f>
        <v>0</v>
      </c>
      <c r="W249" s="262">
        <f>+IF(H249="Segunda",VLOOKUP(_xlfn.CONCAT(P249,G249,H249,V249),'PUNTOS 2021'!$E$23:$F$30,2,0),TC!L249)</f>
        <v>7</v>
      </c>
      <c r="X249" s="67">
        <f>+VLOOKUP(Q249,COMISIONES!$C$2:$AO$33,39,0)</f>
        <v>65</v>
      </c>
      <c r="Y249" s="67">
        <f t="shared" si="3"/>
        <v>455</v>
      </c>
      <c r="Z249" s="58" t="s">
        <v>80</v>
      </c>
      <c r="AA249" s="13">
        <f>+VLOOKUP(Q249,COMISIONES!$C$2:$C$33,1,0)</f>
        <v>20010101</v>
      </c>
      <c r="AB249" s="13" t="s">
        <v>269</v>
      </c>
    </row>
    <row r="250" spans="1:28" hidden="1">
      <c r="A250" s="117" t="s">
        <v>821</v>
      </c>
      <c r="B250" s="138">
        <v>45151</v>
      </c>
      <c r="C250" s="117" t="s">
        <v>1572</v>
      </c>
      <c r="D250" s="117" t="s">
        <v>1573</v>
      </c>
      <c r="E250" s="117" t="s">
        <v>1574</v>
      </c>
      <c r="F250" s="117"/>
      <c r="G250" s="117" t="s">
        <v>45</v>
      </c>
      <c r="H250" s="117" t="s">
        <v>1</v>
      </c>
      <c r="I250"/>
      <c r="J250"/>
      <c r="K250" s="117" t="s">
        <v>105</v>
      </c>
      <c r="L250">
        <v>7</v>
      </c>
      <c r="M250" s="117" t="s">
        <v>106</v>
      </c>
      <c r="N250" s="117" t="s">
        <v>8</v>
      </c>
      <c r="O250" s="117" t="s">
        <v>51</v>
      </c>
      <c r="P250" s="117" t="s">
        <v>40</v>
      </c>
      <c r="Q250" s="139">
        <v>20002636</v>
      </c>
      <c r="R250" s="117" t="s">
        <v>78</v>
      </c>
      <c r="S250" s="117" t="s">
        <v>109</v>
      </c>
      <c r="T250" s="117"/>
      <c r="U250" s="117" t="s">
        <v>108</v>
      </c>
      <c r="V250" s="12">
        <f>+IFERROR(IF(VLOOKUP(Q250,COMISIONES!$C$2:$K$33,9,0)&gt;=VLOOKUP(TC!Q250,COMISIONES!$C$2:$I$33,7,0),1,0),0)</f>
        <v>0</v>
      </c>
      <c r="W250" s="262">
        <f>+IF(H250="Segunda",VLOOKUP(_xlfn.CONCAT(P250,G250,H250,V250),'PUNTOS 2021'!$E$23:$F$30,2,0),TC!L250)</f>
        <v>7</v>
      </c>
      <c r="X250" s="67">
        <f>+VLOOKUP(Q250,COMISIONES!$C$2:$AO$33,39,0)</f>
        <v>40</v>
      </c>
      <c r="Y250" s="67">
        <f t="shared" si="3"/>
        <v>280</v>
      </c>
      <c r="Z250" s="58" t="s">
        <v>80</v>
      </c>
      <c r="AA250" s="13">
        <f>+VLOOKUP(Q250,COMISIONES!$C$2:$C$33,1,0)</f>
        <v>20002636</v>
      </c>
      <c r="AB250" s="13" t="s">
        <v>269</v>
      </c>
    </row>
    <row r="251" spans="1:28" hidden="1">
      <c r="A251" s="117" t="s">
        <v>821</v>
      </c>
      <c r="B251" s="138">
        <v>45151</v>
      </c>
      <c r="C251" s="117" t="s">
        <v>1575</v>
      </c>
      <c r="D251" s="117" t="s">
        <v>1576</v>
      </c>
      <c r="E251" s="117" t="s">
        <v>1577</v>
      </c>
      <c r="F251" s="117"/>
      <c r="G251" s="117" t="s">
        <v>44</v>
      </c>
      <c r="H251" s="117" t="s">
        <v>1</v>
      </c>
      <c r="I251"/>
      <c r="J251"/>
      <c r="K251" s="117" t="s">
        <v>105</v>
      </c>
      <c r="L251">
        <v>5</v>
      </c>
      <c r="M251" s="117" t="s">
        <v>111</v>
      </c>
      <c r="N251" s="117" t="s">
        <v>14</v>
      </c>
      <c r="O251" s="117" t="s">
        <v>50</v>
      </c>
      <c r="P251" s="117" t="s">
        <v>40</v>
      </c>
      <c r="Q251" s="139">
        <v>20006360</v>
      </c>
      <c r="R251" s="117" t="s">
        <v>78</v>
      </c>
      <c r="S251" s="117" t="s">
        <v>109</v>
      </c>
      <c r="T251" s="117"/>
      <c r="U251" s="117" t="s">
        <v>108</v>
      </c>
      <c r="V251" s="12">
        <f>+IFERROR(IF(VLOOKUP(Q251,COMISIONES!$C$2:$K$33,9,0)&gt;=VLOOKUP(TC!Q251,COMISIONES!$C$2:$I$33,7,0),1,0),0)</f>
        <v>0</v>
      </c>
      <c r="W251" s="262">
        <f>+IF(H251="Segunda",VLOOKUP(_xlfn.CONCAT(P251,G251,H251,V251),'PUNTOS 2021'!$E$23:$F$30,2,0),TC!L251)</f>
        <v>5</v>
      </c>
      <c r="X251" s="67">
        <f>+VLOOKUP(Q251,COMISIONES!$C$2:$AO$33,39,0)</f>
        <v>40</v>
      </c>
      <c r="Y251" s="67">
        <f t="shared" si="3"/>
        <v>200</v>
      </c>
      <c r="Z251" s="58" t="s">
        <v>80</v>
      </c>
      <c r="AA251" s="13">
        <f>+VLOOKUP(Q251,COMISIONES!$C$2:$C$33,1,0)</f>
        <v>20006360</v>
      </c>
      <c r="AB251" s="13" t="s">
        <v>269</v>
      </c>
    </row>
    <row r="252" spans="1:28">
      <c r="A252" s="117" t="s">
        <v>821</v>
      </c>
      <c r="B252" s="138">
        <v>45151</v>
      </c>
      <c r="C252" s="117" t="s">
        <v>1578</v>
      </c>
      <c r="D252" s="117" t="s">
        <v>1579</v>
      </c>
      <c r="E252" s="117" t="s">
        <v>1580</v>
      </c>
      <c r="F252" s="117"/>
      <c r="G252" s="117" t="s">
        <v>45</v>
      </c>
      <c r="H252" s="117" t="s">
        <v>2</v>
      </c>
      <c r="I252"/>
      <c r="J252"/>
      <c r="K252" s="117" t="s">
        <v>105</v>
      </c>
      <c r="L252">
        <v>2</v>
      </c>
      <c r="M252" s="117" t="s">
        <v>127</v>
      </c>
      <c r="N252" s="117" t="s">
        <v>16</v>
      </c>
      <c r="O252" s="117" t="s">
        <v>49</v>
      </c>
      <c r="P252" s="117" t="s">
        <v>40</v>
      </c>
      <c r="Q252" s="139">
        <v>20002708</v>
      </c>
      <c r="R252" s="117" t="s">
        <v>78</v>
      </c>
      <c r="S252" s="117" t="s">
        <v>109</v>
      </c>
      <c r="T252" s="117"/>
      <c r="U252" s="117" t="s">
        <v>108</v>
      </c>
      <c r="V252" s="12">
        <f>+IFERROR(IF(VLOOKUP(Q252,COMISIONES!$C$2:$K$33,9,0)&gt;=VLOOKUP(TC!Q252,COMISIONES!$C$2:$I$33,7,0),1,0),0)</f>
        <v>0</v>
      </c>
      <c r="W252" s="262">
        <f>+IF(H252="Segunda",VLOOKUP(_xlfn.CONCAT(P252,G252,H252,V252),'PUNTOS 2021'!$E$23:$F$30,2,0),TC!L252)</f>
        <v>0.5</v>
      </c>
      <c r="X252" s="67">
        <f>+VLOOKUP(Q252,COMISIONES!$C$2:$AO$33,39,0)</f>
        <v>60</v>
      </c>
      <c r="Y252" s="67">
        <f t="shared" ref="Y252:Y314" si="4">X252*W252</f>
        <v>30</v>
      </c>
      <c r="Z252" s="58" t="s">
        <v>80</v>
      </c>
      <c r="AA252" s="13">
        <f>+VLOOKUP(Q252,COMISIONES!$C$2:$C$33,1,0)</f>
        <v>20002708</v>
      </c>
      <c r="AB252" s="13" t="s">
        <v>269</v>
      </c>
    </row>
    <row r="253" spans="1:28">
      <c r="A253" s="117" t="s">
        <v>821</v>
      </c>
      <c r="B253" s="138">
        <v>45151</v>
      </c>
      <c r="C253" s="117" t="s">
        <v>1581</v>
      </c>
      <c r="D253" s="117" t="s">
        <v>1582</v>
      </c>
      <c r="E253" s="117" t="s">
        <v>1583</v>
      </c>
      <c r="F253" s="117"/>
      <c r="G253" s="117" t="s">
        <v>44</v>
      </c>
      <c r="H253" s="117" t="s">
        <v>2</v>
      </c>
      <c r="I253"/>
      <c r="J253"/>
      <c r="K253" s="117" t="s">
        <v>105</v>
      </c>
      <c r="L253">
        <v>1</v>
      </c>
      <c r="M253" s="117" t="s">
        <v>124</v>
      </c>
      <c r="N253" s="117" t="s">
        <v>17</v>
      </c>
      <c r="O253" s="117" t="s">
        <v>52</v>
      </c>
      <c r="P253" s="117" t="s">
        <v>40</v>
      </c>
      <c r="Q253" s="139">
        <v>20006233</v>
      </c>
      <c r="R253" s="117" t="s">
        <v>78</v>
      </c>
      <c r="S253" s="117" t="s">
        <v>109</v>
      </c>
      <c r="T253" s="117"/>
      <c r="U253" s="117" t="s">
        <v>108</v>
      </c>
      <c r="V253" s="12">
        <f>+IFERROR(IF(VLOOKUP(Q253,COMISIONES!$C$2:$K$33,9,0)&gt;=VLOOKUP(TC!Q253,COMISIONES!$C$2:$I$33,7,0),1,0),0)</f>
        <v>0</v>
      </c>
      <c r="W253" s="262">
        <f>+IF(H253="Segunda",VLOOKUP(_xlfn.CONCAT(P253,G253,H253,V253),'PUNTOS 2021'!$E$23:$F$30,2,0),TC!L253)</f>
        <v>0.5</v>
      </c>
      <c r="X253" s="67">
        <f>+VLOOKUP(Q253,COMISIONES!$C$2:$AO$33,39,0)</f>
        <v>40</v>
      </c>
      <c r="Y253" s="67">
        <f t="shared" si="4"/>
        <v>20</v>
      </c>
      <c r="Z253" s="58" t="s">
        <v>80</v>
      </c>
      <c r="AA253" s="13">
        <f>+VLOOKUP(Q253,COMISIONES!$C$2:$C$33,1,0)</f>
        <v>20006233</v>
      </c>
      <c r="AB253" s="13" t="s">
        <v>269</v>
      </c>
    </row>
    <row r="254" spans="1:28" hidden="1">
      <c r="A254" s="117" t="s">
        <v>821</v>
      </c>
      <c r="B254" s="138">
        <v>45151</v>
      </c>
      <c r="C254" s="117" t="s">
        <v>1584</v>
      </c>
      <c r="D254" s="117" t="s">
        <v>1585</v>
      </c>
      <c r="E254" s="117" t="s">
        <v>1586</v>
      </c>
      <c r="F254" s="117"/>
      <c r="G254" s="117" t="s">
        <v>45</v>
      </c>
      <c r="H254" s="117" t="s">
        <v>1</v>
      </c>
      <c r="I254"/>
      <c r="J254"/>
      <c r="K254" s="117" t="s">
        <v>105</v>
      </c>
      <c r="L254">
        <v>7</v>
      </c>
      <c r="M254" s="117" t="s">
        <v>119</v>
      </c>
      <c r="N254" s="117" t="s">
        <v>22</v>
      </c>
      <c r="O254" s="117" t="s">
        <v>52</v>
      </c>
      <c r="P254" s="117" t="s">
        <v>40</v>
      </c>
      <c r="Q254" s="139">
        <v>20009174</v>
      </c>
      <c r="R254" s="117" t="s">
        <v>78</v>
      </c>
      <c r="S254" s="117" t="s">
        <v>109</v>
      </c>
      <c r="T254" s="117"/>
      <c r="U254" s="117" t="s">
        <v>108</v>
      </c>
      <c r="V254" s="12">
        <f>+IFERROR(IF(VLOOKUP(Q254,COMISIONES!$C$2:$K$33,9,0)&gt;=VLOOKUP(TC!Q254,COMISIONES!$C$2:$I$33,7,0),1,0),0)</f>
        <v>0</v>
      </c>
      <c r="W254" s="262">
        <f>+IF(H254="Segunda",VLOOKUP(_xlfn.CONCAT(P254,G254,H254,V254),'PUNTOS 2021'!$E$23:$F$30,2,0),TC!L254)</f>
        <v>7</v>
      </c>
      <c r="X254" s="67">
        <f>+VLOOKUP(Q254,COMISIONES!$C$2:$AO$33,39,0)</f>
        <v>60</v>
      </c>
      <c r="Y254" s="67">
        <f t="shared" si="4"/>
        <v>420</v>
      </c>
      <c r="Z254" s="58" t="s">
        <v>80</v>
      </c>
      <c r="AA254" s="13">
        <f>+VLOOKUP(Q254,COMISIONES!$C$2:$C$33,1,0)</f>
        <v>20009174</v>
      </c>
      <c r="AB254" s="13" t="s">
        <v>269</v>
      </c>
    </row>
    <row r="255" spans="1:28" hidden="1">
      <c r="A255" s="117" t="s">
        <v>821</v>
      </c>
      <c r="B255" s="138">
        <v>45151</v>
      </c>
      <c r="C255" s="117" t="s">
        <v>1587</v>
      </c>
      <c r="D255" s="117" t="s">
        <v>1588</v>
      </c>
      <c r="E255" s="117" t="s">
        <v>1589</v>
      </c>
      <c r="F255" s="117"/>
      <c r="G255" s="117" t="s">
        <v>45</v>
      </c>
      <c r="H255" s="117" t="s">
        <v>1</v>
      </c>
      <c r="I255"/>
      <c r="J255"/>
      <c r="K255" s="117" t="s">
        <v>105</v>
      </c>
      <c r="L255">
        <v>7</v>
      </c>
      <c r="M255" s="117" t="s">
        <v>110</v>
      </c>
      <c r="N255" s="117" t="s">
        <v>10</v>
      </c>
      <c r="O255" s="117" t="s">
        <v>51</v>
      </c>
      <c r="P255" s="117" t="s">
        <v>40</v>
      </c>
      <c r="Q255" s="139">
        <v>20000661</v>
      </c>
      <c r="R255" s="117" t="s">
        <v>78</v>
      </c>
      <c r="S255" s="117" t="s">
        <v>109</v>
      </c>
      <c r="T255" s="117"/>
      <c r="U255" s="117" t="s">
        <v>108</v>
      </c>
      <c r="V255" s="12">
        <f>+IFERROR(IF(VLOOKUP(Q255,COMISIONES!$C$2:$K$33,9,0)&gt;=VLOOKUP(TC!Q255,COMISIONES!$C$2:$I$33,7,0),1,0),0)</f>
        <v>1</v>
      </c>
      <c r="W255" s="262">
        <f>+IF(H255="Segunda",VLOOKUP(_xlfn.CONCAT(P255,G255,H255,V255),'PUNTOS 2021'!$E$23:$F$30,2,0),TC!L255)</f>
        <v>7</v>
      </c>
      <c r="X255" s="67">
        <f>+VLOOKUP(Q255,COMISIONES!$C$2:$AO$33,39,0)</f>
        <v>60</v>
      </c>
      <c r="Y255" s="67">
        <f t="shared" si="4"/>
        <v>420</v>
      </c>
      <c r="Z255" s="58" t="s">
        <v>80</v>
      </c>
      <c r="AA255" s="13">
        <f>+VLOOKUP(Q255,COMISIONES!$C$2:$C$33,1,0)</f>
        <v>20000661</v>
      </c>
      <c r="AB255" s="13" t="s">
        <v>269</v>
      </c>
    </row>
    <row r="256" spans="1:28">
      <c r="A256" s="117" t="s">
        <v>821</v>
      </c>
      <c r="B256" s="138">
        <v>45151</v>
      </c>
      <c r="C256" s="117" t="s">
        <v>1590</v>
      </c>
      <c r="D256" s="117" t="s">
        <v>1591</v>
      </c>
      <c r="E256" s="117" t="s">
        <v>1592</v>
      </c>
      <c r="F256" s="117"/>
      <c r="G256" s="117" t="s">
        <v>45</v>
      </c>
      <c r="H256" s="117" t="s">
        <v>2</v>
      </c>
      <c r="I256"/>
      <c r="J256"/>
      <c r="K256" s="117" t="s">
        <v>105</v>
      </c>
      <c r="L256">
        <v>2</v>
      </c>
      <c r="M256" s="117" t="s">
        <v>112</v>
      </c>
      <c r="N256" s="117" t="s">
        <v>9</v>
      </c>
      <c r="O256" s="117" t="s">
        <v>51</v>
      </c>
      <c r="P256" s="117" t="s">
        <v>40</v>
      </c>
      <c r="Q256" s="139">
        <v>20004638</v>
      </c>
      <c r="R256" s="117" t="s">
        <v>78</v>
      </c>
      <c r="S256" s="117" t="s">
        <v>109</v>
      </c>
      <c r="T256" s="117"/>
      <c r="U256" s="117" t="s">
        <v>108</v>
      </c>
      <c r="V256" s="12">
        <f>+IFERROR(IF(VLOOKUP(Q256,COMISIONES!$C$2:$K$33,9,0)&gt;=VLOOKUP(TC!Q256,COMISIONES!$C$2:$I$33,7,0),1,0),0)</f>
        <v>0</v>
      </c>
      <c r="W256" s="262">
        <f>+IF(H256="Segunda",VLOOKUP(_xlfn.CONCAT(P256,G256,H256,V256),'PUNTOS 2021'!$E$23:$F$30,2,0),TC!L256)</f>
        <v>0.5</v>
      </c>
      <c r="X256" s="67">
        <f>+VLOOKUP(Q256,COMISIONES!$C$2:$AO$33,39,0)</f>
        <v>60</v>
      </c>
      <c r="Y256" s="67">
        <f t="shared" si="4"/>
        <v>30</v>
      </c>
      <c r="Z256" s="58" t="s">
        <v>80</v>
      </c>
      <c r="AA256" s="13">
        <f>+VLOOKUP(Q256,COMISIONES!$C$2:$C$33,1,0)</f>
        <v>20004638</v>
      </c>
      <c r="AB256" s="13" t="s">
        <v>269</v>
      </c>
    </row>
    <row r="257" spans="1:28" hidden="1">
      <c r="A257" s="117" t="s">
        <v>821</v>
      </c>
      <c r="B257" s="138">
        <v>45151</v>
      </c>
      <c r="C257" s="117" t="s">
        <v>1593</v>
      </c>
      <c r="D257" s="117" t="s">
        <v>1594</v>
      </c>
      <c r="E257" s="117" t="s">
        <v>1595</v>
      </c>
      <c r="F257" s="117"/>
      <c r="G257" s="117" t="s">
        <v>45</v>
      </c>
      <c r="H257" s="117" t="s">
        <v>1</v>
      </c>
      <c r="I257"/>
      <c r="J257"/>
      <c r="K257" s="117" t="s">
        <v>105</v>
      </c>
      <c r="L257">
        <v>7</v>
      </c>
      <c r="M257" s="117" t="s">
        <v>113</v>
      </c>
      <c r="N257" s="117" t="s">
        <v>12</v>
      </c>
      <c r="O257" s="117" t="s">
        <v>49</v>
      </c>
      <c r="P257" s="117" t="s">
        <v>40</v>
      </c>
      <c r="Q257" s="139">
        <v>20007726</v>
      </c>
      <c r="R257" s="117" t="s">
        <v>78</v>
      </c>
      <c r="S257" s="117" t="s">
        <v>109</v>
      </c>
      <c r="T257" s="117"/>
      <c r="U257" s="117" t="s">
        <v>108</v>
      </c>
      <c r="V257" s="12">
        <f>+IFERROR(IF(VLOOKUP(Q257,COMISIONES!$C$2:$K$33,9,0)&gt;=VLOOKUP(TC!Q257,COMISIONES!$C$2:$I$33,7,0),1,0),0)</f>
        <v>1</v>
      </c>
      <c r="W257" s="262">
        <f>+IF(H257="Segunda",VLOOKUP(_xlfn.CONCAT(P257,G257,H257,V257),'PUNTOS 2021'!$E$23:$F$30,2,0),TC!L257)</f>
        <v>7</v>
      </c>
      <c r="X257" s="67">
        <f>+VLOOKUP(Q257,COMISIONES!$C$2:$AO$33,39,0)</f>
        <v>65</v>
      </c>
      <c r="Y257" s="67">
        <f t="shared" si="4"/>
        <v>455</v>
      </c>
      <c r="Z257" s="58" t="s">
        <v>80</v>
      </c>
      <c r="AA257" s="13">
        <f>+VLOOKUP(Q257,COMISIONES!$C$2:$C$33,1,0)</f>
        <v>20007726</v>
      </c>
      <c r="AB257" s="13" t="s">
        <v>269</v>
      </c>
    </row>
    <row r="258" spans="1:28" hidden="1">
      <c r="A258" s="117" t="s">
        <v>821</v>
      </c>
      <c r="B258" s="138">
        <v>45151</v>
      </c>
      <c r="C258" s="117" t="s">
        <v>1596</v>
      </c>
      <c r="D258" s="117" t="s">
        <v>1597</v>
      </c>
      <c r="E258" s="117" t="s">
        <v>1598</v>
      </c>
      <c r="F258" s="117"/>
      <c r="G258" s="117" t="s">
        <v>45</v>
      </c>
      <c r="H258" s="117" t="s">
        <v>1</v>
      </c>
      <c r="I258"/>
      <c r="J258"/>
      <c r="K258" s="117" t="s">
        <v>105</v>
      </c>
      <c r="L258">
        <v>7</v>
      </c>
      <c r="M258" s="117" t="s">
        <v>123</v>
      </c>
      <c r="N258" s="117" t="s">
        <v>23</v>
      </c>
      <c r="O258" s="117" t="s">
        <v>49</v>
      </c>
      <c r="P258" s="117" t="s">
        <v>40</v>
      </c>
      <c r="Q258" s="139">
        <v>20009269</v>
      </c>
      <c r="R258" s="117" t="s">
        <v>78</v>
      </c>
      <c r="S258" s="117" t="s">
        <v>109</v>
      </c>
      <c r="T258" s="117"/>
      <c r="U258" s="117" t="s">
        <v>108</v>
      </c>
      <c r="V258" s="12">
        <f>+IFERROR(IF(VLOOKUP(Q258,COMISIONES!$C$2:$K$33,9,0)&gt;=VLOOKUP(TC!Q258,COMISIONES!$C$2:$I$33,7,0),1,0),0)</f>
        <v>1</v>
      </c>
      <c r="W258" s="262">
        <f>+IF(H258="Segunda",VLOOKUP(_xlfn.CONCAT(P258,G258,H258,V258),'PUNTOS 2021'!$E$23:$F$30,2,0),TC!L258)</f>
        <v>7</v>
      </c>
      <c r="X258" s="67">
        <f>+VLOOKUP(Q258,COMISIONES!$C$2:$AO$33,39,0)</f>
        <v>65</v>
      </c>
      <c r="Y258" s="67">
        <f t="shared" si="4"/>
        <v>455</v>
      </c>
      <c r="Z258" s="58" t="s">
        <v>80</v>
      </c>
      <c r="AA258" s="13">
        <f>+VLOOKUP(Q258,COMISIONES!$C$2:$C$33,1,0)</f>
        <v>20009269</v>
      </c>
      <c r="AB258" s="13" t="s">
        <v>269</v>
      </c>
    </row>
    <row r="259" spans="1:28" hidden="1">
      <c r="A259" s="117" t="s">
        <v>821</v>
      </c>
      <c r="B259" s="138">
        <v>45151</v>
      </c>
      <c r="C259" s="117" t="s">
        <v>1599</v>
      </c>
      <c r="D259" s="117" t="s">
        <v>1600</v>
      </c>
      <c r="E259" s="117" t="s">
        <v>1601</v>
      </c>
      <c r="F259" s="117"/>
      <c r="G259" s="117" t="s">
        <v>44</v>
      </c>
      <c r="H259" s="117" t="s">
        <v>1</v>
      </c>
      <c r="I259"/>
      <c r="J259"/>
      <c r="K259" s="117" t="s">
        <v>105</v>
      </c>
      <c r="L259">
        <v>5</v>
      </c>
      <c r="M259" s="117" t="s">
        <v>256</v>
      </c>
      <c r="N259" s="117" t="s">
        <v>236</v>
      </c>
      <c r="O259" s="117" t="s">
        <v>49</v>
      </c>
      <c r="P259" s="117" t="s">
        <v>40</v>
      </c>
      <c r="Q259" s="139">
        <v>20010101</v>
      </c>
      <c r="R259" s="117" t="s">
        <v>78</v>
      </c>
      <c r="S259" s="117" t="s">
        <v>109</v>
      </c>
      <c r="T259" s="117"/>
      <c r="U259" s="117" t="s">
        <v>108</v>
      </c>
      <c r="V259" s="12">
        <f>+IFERROR(IF(VLOOKUP(Q259,COMISIONES!$C$2:$K$33,9,0)&gt;=VLOOKUP(TC!Q259,COMISIONES!$C$2:$I$33,7,0),1,0),0)</f>
        <v>0</v>
      </c>
      <c r="W259" s="262">
        <f>+IF(H259="Segunda",VLOOKUP(_xlfn.CONCAT(P259,G259,H259,V259),'PUNTOS 2021'!$E$23:$F$30,2,0),TC!L259)</f>
        <v>5</v>
      </c>
      <c r="X259" s="67">
        <f>+VLOOKUP(Q259,COMISIONES!$C$2:$AO$33,39,0)</f>
        <v>65</v>
      </c>
      <c r="Y259" s="67">
        <f t="shared" si="4"/>
        <v>325</v>
      </c>
      <c r="Z259" s="58" t="s">
        <v>80</v>
      </c>
      <c r="AA259" s="13">
        <f>+VLOOKUP(Q259,COMISIONES!$C$2:$C$33,1,0)</f>
        <v>20010101</v>
      </c>
      <c r="AB259" s="13" t="s">
        <v>269</v>
      </c>
    </row>
    <row r="260" spans="1:28" hidden="1">
      <c r="A260" s="117" t="s">
        <v>821</v>
      </c>
      <c r="B260" s="138">
        <v>45151</v>
      </c>
      <c r="C260" s="117" t="s">
        <v>1602</v>
      </c>
      <c r="D260" s="117" t="s">
        <v>1603</v>
      </c>
      <c r="E260" s="117" t="s">
        <v>1604</v>
      </c>
      <c r="F260" s="117"/>
      <c r="G260" s="117" t="s">
        <v>44</v>
      </c>
      <c r="H260" s="117" t="s">
        <v>1</v>
      </c>
      <c r="I260"/>
      <c r="J260"/>
      <c r="K260" s="117" t="s">
        <v>105</v>
      </c>
      <c r="L260">
        <v>5</v>
      </c>
      <c r="M260" s="117" t="s">
        <v>258</v>
      </c>
      <c r="N260" s="117" t="s">
        <v>237</v>
      </c>
      <c r="O260" s="117" t="s">
        <v>51</v>
      </c>
      <c r="P260" s="117" t="s">
        <v>40</v>
      </c>
      <c r="Q260" s="139">
        <v>20006893</v>
      </c>
      <c r="R260" s="117" t="s">
        <v>78</v>
      </c>
      <c r="S260" s="117" t="s">
        <v>109</v>
      </c>
      <c r="T260" s="117"/>
      <c r="U260" s="117" t="s">
        <v>108</v>
      </c>
      <c r="V260" s="12">
        <f>+IFERROR(IF(VLOOKUP(Q260,COMISIONES!$C$2:$K$33,9,0)&gt;=VLOOKUP(TC!Q260,COMISIONES!$C$2:$I$33,7,0),1,0),0)</f>
        <v>0</v>
      </c>
      <c r="W260" s="262">
        <f>+IF(H260="Segunda",VLOOKUP(_xlfn.CONCAT(P260,G260,H260,V260),'PUNTOS 2021'!$E$23:$F$30,2,0),TC!L260)</f>
        <v>5</v>
      </c>
      <c r="X260" s="67">
        <f>+VLOOKUP(Q260,COMISIONES!$C$2:$AO$33,39,0)</f>
        <v>40</v>
      </c>
      <c r="Y260" s="67">
        <f t="shared" si="4"/>
        <v>200</v>
      </c>
      <c r="Z260" s="58" t="s">
        <v>80</v>
      </c>
      <c r="AA260" s="13">
        <f>+VLOOKUP(Q260,COMISIONES!$C$2:$C$33,1,0)</f>
        <v>20006893</v>
      </c>
      <c r="AB260" s="13" t="s">
        <v>269</v>
      </c>
    </row>
    <row r="261" spans="1:28" hidden="1">
      <c r="A261" s="117" t="s">
        <v>821</v>
      </c>
      <c r="B261" s="138">
        <v>45151</v>
      </c>
      <c r="C261" s="117" t="s">
        <v>1605</v>
      </c>
      <c r="D261" s="117" t="s">
        <v>1606</v>
      </c>
      <c r="E261" s="117" t="s">
        <v>1607</v>
      </c>
      <c r="F261" s="117"/>
      <c r="G261" s="117" t="s">
        <v>45</v>
      </c>
      <c r="H261" s="117" t="s">
        <v>1</v>
      </c>
      <c r="I261"/>
      <c r="J261"/>
      <c r="K261" s="117" t="s">
        <v>105</v>
      </c>
      <c r="L261">
        <v>7</v>
      </c>
      <c r="M261" s="117" t="s">
        <v>124</v>
      </c>
      <c r="N261" s="117" t="s">
        <v>17</v>
      </c>
      <c r="O261" s="117" t="s">
        <v>52</v>
      </c>
      <c r="P261" s="117" t="s">
        <v>40</v>
      </c>
      <c r="Q261" s="139">
        <v>20006233</v>
      </c>
      <c r="R261" s="117" t="s">
        <v>78</v>
      </c>
      <c r="S261" s="117" t="s">
        <v>109</v>
      </c>
      <c r="T261" s="117"/>
      <c r="U261" s="117" t="s">
        <v>108</v>
      </c>
      <c r="V261" s="12">
        <f>+IFERROR(IF(VLOOKUP(Q261,COMISIONES!$C$2:$K$33,9,0)&gt;=VLOOKUP(TC!Q261,COMISIONES!$C$2:$I$33,7,0),1,0),0)</f>
        <v>0</v>
      </c>
      <c r="W261" s="262">
        <f>+IF(H261="Segunda",VLOOKUP(_xlfn.CONCAT(P261,G261,H261,V261),'PUNTOS 2021'!$E$23:$F$30,2,0),TC!L261)</f>
        <v>7</v>
      </c>
      <c r="X261" s="67">
        <f>+VLOOKUP(Q261,COMISIONES!$C$2:$AO$33,39,0)</f>
        <v>40</v>
      </c>
      <c r="Y261" s="67">
        <f t="shared" si="4"/>
        <v>280</v>
      </c>
      <c r="Z261" s="58" t="s">
        <v>80</v>
      </c>
      <c r="AA261" s="13">
        <f>+VLOOKUP(Q261,COMISIONES!$C$2:$C$33,1,0)</f>
        <v>20006233</v>
      </c>
      <c r="AB261" s="13" t="s">
        <v>269</v>
      </c>
    </row>
    <row r="262" spans="1:28" hidden="1">
      <c r="A262" s="117" t="s">
        <v>821</v>
      </c>
      <c r="B262" s="138">
        <v>45151</v>
      </c>
      <c r="C262" s="117" t="s">
        <v>1608</v>
      </c>
      <c r="D262" s="117" t="s">
        <v>1609</v>
      </c>
      <c r="E262" s="117" t="s">
        <v>1610</v>
      </c>
      <c r="F262" s="117"/>
      <c r="G262" s="117" t="s">
        <v>45</v>
      </c>
      <c r="H262" s="117" t="s">
        <v>1</v>
      </c>
      <c r="I262"/>
      <c r="J262"/>
      <c r="K262" s="117" t="s">
        <v>105</v>
      </c>
      <c r="L262">
        <v>7</v>
      </c>
      <c r="M262" s="117" t="s">
        <v>125</v>
      </c>
      <c r="N262" s="117" t="s">
        <v>18</v>
      </c>
      <c r="O262" s="117" t="s">
        <v>50</v>
      </c>
      <c r="P262" s="117" t="s">
        <v>40</v>
      </c>
      <c r="Q262" s="139">
        <v>20008439</v>
      </c>
      <c r="R262" s="117" t="s">
        <v>78</v>
      </c>
      <c r="S262" s="117" t="s">
        <v>109</v>
      </c>
      <c r="T262" s="117" t="s">
        <v>109</v>
      </c>
      <c r="U262" s="117" t="s">
        <v>128</v>
      </c>
      <c r="V262" s="12">
        <f>+IFERROR(IF(VLOOKUP(Q262,COMISIONES!$C$2:$K$33,9,0)&gt;=VLOOKUP(TC!Q262,COMISIONES!$C$2:$I$33,7,0),1,0),0)</f>
        <v>1</v>
      </c>
      <c r="W262" s="262">
        <f>+IF(H262="Segunda",VLOOKUP(_xlfn.CONCAT(P262,G262,H262,V262),'PUNTOS 2021'!$E$23:$F$30,2,0),TC!L262)</f>
        <v>7</v>
      </c>
      <c r="X262" s="67">
        <f>+VLOOKUP(Q262,COMISIONES!$C$2:$AO$33,39,0)</f>
        <v>60</v>
      </c>
      <c r="Y262" s="67">
        <f t="shared" si="4"/>
        <v>420</v>
      </c>
      <c r="Z262" s="58" t="s">
        <v>80</v>
      </c>
      <c r="AA262" s="13">
        <f>+VLOOKUP(Q262,COMISIONES!$C$2:$C$33,1,0)</f>
        <v>20008439</v>
      </c>
      <c r="AB262" s="13" t="s">
        <v>269</v>
      </c>
    </row>
    <row r="263" spans="1:28">
      <c r="A263" s="117" t="s">
        <v>821</v>
      </c>
      <c r="B263" s="138">
        <v>45151</v>
      </c>
      <c r="C263" s="117" t="s">
        <v>1611</v>
      </c>
      <c r="D263" s="117" t="s">
        <v>1612</v>
      </c>
      <c r="E263" s="117" t="s">
        <v>1613</v>
      </c>
      <c r="F263" s="117"/>
      <c r="G263" s="117" t="s">
        <v>45</v>
      </c>
      <c r="H263" s="117" t="s">
        <v>2</v>
      </c>
      <c r="I263"/>
      <c r="J263"/>
      <c r="K263" s="117" t="s">
        <v>105</v>
      </c>
      <c r="L263">
        <v>2</v>
      </c>
      <c r="M263" s="117" t="s">
        <v>112</v>
      </c>
      <c r="N263" s="117" t="s">
        <v>9</v>
      </c>
      <c r="O263" s="117" t="s">
        <v>51</v>
      </c>
      <c r="P263" s="117" t="s">
        <v>40</v>
      </c>
      <c r="Q263" s="139">
        <v>20004638</v>
      </c>
      <c r="R263" s="117" t="s">
        <v>78</v>
      </c>
      <c r="S263" s="117" t="s">
        <v>109</v>
      </c>
      <c r="T263" s="117"/>
      <c r="U263" s="117" t="s">
        <v>108</v>
      </c>
      <c r="V263" s="12">
        <f>+IFERROR(IF(VLOOKUP(Q263,COMISIONES!$C$2:$K$33,9,0)&gt;=VLOOKUP(TC!Q263,COMISIONES!$C$2:$I$33,7,0),1,0),0)</f>
        <v>0</v>
      </c>
      <c r="W263" s="262">
        <f>+IF(H263="Segunda",VLOOKUP(_xlfn.CONCAT(P263,G263,H263,V263),'PUNTOS 2021'!$E$23:$F$30,2,0),TC!L263)</f>
        <v>0.5</v>
      </c>
      <c r="X263" s="67">
        <f>+VLOOKUP(Q263,COMISIONES!$C$2:$AO$33,39,0)</f>
        <v>60</v>
      </c>
      <c r="Y263" s="67">
        <f t="shared" si="4"/>
        <v>30</v>
      </c>
      <c r="Z263" s="58" t="s">
        <v>80</v>
      </c>
      <c r="AA263" s="13">
        <f>+VLOOKUP(Q263,COMISIONES!$C$2:$C$33,1,0)</f>
        <v>20004638</v>
      </c>
      <c r="AB263" s="13" t="s">
        <v>269</v>
      </c>
    </row>
    <row r="264" spans="1:28" hidden="1">
      <c r="A264" s="117" t="s">
        <v>821</v>
      </c>
      <c r="B264" s="138">
        <v>45151</v>
      </c>
      <c r="C264" s="117" t="s">
        <v>1614</v>
      </c>
      <c r="D264" s="117" t="s">
        <v>1615</v>
      </c>
      <c r="E264" s="117" t="s">
        <v>1616</v>
      </c>
      <c r="F264" s="117"/>
      <c r="G264" s="117" t="s">
        <v>43</v>
      </c>
      <c r="H264" s="117" t="s">
        <v>1</v>
      </c>
      <c r="I264"/>
      <c r="J264"/>
      <c r="K264" s="117" t="s">
        <v>105</v>
      </c>
      <c r="L264">
        <v>3</v>
      </c>
      <c r="M264" s="117" t="s">
        <v>259</v>
      </c>
      <c r="N264" s="117" t="s">
        <v>20</v>
      </c>
      <c r="O264" s="117" t="s">
        <v>50</v>
      </c>
      <c r="P264" s="117" t="s">
        <v>40</v>
      </c>
      <c r="Q264" s="139">
        <v>20008700</v>
      </c>
      <c r="R264" s="117" t="s">
        <v>78</v>
      </c>
      <c r="S264" s="117" t="s">
        <v>109</v>
      </c>
      <c r="T264" s="117"/>
      <c r="U264" s="117" t="s">
        <v>108</v>
      </c>
      <c r="V264" s="12">
        <f>+IFERROR(IF(VLOOKUP(Q264,COMISIONES!$C$2:$K$33,9,0)&gt;=VLOOKUP(TC!Q264,COMISIONES!$C$2:$I$33,7,0),1,0),0)</f>
        <v>0</v>
      </c>
      <c r="W264" s="262">
        <f>+IF(H264="Segunda",VLOOKUP(_xlfn.CONCAT(P264,G264,H264,V264),'PUNTOS 2021'!$E$23:$F$30,2,0),TC!L264)</f>
        <v>3</v>
      </c>
      <c r="X264" s="67">
        <f>+VLOOKUP(Q264,COMISIONES!$C$2:$AO$33,39,0)</f>
        <v>40</v>
      </c>
      <c r="Y264" s="67">
        <f t="shared" si="4"/>
        <v>120</v>
      </c>
      <c r="Z264" s="58" t="s">
        <v>80</v>
      </c>
      <c r="AA264" s="13">
        <f>+VLOOKUP(Q264,COMISIONES!$C$2:$C$33,1,0)</f>
        <v>20008700</v>
      </c>
      <c r="AB264" s="13" t="s">
        <v>269</v>
      </c>
    </row>
    <row r="265" spans="1:28" hidden="1">
      <c r="A265" s="117" t="s">
        <v>821</v>
      </c>
      <c r="B265" s="138">
        <v>45151</v>
      </c>
      <c r="C265" s="117" t="s">
        <v>1617</v>
      </c>
      <c r="D265" s="117" t="s">
        <v>1618</v>
      </c>
      <c r="E265" s="117" t="s">
        <v>1619</v>
      </c>
      <c r="F265" s="117"/>
      <c r="G265" s="117" t="s">
        <v>45</v>
      </c>
      <c r="H265" s="117" t="s">
        <v>1</v>
      </c>
      <c r="I265"/>
      <c r="J265"/>
      <c r="K265" s="117" t="s">
        <v>105</v>
      </c>
      <c r="L265">
        <v>7</v>
      </c>
      <c r="M265" s="117" t="s">
        <v>115</v>
      </c>
      <c r="N265" s="117" t="s">
        <v>6</v>
      </c>
      <c r="O265" s="117" t="s">
        <v>51</v>
      </c>
      <c r="P265" s="117" t="s">
        <v>40</v>
      </c>
      <c r="Q265" s="139">
        <v>20001487</v>
      </c>
      <c r="R265" s="117" t="s">
        <v>78</v>
      </c>
      <c r="S265" s="117" t="s">
        <v>109</v>
      </c>
      <c r="T265" s="117"/>
      <c r="U265" s="117" t="s">
        <v>108</v>
      </c>
      <c r="V265" s="12">
        <f>+IFERROR(IF(VLOOKUP(Q265,COMISIONES!$C$2:$K$33,9,0)&gt;=VLOOKUP(TC!Q265,COMISIONES!$C$2:$I$33,7,0),1,0),0)</f>
        <v>1</v>
      </c>
      <c r="W265" s="262">
        <f>+IF(H265="Segunda",VLOOKUP(_xlfn.CONCAT(P265,G265,H265,V265),'PUNTOS 2021'!$E$23:$F$30,2,0),TC!L265)</f>
        <v>7</v>
      </c>
      <c r="X265" s="67">
        <f>+VLOOKUP(Q265,COMISIONES!$C$2:$AO$33,39,0)</f>
        <v>65</v>
      </c>
      <c r="Y265" s="67">
        <f t="shared" si="4"/>
        <v>455</v>
      </c>
      <c r="Z265" s="58" t="s">
        <v>80</v>
      </c>
      <c r="AA265" s="13">
        <f>+VLOOKUP(Q265,COMISIONES!$C$2:$C$33,1,0)</f>
        <v>20001487</v>
      </c>
      <c r="AB265" s="13" t="s">
        <v>269</v>
      </c>
    </row>
    <row r="266" spans="1:28" hidden="1">
      <c r="A266" s="117" t="s">
        <v>821</v>
      </c>
      <c r="B266" s="138">
        <v>45151</v>
      </c>
      <c r="C266" s="117" t="s">
        <v>1620</v>
      </c>
      <c r="D266" s="117" t="s">
        <v>1621</v>
      </c>
      <c r="E266" s="117" t="s">
        <v>1622</v>
      </c>
      <c r="F266" s="117"/>
      <c r="G266" s="117" t="s">
        <v>44</v>
      </c>
      <c r="H266" s="117" t="s">
        <v>1</v>
      </c>
      <c r="I266"/>
      <c r="J266"/>
      <c r="K266" s="117" t="s">
        <v>105</v>
      </c>
      <c r="L266">
        <v>5</v>
      </c>
      <c r="M266" s="117" t="s">
        <v>257</v>
      </c>
      <c r="N266" s="117" t="s">
        <v>15</v>
      </c>
      <c r="O266" s="117" t="s">
        <v>52</v>
      </c>
      <c r="P266" s="117" t="s">
        <v>40</v>
      </c>
      <c r="Q266" s="139">
        <v>20005527</v>
      </c>
      <c r="R266" s="117" t="s">
        <v>78</v>
      </c>
      <c r="S266" s="117" t="s">
        <v>109</v>
      </c>
      <c r="T266" s="117"/>
      <c r="U266" s="117" t="s">
        <v>108</v>
      </c>
      <c r="V266" s="12">
        <f>+IFERROR(IF(VLOOKUP(Q266,COMISIONES!$C$2:$K$33,9,0)&gt;=VLOOKUP(TC!Q266,COMISIONES!$C$2:$I$33,7,0),1,0),0)</f>
        <v>0</v>
      </c>
      <c r="W266" s="262">
        <f>+IF(H266="Segunda",VLOOKUP(_xlfn.CONCAT(P266,G266,H266,V266),'PUNTOS 2021'!$E$23:$F$30,2,0),TC!L266)</f>
        <v>5</v>
      </c>
      <c r="X266" s="67">
        <f>+VLOOKUP(Q266,COMISIONES!$C$2:$AO$33,39,0)</f>
        <v>40</v>
      </c>
      <c r="Y266" s="67">
        <f t="shared" si="4"/>
        <v>200</v>
      </c>
      <c r="Z266" s="58" t="s">
        <v>80</v>
      </c>
      <c r="AA266" s="13">
        <f>+VLOOKUP(Q266,COMISIONES!$C$2:$C$33,1,0)</f>
        <v>20005527</v>
      </c>
      <c r="AB266" s="13" t="s">
        <v>269</v>
      </c>
    </row>
    <row r="267" spans="1:28" hidden="1">
      <c r="A267" s="117" t="s">
        <v>821</v>
      </c>
      <c r="B267" s="138">
        <v>45151</v>
      </c>
      <c r="C267" s="117" t="s">
        <v>1623</v>
      </c>
      <c r="D267" s="117" t="s">
        <v>1624</v>
      </c>
      <c r="E267" s="117" t="s">
        <v>1625</v>
      </c>
      <c r="F267" s="117"/>
      <c r="G267" s="117" t="s">
        <v>44</v>
      </c>
      <c r="H267" s="117" t="s">
        <v>1</v>
      </c>
      <c r="I267"/>
      <c r="J267"/>
      <c r="K267" s="117" t="s">
        <v>105</v>
      </c>
      <c r="L267">
        <v>5</v>
      </c>
      <c r="M267" s="117" t="s">
        <v>258</v>
      </c>
      <c r="N267" s="117" t="s">
        <v>237</v>
      </c>
      <c r="O267" s="117" t="s">
        <v>51</v>
      </c>
      <c r="P267" s="117" t="s">
        <v>40</v>
      </c>
      <c r="Q267" s="139">
        <v>20006893</v>
      </c>
      <c r="R267" s="117" t="s">
        <v>78</v>
      </c>
      <c r="S267" s="117" t="s">
        <v>109</v>
      </c>
      <c r="T267" s="117"/>
      <c r="U267" s="117" t="s">
        <v>108</v>
      </c>
      <c r="V267" s="12">
        <f>+IFERROR(IF(VLOOKUP(Q267,COMISIONES!$C$2:$K$33,9,0)&gt;=VLOOKUP(TC!Q267,COMISIONES!$C$2:$I$33,7,0),1,0),0)</f>
        <v>0</v>
      </c>
      <c r="W267" s="262">
        <f>+IF(H267="Segunda",VLOOKUP(_xlfn.CONCAT(P267,G267,H267,V267),'PUNTOS 2021'!$E$23:$F$30,2,0),TC!L267)</f>
        <v>5</v>
      </c>
      <c r="X267" s="67">
        <f>+VLOOKUP(Q267,COMISIONES!$C$2:$AO$33,39,0)</f>
        <v>40</v>
      </c>
      <c r="Y267" s="67">
        <f t="shared" si="4"/>
        <v>200</v>
      </c>
      <c r="Z267" s="58" t="s">
        <v>80</v>
      </c>
      <c r="AA267" s="13">
        <f>+VLOOKUP(Q267,COMISIONES!$C$2:$C$33,1,0)</f>
        <v>20006893</v>
      </c>
      <c r="AB267" s="13" t="s">
        <v>269</v>
      </c>
    </row>
    <row r="268" spans="1:28" hidden="1">
      <c r="A268" s="117" t="s">
        <v>821</v>
      </c>
      <c r="B268" s="138">
        <v>45151</v>
      </c>
      <c r="C268" s="117" t="s">
        <v>1626</v>
      </c>
      <c r="D268" s="117" t="s">
        <v>1627</v>
      </c>
      <c r="E268" s="117" t="s">
        <v>1628</v>
      </c>
      <c r="F268" s="117"/>
      <c r="G268" s="117" t="s">
        <v>45</v>
      </c>
      <c r="H268" s="117" t="s">
        <v>1</v>
      </c>
      <c r="I268"/>
      <c r="J268"/>
      <c r="K268" s="117" t="s">
        <v>105</v>
      </c>
      <c r="L268">
        <v>7</v>
      </c>
      <c r="M268" s="117" t="s">
        <v>258</v>
      </c>
      <c r="N268" s="117" t="s">
        <v>237</v>
      </c>
      <c r="O268" s="117" t="s">
        <v>51</v>
      </c>
      <c r="P268" s="117" t="s">
        <v>40</v>
      </c>
      <c r="Q268" s="139">
        <v>20006893</v>
      </c>
      <c r="R268" s="117" t="s">
        <v>78</v>
      </c>
      <c r="S268" s="117" t="s">
        <v>109</v>
      </c>
      <c r="T268" s="117"/>
      <c r="U268" s="117" t="s">
        <v>108</v>
      </c>
      <c r="V268" s="12">
        <f>+IFERROR(IF(VLOOKUP(Q268,COMISIONES!$C$2:$K$33,9,0)&gt;=VLOOKUP(TC!Q268,COMISIONES!$C$2:$I$33,7,0),1,0),0)</f>
        <v>0</v>
      </c>
      <c r="W268" s="262">
        <f>+IF(H268="Segunda",VLOOKUP(_xlfn.CONCAT(P268,G268,H268,V268),'PUNTOS 2021'!$E$23:$F$30,2,0),TC!L268)</f>
        <v>7</v>
      </c>
      <c r="X268" s="67">
        <f>+VLOOKUP(Q268,COMISIONES!$C$2:$AO$33,39,0)</f>
        <v>40</v>
      </c>
      <c r="Y268" s="67">
        <f t="shared" si="4"/>
        <v>280</v>
      </c>
      <c r="Z268" s="58" t="s">
        <v>80</v>
      </c>
      <c r="AA268" s="13">
        <f>+VLOOKUP(Q268,COMISIONES!$C$2:$C$33,1,0)</f>
        <v>20006893</v>
      </c>
      <c r="AB268" s="13" t="s">
        <v>269</v>
      </c>
    </row>
    <row r="269" spans="1:28">
      <c r="A269" s="117" t="s">
        <v>821</v>
      </c>
      <c r="B269" s="138">
        <v>45151</v>
      </c>
      <c r="C269" s="117" t="s">
        <v>1629</v>
      </c>
      <c r="D269" s="117" t="s">
        <v>1630</v>
      </c>
      <c r="E269" s="117" t="s">
        <v>1631</v>
      </c>
      <c r="F269" s="117"/>
      <c r="G269" s="117" t="s">
        <v>45</v>
      </c>
      <c r="H269" s="117" t="s">
        <v>2</v>
      </c>
      <c r="I269"/>
      <c r="J269"/>
      <c r="K269" s="117" t="s">
        <v>105</v>
      </c>
      <c r="L269">
        <v>2</v>
      </c>
      <c r="M269" s="117" t="s">
        <v>259</v>
      </c>
      <c r="N269" s="117" t="s">
        <v>20</v>
      </c>
      <c r="O269" s="117" t="s">
        <v>50</v>
      </c>
      <c r="P269" s="117" t="s">
        <v>40</v>
      </c>
      <c r="Q269" s="139">
        <v>20008700</v>
      </c>
      <c r="R269" s="117" t="s">
        <v>78</v>
      </c>
      <c r="S269" s="117" t="s">
        <v>109</v>
      </c>
      <c r="T269" s="117"/>
      <c r="U269" s="117" t="s">
        <v>108</v>
      </c>
      <c r="V269" s="12">
        <f>+IFERROR(IF(VLOOKUP(Q269,COMISIONES!$C$2:$K$33,9,0)&gt;=VLOOKUP(TC!Q269,COMISIONES!$C$2:$I$33,7,0),1,0),0)</f>
        <v>0</v>
      </c>
      <c r="W269" s="262">
        <f>+IF(H269="Segunda",VLOOKUP(_xlfn.CONCAT(P269,G269,H269,V269),'PUNTOS 2021'!$E$23:$F$30,2,0),TC!L269)</f>
        <v>0.5</v>
      </c>
      <c r="X269" s="67">
        <f>+VLOOKUP(Q269,COMISIONES!$C$2:$AO$33,39,0)</f>
        <v>40</v>
      </c>
      <c r="Y269" s="67">
        <f t="shared" si="4"/>
        <v>20</v>
      </c>
      <c r="Z269" s="58" t="s">
        <v>80</v>
      </c>
      <c r="AA269" s="13">
        <f>+VLOOKUP(Q269,COMISIONES!$C$2:$C$33,1,0)</f>
        <v>20008700</v>
      </c>
      <c r="AB269" s="13" t="s">
        <v>269</v>
      </c>
    </row>
    <row r="270" spans="1:28" hidden="1">
      <c r="A270" s="117" t="s">
        <v>821</v>
      </c>
      <c r="B270" s="138">
        <v>45151</v>
      </c>
      <c r="C270" s="117" t="s">
        <v>1632</v>
      </c>
      <c r="D270" s="117" t="s">
        <v>1633</v>
      </c>
      <c r="E270" s="117" t="s">
        <v>1634</v>
      </c>
      <c r="F270" s="117"/>
      <c r="G270" s="117" t="s">
        <v>45</v>
      </c>
      <c r="H270" s="117" t="s">
        <v>1</v>
      </c>
      <c r="I270"/>
      <c r="J270"/>
      <c r="K270" s="117" t="s">
        <v>105</v>
      </c>
      <c r="L270">
        <v>7</v>
      </c>
      <c r="M270" s="117" t="s">
        <v>113</v>
      </c>
      <c r="N270" s="117" t="s">
        <v>12</v>
      </c>
      <c r="O270" s="117" t="s">
        <v>49</v>
      </c>
      <c r="P270" s="117" t="s">
        <v>40</v>
      </c>
      <c r="Q270" s="139">
        <v>20007726</v>
      </c>
      <c r="R270" s="117" t="s">
        <v>78</v>
      </c>
      <c r="S270" s="117" t="s">
        <v>109</v>
      </c>
      <c r="T270" s="117"/>
      <c r="U270" s="117" t="s">
        <v>108</v>
      </c>
      <c r="V270" s="12">
        <f>+IFERROR(IF(VLOOKUP(Q270,COMISIONES!$C$2:$K$33,9,0)&gt;=VLOOKUP(TC!Q270,COMISIONES!$C$2:$I$33,7,0),1,0),0)</f>
        <v>1</v>
      </c>
      <c r="W270" s="262">
        <f>+IF(H270="Segunda",VLOOKUP(_xlfn.CONCAT(P270,G270,H270,V270),'PUNTOS 2021'!$E$23:$F$30,2,0),TC!L270)</f>
        <v>7</v>
      </c>
      <c r="X270" s="67">
        <f>+VLOOKUP(Q270,COMISIONES!$C$2:$AO$33,39,0)</f>
        <v>65</v>
      </c>
      <c r="Y270" s="67">
        <f t="shared" si="4"/>
        <v>455</v>
      </c>
      <c r="Z270" s="58" t="s">
        <v>80</v>
      </c>
      <c r="AA270" s="13">
        <f>+VLOOKUP(Q270,COMISIONES!$C$2:$C$33,1,0)</f>
        <v>20007726</v>
      </c>
      <c r="AB270" s="13" t="s">
        <v>269</v>
      </c>
    </row>
    <row r="271" spans="1:28">
      <c r="A271" s="117" t="s">
        <v>821</v>
      </c>
      <c r="B271" s="138">
        <v>45151</v>
      </c>
      <c r="C271" s="117" t="s">
        <v>1635</v>
      </c>
      <c r="D271" s="117" t="s">
        <v>1636</v>
      </c>
      <c r="E271" s="117" t="s">
        <v>1637</v>
      </c>
      <c r="F271" s="117"/>
      <c r="G271" s="117" t="s">
        <v>45</v>
      </c>
      <c r="H271" s="117" t="s">
        <v>2</v>
      </c>
      <c r="I271"/>
      <c r="J271"/>
      <c r="K271" s="117" t="s">
        <v>105</v>
      </c>
      <c r="L271">
        <v>2</v>
      </c>
      <c r="M271" s="117" t="s">
        <v>114</v>
      </c>
      <c r="N271" s="117" t="s">
        <v>19</v>
      </c>
      <c r="O271" s="117" t="s">
        <v>49</v>
      </c>
      <c r="P271" s="117" t="s">
        <v>40</v>
      </c>
      <c r="Q271" s="139">
        <v>20008625</v>
      </c>
      <c r="R271" s="117" t="s">
        <v>78</v>
      </c>
      <c r="S271" s="117" t="s">
        <v>109</v>
      </c>
      <c r="T271" s="117"/>
      <c r="U271" s="117" t="s">
        <v>108</v>
      </c>
      <c r="V271" s="12">
        <f>+IFERROR(IF(VLOOKUP(Q271,COMISIONES!$C$2:$K$33,9,0)&gt;=VLOOKUP(TC!Q271,COMISIONES!$C$2:$I$33,7,0),1,0),0)</f>
        <v>0</v>
      </c>
      <c r="W271" s="262">
        <f>+IF(H271="Segunda",VLOOKUP(_xlfn.CONCAT(P271,G271,H271,V271),'PUNTOS 2021'!$E$23:$F$30,2,0),TC!L271)</f>
        <v>0.5</v>
      </c>
      <c r="X271" s="67">
        <f>+VLOOKUP(Q271,COMISIONES!$C$2:$AO$33,39,0)</f>
        <v>20</v>
      </c>
      <c r="Y271" s="67">
        <f t="shared" si="4"/>
        <v>10</v>
      </c>
      <c r="Z271" s="58" t="s">
        <v>80</v>
      </c>
      <c r="AA271" s="13">
        <f>+VLOOKUP(Q271,COMISIONES!$C$2:$C$33,1,0)</f>
        <v>20008625</v>
      </c>
      <c r="AB271" s="13" t="s">
        <v>269</v>
      </c>
    </row>
    <row r="272" spans="1:28" hidden="1">
      <c r="A272" s="117" t="s">
        <v>821</v>
      </c>
      <c r="B272" s="138">
        <v>45151</v>
      </c>
      <c r="C272" s="117" t="s">
        <v>1638</v>
      </c>
      <c r="D272" s="117" t="s">
        <v>1639</v>
      </c>
      <c r="E272" s="117" t="s">
        <v>1640</v>
      </c>
      <c r="F272" s="117"/>
      <c r="G272" s="117" t="s">
        <v>45</v>
      </c>
      <c r="H272" s="117" t="s">
        <v>1</v>
      </c>
      <c r="I272"/>
      <c r="J272"/>
      <c r="K272" s="117" t="s">
        <v>105</v>
      </c>
      <c r="L272">
        <v>7</v>
      </c>
      <c r="M272" s="117" t="s">
        <v>255</v>
      </c>
      <c r="N272" s="117" t="s">
        <v>4</v>
      </c>
      <c r="O272" s="117" t="s">
        <v>51</v>
      </c>
      <c r="P272" s="117" t="s">
        <v>40</v>
      </c>
      <c r="Q272" s="139">
        <v>20000033</v>
      </c>
      <c r="R272" s="117" t="s">
        <v>78</v>
      </c>
      <c r="S272" s="117" t="s">
        <v>109</v>
      </c>
      <c r="T272" s="117"/>
      <c r="U272" s="117" t="s">
        <v>108</v>
      </c>
      <c r="V272" s="12">
        <f>+IFERROR(IF(VLOOKUP(Q272,COMISIONES!$C$2:$K$33,9,0)&gt;=VLOOKUP(TC!Q272,COMISIONES!$C$2:$I$33,7,0),1,0),0)</f>
        <v>1</v>
      </c>
      <c r="W272" s="262">
        <f>+IF(H272="Segunda",VLOOKUP(_xlfn.CONCAT(P272,G272,H272,V272),'PUNTOS 2021'!$E$23:$F$30,2,0),TC!L272)</f>
        <v>7</v>
      </c>
      <c r="X272" s="67">
        <f>+VLOOKUP(Q272,COMISIONES!$C$2:$AO$33,39,0)</f>
        <v>60</v>
      </c>
      <c r="Y272" s="67">
        <f t="shared" si="4"/>
        <v>420</v>
      </c>
      <c r="Z272" s="58" t="s">
        <v>80</v>
      </c>
      <c r="AA272" s="13">
        <f>+VLOOKUP(Q272,COMISIONES!$C$2:$C$33,1,0)</f>
        <v>20000033</v>
      </c>
      <c r="AB272" s="13" t="s">
        <v>269</v>
      </c>
    </row>
    <row r="273" spans="1:28" hidden="1">
      <c r="A273" s="117" t="s">
        <v>821</v>
      </c>
      <c r="B273" s="138">
        <v>45152</v>
      </c>
      <c r="C273" s="117" t="s">
        <v>1641</v>
      </c>
      <c r="D273" s="117" t="s">
        <v>1642</v>
      </c>
      <c r="E273" s="117" t="s">
        <v>1643</v>
      </c>
      <c r="F273" s="117"/>
      <c r="G273" s="117" t="s">
        <v>44</v>
      </c>
      <c r="H273" s="117" t="s">
        <v>1</v>
      </c>
      <c r="I273"/>
      <c r="J273"/>
      <c r="K273" s="117" t="s">
        <v>105</v>
      </c>
      <c r="L273">
        <v>5</v>
      </c>
      <c r="M273" s="117" t="s">
        <v>123</v>
      </c>
      <c r="N273" s="117" t="s">
        <v>23</v>
      </c>
      <c r="O273" s="117" t="s">
        <v>49</v>
      </c>
      <c r="P273" s="117" t="s">
        <v>40</v>
      </c>
      <c r="Q273" s="139">
        <v>20009269</v>
      </c>
      <c r="R273" s="117" t="s">
        <v>78</v>
      </c>
      <c r="S273" s="117" t="s">
        <v>109</v>
      </c>
      <c r="T273" s="117"/>
      <c r="U273" s="117" t="s">
        <v>108</v>
      </c>
      <c r="V273" s="12">
        <f>+IFERROR(IF(VLOOKUP(Q273,COMISIONES!$C$2:$K$33,9,0)&gt;=VLOOKUP(TC!Q273,COMISIONES!$C$2:$I$33,7,0),1,0),0)</f>
        <v>1</v>
      </c>
      <c r="W273" s="262">
        <f>+IF(H273="Segunda",VLOOKUP(_xlfn.CONCAT(P273,G273,H273,V273),'PUNTOS 2021'!$E$23:$F$30,2,0),TC!L273)</f>
        <v>5</v>
      </c>
      <c r="X273" s="67">
        <f>+VLOOKUP(Q273,COMISIONES!$C$2:$AO$33,39,0)</f>
        <v>65</v>
      </c>
      <c r="Y273" s="67">
        <f t="shared" si="4"/>
        <v>325</v>
      </c>
      <c r="Z273" s="58" t="s">
        <v>80</v>
      </c>
      <c r="AA273" s="13">
        <f>+VLOOKUP(Q273,COMISIONES!$C$2:$C$33,1,0)</f>
        <v>20009269</v>
      </c>
      <c r="AB273" s="13" t="s">
        <v>269</v>
      </c>
    </row>
    <row r="274" spans="1:28" hidden="1">
      <c r="A274" s="117" t="s">
        <v>821</v>
      </c>
      <c r="B274" s="138">
        <v>45152</v>
      </c>
      <c r="C274" s="117" t="s">
        <v>1644</v>
      </c>
      <c r="D274" s="117" t="s">
        <v>1645</v>
      </c>
      <c r="E274" s="117" t="s">
        <v>1646</v>
      </c>
      <c r="F274" s="117"/>
      <c r="G274" s="117" t="s">
        <v>43</v>
      </c>
      <c r="H274" s="117" t="s">
        <v>1</v>
      </c>
      <c r="I274"/>
      <c r="J274"/>
      <c r="K274" s="117" t="s">
        <v>130</v>
      </c>
      <c r="L274">
        <v>3</v>
      </c>
      <c r="M274" s="117" t="s">
        <v>272</v>
      </c>
      <c r="N274" s="117" t="s">
        <v>275</v>
      </c>
      <c r="O274" s="117" t="s">
        <v>52</v>
      </c>
      <c r="P274" s="117" t="s">
        <v>40</v>
      </c>
      <c r="Q274" s="139">
        <v>20009688</v>
      </c>
      <c r="R274" s="117" t="s">
        <v>78</v>
      </c>
      <c r="S274" s="117" t="s">
        <v>109</v>
      </c>
      <c r="T274" s="117" t="s">
        <v>109</v>
      </c>
      <c r="U274" s="117" t="s">
        <v>128</v>
      </c>
      <c r="V274" s="12">
        <f>+IFERROR(IF(VLOOKUP(Q274,COMISIONES!$C$2:$K$33,9,0)&gt;=VLOOKUP(TC!Q274,COMISIONES!$C$2:$I$33,7,0),1,0),0)</f>
        <v>0</v>
      </c>
      <c r="W274" s="262">
        <f>+IF(H274="Segunda",VLOOKUP(_xlfn.CONCAT(P274,G274,H274,V274),'PUNTOS 2021'!$E$23:$F$30,2,0),TC!L274)</f>
        <v>3</v>
      </c>
      <c r="X274" s="67">
        <f>+VLOOKUP(Q274,COMISIONES!$C$2:$AO$33,39,0)</f>
        <v>30</v>
      </c>
      <c r="Y274" s="67">
        <f t="shared" si="4"/>
        <v>90</v>
      </c>
      <c r="Z274" s="58" t="s">
        <v>80</v>
      </c>
      <c r="AA274" s="13">
        <f>+VLOOKUP(Q274,COMISIONES!$C$2:$C$33,1,0)</f>
        <v>20009688</v>
      </c>
      <c r="AB274" s="13" t="s">
        <v>269</v>
      </c>
    </row>
    <row r="275" spans="1:28" hidden="1">
      <c r="A275" s="117" t="s">
        <v>821</v>
      </c>
      <c r="B275" s="138">
        <v>45152</v>
      </c>
      <c r="C275" s="117" t="s">
        <v>1647</v>
      </c>
      <c r="D275" s="117" t="s">
        <v>1648</v>
      </c>
      <c r="E275" s="117" t="s">
        <v>1649</v>
      </c>
      <c r="F275" s="117"/>
      <c r="G275" s="117" t="s">
        <v>44</v>
      </c>
      <c r="H275" s="117" t="s">
        <v>1</v>
      </c>
      <c r="I275"/>
      <c r="J275"/>
      <c r="K275" s="117" t="s">
        <v>105</v>
      </c>
      <c r="L275">
        <v>5</v>
      </c>
      <c r="M275" s="117" t="s">
        <v>258</v>
      </c>
      <c r="N275" s="117" t="s">
        <v>237</v>
      </c>
      <c r="O275" s="117" t="s">
        <v>51</v>
      </c>
      <c r="P275" s="117" t="s">
        <v>40</v>
      </c>
      <c r="Q275" s="139">
        <v>20006893</v>
      </c>
      <c r="R275" s="117" t="s">
        <v>78</v>
      </c>
      <c r="S275" s="117" t="s">
        <v>109</v>
      </c>
      <c r="T275" s="117"/>
      <c r="U275" s="117" t="s">
        <v>108</v>
      </c>
      <c r="V275" s="12">
        <f>+IFERROR(IF(VLOOKUP(Q275,COMISIONES!$C$2:$K$33,9,0)&gt;=VLOOKUP(TC!Q275,COMISIONES!$C$2:$I$33,7,0),1,0),0)</f>
        <v>0</v>
      </c>
      <c r="W275" s="262">
        <f>+IF(H275="Segunda",VLOOKUP(_xlfn.CONCAT(P275,G275,H275,V275),'PUNTOS 2021'!$E$23:$F$30,2,0),TC!L275)</f>
        <v>5</v>
      </c>
      <c r="X275" s="67">
        <f>+VLOOKUP(Q275,COMISIONES!$C$2:$AO$33,39,0)</f>
        <v>40</v>
      </c>
      <c r="Y275" s="67">
        <f t="shared" si="4"/>
        <v>200</v>
      </c>
      <c r="Z275" s="58" t="s">
        <v>80</v>
      </c>
      <c r="AA275" s="13">
        <f>+VLOOKUP(Q275,COMISIONES!$C$2:$C$33,1,0)</f>
        <v>20006893</v>
      </c>
      <c r="AB275" s="13" t="s">
        <v>269</v>
      </c>
    </row>
    <row r="276" spans="1:28" hidden="1">
      <c r="A276" s="117" t="s">
        <v>821</v>
      </c>
      <c r="B276" s="138">
        <v>45152</v>
      </c>
      <c r="C276" s="117" t="s">
        <v>1650</v>
      </c>
      <c r="D276" s="117" t="s">
        <v>1651</v>
      </c>
      <c r="E276" s="117" t="s">
        <v>1652</v>
      </c>
      <c r="F276" s="117"/>
      <c r="G276" s="117" t="s">
        <v>44</v>
      </c>
      <c r="H276" s="117" t="s">
        <v>1</v>
      </c>
      <c r="I276"/>
      <c r="J276"/>
      <c r="K276" s="117" t="s">
        <v>105</v>
      </c>
      <c r="L276">
        <v>5</v>
      </c>
      <c r="M276" s="117" t="s">
        <v>111</v>
      </c>
      <c r="N276" s="117" t="s">
        <v>14</v>
      </c>
      <c r="O276" s="117" t="s">
        <v>50</v>
      </c>
      <c r="P276" s="117" t="s">
        <v>40</v>
      </c>
      <c r="Q276" s="139">
        <v>20006360</v>
      </c>
      <c r="R276" s="117" t="s">
        <v>78</v>
      </c>
      <c r="S276" s="117" t="s">
        <v>109</v>
      </c>
      <c r="T276" s="117" t="s">
        <v>109</v>
      </c>
      <c r="U276" s="117" t="s">
        <v>128</v>
      </c>
      <c r="V276" s="12">
        <f>+IFERROR(IF(VLOOKUP(Q276,COMISIONES!$C$2:$K$33,9,0)&gt;=VLOOKUP(TC!Q276,COMISIONES!$C$2:$I$33,7,0),1,0),0)</f>
        <v>0</v>
      </c>
      <c r="W276" s="262">
        <f>+IF(H276="Segunda",VLOOKUP(_xlfn.CONCAT(P276,G276,H276,V276),'PUNTOS 2021'!$E$23:$F$30,2,0),TC!L276)</f>
        <v>5</v>
      </c>
      <c r="X276" s="67">
        <f>+VLOOKUP(Q276,COMISIONES!$C$2:$AO$33,39,0)</f>
        <v>40</v>
      </c>
      <c r="Y276" s="67">
        <f t="shared" si="4"/>
        <v>200</v>
      </c>
      <c r="Z276" s="58" t="s">
        <v>80</v>
      </c>
      <c r="AA276" s="13">
        <f>+VLOOKUP(Q276,COMISIONES!$C$2:$C$33,1,0)</f>
        <v>20006360</v>
      </c>
      <c r="AB276" s="13" t="s">
        <v>269</v>
      </c>
    </row>
    <row r="277" spans="1:28" hidden="1">
      <c r="A277" s="117" t="s">
        <v>821</v>
      </c>
      <c r="B277" s="138">
        <v>45152</v>
      </c>
      <c r="C277" s="117" t="s">
        <v>1653</v>
      </c>
      <c r="D277" s="117" t="s">
        <v>1654</v>
      </c>
      <c r="E277" s="117" t="s">
        <v>1655</v>
      </c>
      <c r="F277" s="117"/>
      <c r="G277" s="117" t="s">
        <v>43</v>
      </c>
      <c r="H277" s="117" t="s">
        <v>1</v>
      </c>
      <c r="I277"/>
      <c r="J277"/>
      <c r="K277" s="117" t="s">
        <v>129</v>
      </c>
      <c r="L277">
        <v>3</v>
      </c>
      <c r="M277" s="117" t="s">
        <v>114</v>
      </c>
      <c r="N277" s="117" t="s">
        <v>19</v>
      </c>
      <c r="O277" s="117" t="s">
        <v>49</v>
      </c>
      <c r="P277" s="117" t="s">
        <v>40</v>
      </c>
      <c r="Q277" s="139">
        <v>20008625</v>
      </c>
      <c r="R277" s="117" t="s">
        <v>78</v>
      </c>
      <c r="S277" s="117" t="s">
        <v>109</v>
      </c>
      <c r="T277" s="117" t="s">
        <v>109</v>
      </c>
      <c r="U277" s="117" t="s">
        <v>128</v>
      </c>
      <c r="V277" s="12">
        <f>+IFERROR(IF(VLOOKUP(Q277,COMISIONES!$C$2:$K$33,9,0)&gt;=VLOOKUP(TC!Q277,COMISIONES!$C$2:$I$33,7,0),1,0),0)</f>
        <v>0</v>
      </c>
      <c r="W277" s="262">
        <f>+IF(H277="Segunda",VLOOKUP(_xlfn.CONCAT(P277,G277,H277,V277),'PUNTOS 2021'!$E$23:$F$30,2,0),TC!L277)</f>
        <v>3</v>
      </c>
      <c r="X277" s="67">
        <f>+VLOOKUP(Q277,COMISIONES!$C$2:$AO$33,39,0)</f>
        <v>20</v>
      </c>
      <c r="Y277" s="67">
        <f t="shared" si="4"/>
        <v>60</v>
      </c>
      <c r="Z277" s="58" t="s">
        <v>80</v>
      </c>
      <c r="AA277" s="13">
        <f>+VLOOKUP(Q277,COMISIONES!$C$2:$C$33,1,0)</f>
        <v>20008625</v>
      </c>
      <c r="AB277" s="13" t="s">
        <v>269</v>
      </c>
    </row>
    <row r="278" spans="1:28" hidden="1">
      <c r="A278" s="117" t="s">
        <v>821</v>
      </c>
      <c r="B278" s="138">
        <v>45152</v>
      </c>
      <c r="C278" s="117" t="s">
        <v>1656</v>
      </c>
      <c r="D278" s="117" t="s">
        <v>1657</v>
      </c>
      <c r="E278" s="117" t="s">
        <v>1658</v>
      </c>
      <c r="F278" s="117"/>
      <c r="G278" s="117" t="s">
        <v>44</v>
      </c>
      <c r="H278" s="117" t="s">
        <v>1</v>
      </c>
      <c r="I278"/>
      <c r="J278"/>
      <c r="K278" s="117" t="s">
        <v>105</v>
      </c>
      <c r="L278">
        <v>5</v>
      </c>
      <c r="M278" s="117" t="s">
        <v>270</v>
      </c>
      <c r="N278" s="117" t="s">
        <v>271</v>
      </c>
      <c r="O278" s="117" t="s">
        <v>52</v>
      </c>
      <c r="P278" s="117" t="s">
        <v>40</v>
      </c>
      <c r="Q278" s="139">
        <v>20009592</v>
      </c>
      <c r="R278" s="117" t="s">
        <v>78</v>
      </c>
      <c r="S278" s="117" t="s">
        <v>109</v>
      </c>
      <c r="T278" s="117" t="s">
        <v>109</v>
      </c>
      <c r="U278" s="117" t="s">
        <v>128</v>
      </c>
      <c r="V278" s="12">
        <f>+IFERROR(IF(VLOOKUP(Q278,COMISIONES!$C$2:$K$33,9,0)&gt;=VLOOKUP(TC!Q278,COMISIONES!$C$2:$I$33,7,0),1,0),0)</f>
        <v>1</v>
      </c>
      <c r="W278" s="262">
        <f>+IF(H278="Segunda",VLOOKUP(_xlfn.CONCAT(P278,G278,H278,V278),'PUNTOS 2021'!$E$23:$F$30,2,0),TC!L278)</f>
        <v>5</v>
      </c>
      <c r="X278" s="67">
        <f>+VLOOKUP(Q278,COMISIONES!$C$2:$AO$33,39,0)</f>
        <v>60</v>
      </c>
      <c r="Y278" s="67">
        <f t="shared" si="4"/>
        <v>300</v>
      </c>
      <c r="Z278" s="58" t="s">
        <v>80</v>
      </c>
      <c r="AA278" s="13">
        <f>+VLOOKUP(Q278,COMISIONES!$C$2:$C$33,1,0)</f>
        <v>20009592</v>
      </c>
      <c r="AB278" s="13" t="s">
        <v>269</v>
      </c>
    </row>
    <row r="279" spans="1:28" hidden="1">
      <c r="A279" s="117" t="s">
        <v>821</v>
      </c>
      <c r="B279" s="138">
        <v>45152</v>
      </c>
      <c r="C279" s="117" t="s">
        <v>1659</v>
      </c>
      <c r="D279" s="117" t="s">
        <v>1660</v>
      </c>
      <c r="E279" s="117" t="s">
        <v>1661</v>
      </c>
      <c r="F279" s="117"/>
      <c r="G279" s="117" t="s">
        <v>44</v>
      </c>
      <c r="H279" s="117" t="s">
        <v>1</v>
      </c>
      <c r="I279"/>
      <c r="J279"/>
      <c r="K279" s="117" t="s">
        <v>105</v>
      </c>
      <c r="L279">
        <v>5</v>
      </c>
      <c r="M279" s="117" t="s">
        <v>255</v>
      </c>
      <c r="N279" s="117" t="s">
        <v>4</v>
      </c>
      <c r="O279" s="117" t="s">
        <v>51</v>
      </c>
      <c r="P279" s="117" t="s">
        <v>40</v>
      </c>
      <c r="Q279" s="139">
        <v>20000033</v>
      </c>
      <c r="R279" s="117" t="s">
        <v>78</v>
      </c>
      <c r="S279" s="117" t="s">
        <v>109</v>
      </c>
      <c r="T279" s="117" t="s">
        <v>109</v>
      </c>
      <c r="U279" s="117" t="s">
        <v>128</v>
      </c>
      <c r="V279" s="12">
        <f>+IFERROR(IF(VLOOKUP(Q279,COMISIONES!$C$2:$K$33,9,0)&gt;=VLOOKUP(TC!Q279,COMISIONES!$C$2:$I$33,7,0),1,0),0)</f>
        <v>1</v>
      </c>
      <c r="W279" s="262">
        <f>+IF(H279="Segunda",VLOOKUP(_xlfn.CONCAT(P279,G279,H279,V279),'PUNTOS 2021'!$E$23:$F$30,2,0),TC!L279)</f>
        <v>5</v>
      </c>
      <c r="X279" s="67">
        <f>+VLOOKUP(Q279,COMISIONES!$C$2:$AO$33,39,0)</f>
        <v>60</v>
      </c>
      <c r="Y279" s="67">
        <f t="shared" si="4"/>
        <v>300</v>
      </c>
      <c r="Z279" s="58" t="s">
        <v>80</v>
      </c>
      <c r="AA279" s="13">
        <f>+VLOOKUP(Q279,COMISIONES!$C$2:$C$33,1,0)</f>
        <v>20000033</v>
      </c>
      <c r="AB279" s="13" t="s">
        <v>269</v>
      </c>
    </row>
    <row r="280" spans="1:28" hidden="1">
      <c r="A280" s="117" t="s">
        <v>821</v>
      </c>
      <c r="B280" s="138">
        <v>45152</v>
      </c>
      <c r="C280" s="117" t="s">
        <v>1662</v>
      </c>
      <c r="D280" s="117" t="s">
        <v>1663</v>
      </c>
      <c r="E280" s="117" t="s">
        <v>1664</v>
      </c>
      <c r="F280" s="117"/>
      <c r="G280" s="117" t="s">
        <v>43</v>
      </c>
      <c r="H280" s="117" t="s">
        <v>1</v>
      </c>
      <c r="I280"/>
      <c r="J280"/>
      <c r="K280" s="117" t="s">
        <v>105</v>
      </c>
      <c r="L280">
        <v>3</v>
      </c>
      <c r="M280" s="117" t="s">
        <v>111</v>
      </c>
      <c r="N280" s="117" t="s">
        <v>14</v>
      </c>
      <c r="O280" s="117" t="s">
        <v>50</v>
      </c>
      <c r="P280" s="117" t="s">
        <v>40</v>
      </c>
      <c r="Q280" s="139">
        <v>20006360</v>
      </c>
      <c r="R280" s="117" t="s">
        <v>78</v>
      </c>
      <c r="S280" s="117" t="s">
        <v>109</v>
      </c>
      <c r="T280" s="117" t="s">
        <v>109</v>
      </c>
      <c r="U280" s="117" t="s">
        <v>128</v>
      </c>
      <c r="V280" s="12">
        <f>+IFERROR(IF(VLOOKUP(Q280,COMISIONES!$C$2:$K$33,9,0)&gt;=VLOOKUP(TC!Q280,COMISIONES!$C$2:$I$33,7,0),1,0),0)</f>
        <v>0</v>
      </c>
      <c r="W280" s="262">
        <f>+IF(H280="Segunda",VLOOKUP(_xlfn.CONCAT(P280,G280,H280,V280),'PUNTOS 2021'!$E$23:$F$30,2,0),TC!L280)</f>
        <v>3</v>
      </c>
      <c r="X280" s="67">
        <f>+VLOOKUP(Q280,COMISIONES!$C$2:$AO$33,39,0)</f>
        <v>40</v>
      </c>
      <c r="Y280" s="67">
        <f t="shared" si="4"/>
        <v>120</v>
      </c>
      <c r="Z280" s="58" t="s">
        <v>80</v>
      </c>
      <c r="AA280" s="13">
        <f>+VLOOKUP(Q280,COMISIONES!$C$2:$C$33,1,0)</f>
        <v>20006360</v>
      </c>
      <c r="AB280" s="13" t="s">
        <v>269</v>
      </c>
    </row>
    <row r="281" spans="1:28" hidden="1">
      <c r="A281" s="117" t="s">
        <v>821</v>
      </c>
      <c r="B281" s="138">
        <v>45152</v>
      </c>
      <c r="C281" s="117" t="s">
        <v>1665</v>
      </c>
      <c r="D281" s="117" t="s">
        <v>1666</v>
      </c>
      <c r="E281" s="117" t="s">
        <v>1667</v>
      </c>
      <c r="F281" s="117"/>
      <c r="G281" s="117" t="s">
        <v>45</v>
      </c>
      <c r="H281" s="117" t="s">
        <v>1</v>
      </c>
      <c r="I281"/>
      <c r="J281"/>
      <c r="K281" s="117" t="s">
        <v>105</v>
      </c>
      <c r="L281">
        <v>7</v>
      </c>
      <c r="M281" s="117" t="s">
        <v>125</v>
      </c>
      <c r="N281" s="117" t="s">
        <v>18</v>
      </c>
      <c r="O281" s="117" t="s">
        <v>50</v>
      </c>
      <c r="P281" s="117" t="s">
        <v>40</v>
      </c>
      <c r="Q281" s="139">
        <v>20008439</v>
      </c>
      <c r="R281" s="117" t="s">
        <v>78</v>
      </c>
      <c r="S281" s="117" t="s">
        <v>109</v>
      </c>
      <c r="T281" s="117" t="s">
        <v>109</v>
      </c>
      <c r="U281" s="117" t="s">
        <v>128</v>
      </c>
      <c r="V281" s="12">
        <f>+IFERROR(IF(VLOOKUP(Q281,COMISIONES!$C$2:$K$33,9,0)&gt;=VLOOKUP(TC!Q281,COMISIONES!$C$2:$I$33,7,0),1,0),0)</f>
        <v>1</v>
      </c>
      <c r="W281" s="262">
        <f>+IF(H281="Segunda",VLOOKUP(_xlfn.CONCAT(P281,G281,H281,V281),'PUNTOS 2021'!$E$23:$F$30,2,0),TC!L281)</f>
        <v>7</v>
      </c>
      <c r="X281" s="67">
        <f>+VLOOKUP(Q281,COMISIONES!$C$2:$AO$33,39,0)</f>
        <v>60</v>
      </c>
      <c r="Y281" s="67">
        <f t="shared" si="4"/>
        <v>420</v>
      </c>
      <c r="Z281" s="58" t="s">
        <v>80</v>
      </c>
      <c r="AA281" s="13">
        <f>+VLOOKUP(Q281,COMISIONES!$C$2:$C$33,1,0)</f>
        <v>20008439</v>
      </c>
      <c r="AB281" s="13" t="s">
        <v>269</v>
      </c>
    </row>
    <row r="282" spans="1:28">
      <c r="A282" s="117" t="s">
        <v>821</v>
      </c>
      <c r="B282" s="138">
        <v>45152</v>
      </c>
      <c r="C282" s="117" t="s">
        <v>1668</v>
      </c>
      <c r="D282" s="117" t="s">
        <v>1669</v>
      </c>
      <c r="E282" s="117" t="s">
        <v>1670</v>
      </c>
      <c r="F282" s="117"/>
      <c r="G282" s="117" t="s">
        <v>43</v>
      </c>
      <c r="H282" s="117" t="s">
        <v>2</v>
      </c>
      <c r="I282"/>
      <c r="J282"/>
      <c r="K282" s="117" t="s">
        <v>130</v>
      </c>
      <c r="L282">
        <v>1</v>
      </c>
      <c r="M282" s="117" t="s">
        <v>120</v>
      </c>
      <c r="N282" s="117" t="s">
        <v>21</v>
      </c>
      <c r="O282" s="117" t="s">
        <v>50</v>
      </c>
      <c r="P282" s="117" t="s">
        <v>40</v>
      </c>
      <c r="Q282" s="139">
        <v>20008711</v>
      </c>
      <c r="R282" s="117" t="s">
        <v>78</v>
      </c>
      <c r="S282" s="117" t="s">
        <v>109</v>
      </c>
      <c r="T282" s="117" t="s">
        <v>109</v>
      </c>
      <c r="U282" s="117" t="s">
        <v>128</v>
      </c>
      <c r="V282" s="12">
        <f>+IFERROR(IF(VLOOKUP(Q282,COMISIONES!$C$2:$K$33,9,0)&gt;=VLOOKUP(TC!Q282,COMISIONES!$C$2:$I$33,7,0),1,0),0)</f>
        <v>0</v>
      </c>
      <c r="W282" s="262">
        <f>+IF(H282="Segunda",VLOOKUP(_xlfn.CONCAT(P282,G282,H282,V282),'PUNTOS 2021'!$E$23:$F$30,2,0),TC!L282)</f>
        <v>0.5</v>
      </c>
      <c r="X282" s="67">
        <f>+VLOOKUP(Q282,COMISIONES!$C$2:$AO$33,39,0)</f>
        <v>60</v>
      </c>
      <c r="Y282" s="67">
        <f t="shared" si="4"/>
        <v>30</v>
      </c>
      <c r="Z282" s="58" t="s">
        <v>80</v>
      </c>
      <c r="AA282" s="13">
        <f>+VLOOKUP(Q282,COMISIONES!$C$2:$C$33,1,0)</f>
        <v>20008711</v>
      </c>
      <c r="AB282" s="13" t="s">
        <v>269</v>
      </c>
    </row>
    <row r="283" spans="1:28" hidden="1">
      <c r="A283" s="117" t="s">
        <v>821</v>
      </c>
      <c r="B283" s="138">
        <v>45152</v>
      </c>
      <c r="C283" s="117" t="s">
        <v>1671</v>
      </c>
      <c r="D283" s="117" t="s">
        <v>1672</v>
      </c>
      <c r="E283" s="117" t="s">
        <v>1673</v>
      </c>
      <c r="F283" s="117"/>
      <c r="G283" s="117" t="s">
        <v>45</v>
      </c>
      <c r="H283" s="117" t="s">
        <v>1</v>
      </c>
      <c r="I283"/>
      <c r="J283"/>
      <c r="K283" s="117" t="s">
        <v>105</v>
      </c>
      <c r="L283">
        <v>7</v>
      </c>
      <c r="M283" s="117" t="s">
        <v>402</v>
      </c>
      <c r="N283" s="117" t="s">
        <v>389</v>
      </c>
      <c r="O283" s="117" t="s">
        <v>50</v>
      </c>
      <c r="P283" s="117" t="s">
        <v>40</v>
      </c>
      <c r="Q283" s="139">
        <v>20010604</v>
      </c>
      <c r="R283" s="117" t="s">
        <v>78</v>
      </c>
      <c r="S283" s="117" t="s">
        <v>109</v>
      </c>
      <c r="T283" s="117"/>
      <c r="U283" s="117" t="s">
        <v>108</v>
      </c>
      <c r="V283" s="12">
        <f>+IFERROR(IF(VLOOKUP(Q283,COMISIONES!$C$2:$K$33,9,0)&gt;=VLOOKUP(TC!Q283,COMISIONES!$C$2:$I$33,7,0),1,0),0)</f>
        <v>0</v>
      </c>
      <c r="W283" s="262">
        <f>+IF(H283="Segunda",VLOOKUP(_xlfn.CONCAT(P283,G283,H283,V283),'PUNTOS 2021'!$E$23:$F$30,2,0),TC!L283)</f>
        <v>7</v>
      </c>
      <c r="X283" s="67">
        <f>+VLOOKUP(Q283,COMISIONES!$C$2:$AO$33,39,0)</f>
        <v>40</v>
      </c>
      <c r="Y283" s="67">
        <f t="shared" si="4"/>
        <v>280</v>
      </c>
      <c r="Z283" s="58" t="s">
        <v>80</v>
      </c>
      <c r="AA283" s="13">
        <f>+VLOOKUP(Q283,COMISIONES!$C$2:$C$33,1,0)</f>
        <v>20010604</v>
      </c>
      <c r="AB283" s="13" t="s">
        <v>269</v>
      </c>
    </row>
    <row r="284" spans="1:28" hidden="1">
      <c r="A284" s="117" t="s">
        <v>821</v>
      </c>
      <c r="B284" s="138">
        <v>45152</v>
      </c>
      <c r="C284" s="117" t="s">
        <v>1674</v>
      </c>
      <c r="D284" s="117" t="s">
        <v>1675</v>
      </c>
      <c r="E284" s="117" t="s">
        <v>1676</v>
      </c>
      <c r="F284" s="117"/>
      <c r="G284" s="117" t="s">
        <v>45</v>
      </c>
      <c r="H284" s="117" t="s">
        <v>1</v>
      </c>
      <c r="I284"/>
      <c r="J284"/>
      <c r="K284" s="117" t="s">
        <v>105</v>
      </c>
      <c r="L284">
        <v>7</v>
      </c>
      <c r="M284" s="117" t="s">
        <v>122</v>
      </c>
      <c r="N284" s="117" t="s">
        <v>5</v>
      </c>
      <c r="O284" s="117" t="s">
        <v>50</v>
      </c>
      <c r="P284" s="117" t="s">
        <v>40</v>
      </c>
      <c r="Q284" s="139">
        <v>20004566</v>
      </c>
      <c r="R284" s="117" t="s">
        <v>78</v>
      </c>
      <c r="S284" s="117" t="s">
        <v>109</v>
      </c>
      <c r="T284" s="117"/>
      <c r="U284" s="117" t="s">
        <v>108</v>
      </c>
      <c r="V284" s="12">
        <f>+IFERROR(IF(VLOOKUP(Q284,COMISIONES!$C$2:$K$33,9,0)&gt;=VLOOKUP(TC!Q284,COMISIONES!$C$2:$I$33,7,0),1,0),0)</f>
        <v>1</v>
      </c>
      <c r="W284" s="262">
        <f>+IF(H284="Segunda",VLOOKUP(_xlfn.CONCAT(P284,G284,H284,V284),'PUNTOS 2021'!$E$23:$F$30,2,0),TC!L284)</f>
        <v>7</v>
      </c>
      <c r="X284" s="67">
        <f>+VLOOKUP(Q284,COMISIONES!$C$2:$AO$33,39,0)</f>
        <v>60</v>
      </c>
      <c r="Y284" s="67">
        <f t="shared" si="4"/>
        <v>420</v>
      </c>
      <c r="Z284" s="58" t="s">
        <v>80</v>
      </c>
      <c r="AA284" s="13">
        <f>+VLOOKUP(Q284,COMISIONES!$C$2:$C$33,1,0)</f>
        <v>20004566</v>
      </c>
      <c r="AB284" s="13" t="s">
        <v>269</v>
      </c>
    </row>
    <row r="285" spans="1:28">
      <c r="A285" s="117" t="s">
        <v>821</v>
      </c>
      <c r="B285" s="138">
        <v>45152</v>
      </c>
      <c r="C285" s="117" t="s">
        <v>1677</v>
      </c>
      <c r="D285" s="117" t="s">
        <v>1678</v>
      </c>
      <c r="E285" s="117" t="s">
        <v>1679</v>
      </c>
      <c r="F285" s="117"/>
      <c r="G285" s="117" t="s">
        <v>45</v>
      </c>
      <c r="H285" s="117" t="s">
        <v>2</v>
      </c>
      <c r="I285"/>
      <c r="J285"/>
      <c r="K285" s="117" t="s">
        <v>105</v>
      </c>
      <c r="L285">
        <v>2</v>
      </c>
      <c r="M285" s="117" t="s">
        <v>116</v>
      </c>
      <c r="N285" s="117" t="s">
        <v>13</v>
      </c>
      <c r="O285" s="117" t="s">
        <v>50</v>
      </c>
      <c r="P285" s="117" t="s">
        <v>40</v>
      </c>
      <c r="Q285" s="139">
        <v>20007020</v>
      </c>
      <c r="R285" s="117" t="s">
        <v>78</v>
      </c>
      <c r="S285" s="117" t="s">
        <v>109</v>
      </c>
      <c r="T285" s="117"/>
      <c r="U285" s="117" t="s">
        <v>108</v>
      </c>
      <c r="V285" s="12">
        <f>+IFERROR(IF(VLOOKUP(Q285,COMISIONES!$C$2:$K$33,9,0)&gt;=VLOOKUP(TC!Q285,COMISIONES!$C$2:$I$33,7,0),1,0),0)</f>
        <v>0</v>
      </c>
      <c r="W285" s="262">
        <f>+IF(H285="Segunda",VLOOKUP(_xlfn.CONCAT(P285,G285,H285,V285),'PUNTOS 2021'!$E$23:$F$30,2,0),TC!L285)</f>
        <v>0.5</v>
      </c>
      <c r="X285" s="67">
        <f>+VLOOKUP(Q285,COMISIONES!$C$2:$AO$33,39,0)</f>
        <v>40</v>
      </c>
      <c r="Y285" s="67">
        <f t="shared" si="4"/>
        <v>20</v>
      </c>
      <c r="Z285" s="58" t="s">
        <v>80</v>
      </c>
      <c r="AA285" s="13">
        <f>+VLOOKUP(Q285,COMISIONES!$C$2:$C$33,1,0)</f>
        <v>20007020</v>
      </c>
      <c r="AB285" s="13" t="s">
        <v>269</v>
      </c>
    </row>
    <row r="286" spans="1:28" hidden="1">
      <c r="A286" s="117" t="s">
        <v>821</v>
      </c>
      <c r="B286" s="138">
        <v>45152</v>
      </c>
      <c r="C286" s="117" t="s">
        <v>1680</v>
      </c>
      <c r="D286" s="117" t="s">
        <v>1681</v>
      </c>
      <c r="E286" s="117" t="s">
        <v>1682</v>
      </c>
      <c r="F286" s="117"/>
      <c r="G286" s="117" t="s">
        <v>44</v>
      </c>
      <c r="H286" s="117" t="s">
        <v>1</v>
      </c>
      <c r="I286"/>
      <c r="J286"/>
      <c r="K286" s="117" t="s">
        <v>105</v>
      </c>
      <c r="L286">
        <v>5</v>
      </c>
      <c r="M286" s="117" t="s">
        <v>119</v>
      </c>
      <c r="N286" s="117" t="s">
        <v>22</v>
      </c>
      <c r="O286" s="117" t="s">
        <v>52</v>
      </c>
      <c r="P286" s="117" t="s">
        <v>40</v>
      </c>
      <c r="Q286" s="139">
        <v>20009174</v>
      </c>
      <c r="R286" s="117" t="s">
        <v>78</v>
      </c>
      <c r="S286" s="117" t="s">
        <v>109</v>
      </c>
      <c r="T286" s="117"/>
      <c r="U286" s="117" t="s">
        <v>108</v>
      </c>
      <c r="V286" s="12">
        <f>+IFERROR(IF(VLOOKUP(Q286,COMISIONES!$C$2:$K$33,9,0)&gt;=VLOOKUP(TC!Q286,COMISIONES!$C$2:$I$33,7,0),1,0),0)</f>
        <v>0</v>
      </c>
      <c r="W286" s="262">
        <f>+IF(H286="Segunda",VLOOKUP(_xlfn.CONCAT(P286,G286,H286,V286),'PUNTOS 2021'!$E$23:$F$30,2,0),TC!L286)</f>
        <v>5</v>
      </c>
      <c r="X286" s="67">
        <f>+VLOOKUP(Q286,COMISIONES!$C$2:$AO$33,39,0)</f>
        <v>60</v>
      </c>
      <c r="Y286" s="67">
        <f t="shared" si="4"/>
        <v>300</v>
      </c>
      <c r="Z286" s="58" t="s">
        <v>80</v>
      </c>
      <c r="AA286" s="13">
        <f>+VLOOKUP(Q286,COMISIONES!$C$2:$C$33,1,0)</f>
        <v>20009174</v>
      </c>
      <c r="AB286" s="13" t="s">
        <v>269</v>
      </c>
    </row>
    <row r="287" spans="1:28" hidden="1">
      <c r="A287" s="117" t="s">
        <v>821</v>
      </c>
      <c r="B287" s="138">
        <v>45152</v>
      </c>
      <c r="C287" s="117" t="s">
        <v>1683</v>
      </c>
      <c r="D287" s="117" t="s">
        <v>1684</v>
      </c>
      <c r="E287" s="117" t="s">
        <v>1685</v>
      </c>
      <c r="F287" s="117"/>
      <c r="G287" s="117" t="s">
        <v>45</v>
      </c>
      <c r="H287" s="117" t="s">
        <v>1</v>
      </c>
      <c r="I287"/>
      <c r="J287"/>
      <c r="K287" s="117" t="s">
        <v>105</v>
      </c>
      <c r="L287">
        <v>7</v>
      </c>
      <c r="M287" s="117" t="s">
        <v>127</v>
      </c>
      <c r="N287" s="117" t="s">
        <v>16</v>
      </c>
      <c r="O287" s="117" t="s">
        <v>49</v>
      </c>
      <c r="P287" s="117" t="s">
        <v>40</v>
      </c>
      <c r="Q287" s="139">
        <v>20002708</v>
      </c>
      <c r="R287" s="117" t="s">
        <v>78</v>
      </c>
      <c r="S287" s="117" t="s">
        <v>109</v>
      </c>
      <c r="T287" s="117"/>
      <c r="U287" s="117" t="s">
        <v>108</v>
      </c>
      <c r="V287" s="12">
        <f>+IFERROR(IF(VLOOKUP(Q287,COMISIONES!$C$2:$K$33,9,0)&gt;=VLOOKUP(TC!Q287,COMISIONES!$C$2:$I$33,7,0),1,0),0)</f>
        <v>0</v>
      </c>
      <c r="W287" s="262">
        <f>+IF(H287="Segunda",VLOOKUP(_xlfn.CONCAT(P287,G287,H287,V287),'PUNTOS 2021'!$E$23:$F$30,2,0),TC!L287)</f>
        <v>7</v>
      </c>
      <c r="X287" s="67">
        <f>+VLOOKUP(Q287,COMISIONES!$C$2:$AO$33,39,0)</f>
        <v>60</v>
      </c>
      <c r="Y287" s="67">
        <f t="shared" si="4"/>
        <v>420</v>
      </c>
      <c r="Z287" s="58" t="s">
        <v>80</v>
      </c>
      <c r="AA287" s="13">
        <f>+VLOOKUP(Q287,COMISIONES!$C$2:$C$33,1,0)</f>
        <v>20002708</v>
      </c>
      <c r="AB287" s="13" t="s">
        <v>269</v>
      </c>
    </row>
    <row r="288" spans="1:28" hidden="1">
      <c r="A288" s="117" t="s">
        <v>821</v>
      </c>
      <c r="B288" s="138">
        <v>45152</v>
      </c>
      <c r="C288" s="117" t="s">
        <v>1686</v>
      </c>
      <c r="D288" s="117" t="s">
        <v>1687</v>
      </c>
      <c r="E288" s="117" t="s">
        <v>1688</v>
      </c>
      <c r="F288" s="117"/>
      <c r="G288" s="117" t="s">
        <v>43</v>
      </c>
      <c r="H288" s="117" t="s">
        <v>1</v>
      </c>
      <c r="I288"/>
      <c r="J288"/>
      <c r="K288" s="117" t="s">
        <v>105</v>
      </c>
      <c r="L288">
        <v>3</v>
      </c>
      <c r="M288" s="117" t="s">
        <v>123</v>
      </c>
      <c r="N288" s="117" t="s">
        <v>23</v>
      </c>
      <c r="O288" s="117" t="s">
        <v>49</v>
      </c>
      <c r="P288" s="117" t="s">
        <v>40</v>
      </c>
      <c r="Q288" s="139">
        <v>20009269</v>
      </c>
      <c r="R288" s="117" t="s">
        <v>78</v>
      </c>
      <c r="S288" s="117" t="s">
        <v>109</v>
      </c>
      <c r="T288" s="117"/>
      <c r="U288" s="117" t="s">
        <v>108</v>
      </c>
      <c r="V288" s="12">
        <f>+IFERROR(IF(VLOOKUP(Q288,COMISIONES!$C$2:$K$33,9,0)&gt;=VLOOKUP(TC!Q288,COMISIONES!$C$2:$I$33,7,0),1,0),0)</f>
        <v>1</v>
      </c>
      <c r="W288" s="262">
        <f>+IF(H288="Segunda",VLOOKUP(_xlfn.CONCAT(P288,G288,H288,V288),'PUNTOS 2021'!$E$23:$F$30,2,0),TC!L288)</f>
        <v>3</v>
      </c>
      <c r="X288" s="67">
        <f>+VLOOKUP(Q288,COMISIONES!$C$2:$AO$33,39,0)</f>
        <v>65</v>
      </c>
      <c r="Y288" s="67">
        <f t="shared" si="4"/>
        <v>195</v>
      </c>
      <c r="Z288" s="58" t="s">
        <v>80</v>
      </c>
      <c r="AA288" s="13">
        <f>+VLOOKUP(Q288,COMISIONES!$C$2:$C$33,1,0)</f>
        <v>20009269</v>
      </c>
      <c r="AB288" s="13" t="s">
        <v>269</v>
      </c>
    </row>
    <row r="289" spans="1:28" hidden="1">
      <c r="A289" s="117" t="s">
        <v>821</v>
      </c>
      <c r="B289" s="138">
        <v>45152</v>
      </c>
      <c r="C289" s="117" t="s">
        <v>1689</v>
      </c>
      <c r="D289" s="117" t="s">
        <v>1690</v>
      </c>
      <c r="E289" s="117" t="s">
        <v>1691</v>
      </c>
      <c r="F289" s="117"/>
      <c r="G289" s="117" t="s">
        <v>45</v>
      </c>
      <c r="H289" s="117" t="s">
        <v>1</v>
      </c>
      <c r="I289"/>
      <c r="J289"/>
      <c r="K289" s="117" t="s">
        <v>105</v>
      </c>
      <c r="L289">
        <v>7</v>
      </c>
      <c r="M289" s="117" t="s">
        <v>255</v>
      </c>
      <c r="N289" s="117" t="s">
        <v>4</v>
      </c>
      <c r="O289" s="117" t="s">
        <v>51</v>
      </c>
      <c r="P289" s="117" t="s">
        <v>40</v>
      </c>
      <c r="Q289" s="139">
        <v>20000033</v>
      </c>
      <c r="R289" s="117" t="s">
        <v>78</v>
      </c>
      <c r="S289" s="117" t="s">
        <v>109</v>
      </c>
      <c r="T289" s="117"/>
      <c r="U289" s="117" t="s">
        <v>108</v>
      </c>
      <c r="V289" s="12">
        <f>+IFERROR(IF(VLOOKUP(Q289,COMISIONES!$C$2:$K$33,9,0)&gt;=VLOOKUP(TC!Q289,COMISIONES!$C$2:$I$33,7,0),1,0),0)</f>
        <v>1</v>
      </c>
      <c r="W289" s="262">
        <f>+IF(H289="Segunda",VLOOKUP(_xlfn.CONCAT(P289,G289,H289,V289),'PUNTOS 2021'!$E$23:$F$30,2,0),TC!L289)</f>
        <v>7</v>
      </c>
      <c r="X289" s="67">
        <f>+VLOOKUP(Q289,COMISIONES!$C$2:$AO$33,39,0)</f>
        <v>60</v>
      </c>
      <c r="Y289" s="67">
        <f t="shared" si="4"/>
        <v>420</v>
      </c>
      <c r="Z289" s="58" t="s">
        <v>80</v>
      </c>
      <c r="AA289" s="13">
        <f>+VLOOKUP(Q289,COMISIONES!$C$2:$C$33,1,0)</f>
        <v>20000033</v>
      </c>
      <c r="AB289" s="13" t="s">
        <v>269</v>
      </c>
    </row>
    <row r="290" spans="1:28" hidden="1">
      <c r="A290" s="117" t="s">
        <v>821</v>
      </c>
      <c r="B290" s="138">
        <v>45152</v>
      </c>
      <c r="C290" s="117" t="s">
        <v>1692</v>
      </c>
      <c r="D290" s="117" t="s">
        <v>1693</v>
      </c>
      <c r="E290" s="117" t="s">
        <v>1694</v>
      </c>
      <c r="F290" s="117"/>
      <c r="G290" s="117" t="s">
        <v>44</v>
      </c>
      <c r="H290" s="117" t="s">
        <v>1</v>
      </c>
      <c r="I290"/>
      <c r="J290"/>
      <c r="K290" s="117" t="s">
        <v>105</v>
      </c>
      <c r="L290">
        <v>5</v>
      </c>
      <c r="M290" s="117" t="s">
        <v>259</v>
      </c>
      <c r="N290" s="117" t="s">
        <v>20</v>
      </c>
      <c r="O290" s="117" t="s">
        <v>50</v>
      </c>
      <c r="P290" s="117" t="s">
        <v>40</v>
      </c>
      <c r="Q290" s="139">
        <v>20008700</v>
      </c>
      <c r="R290" s="117" t="s">
        <v>78</v>
      </c>
      <c r="S290" s="117" t="s">
        <v>109</v>
      </c>
      <c r="T290" s="117"/>
      <c r="U290" s="117" t="s">
        <v>108</v>
      </c>
      <c r="V290" s="12">
        <f>+IFERROR(IF(VLOOKUP(Q290,COMISIONES!$C$2:$K$33,9,0)&gt;=VLOOKUP(TC!Q290,COMISIONES!$C$2:$I$33,7,0),1,0),0)</f>
        <v>0</v>
      </c>
      <c r="W290" s="262">
        <f>+IF(H290="Segunda",VLOOKUP(_xlfn.CONCAT(P290,G290,H290,V290),'PUNTOS 2021'!$E$23:$F$30,2,0),TC!L290)</f>
        <v>5</v>
      </c>
      <c r="X290" s="67">
        <f>+VLOOKUP(Q290,COMISIONES!$C$2:$AO$33,39,0)</f>
        <v>40</v>
      </c>
      <c r="Y290" s="67">
        <f t="shared" si="4"/>
        <v>200</v>
      </c>
      <c r="Z290" s="58" t="s">
        <v>80</v>
      </c>
      <c r="AA290" s="13">
        <f>+VLOOKUP(Q290,COMISIONES!$C$2:$C$33,1,0)</f>
        <v>20008700</v>
      </c>
      <c r="AB290" s="13" t="s">
        <v>269</v>
      </c>
    </row>
    <row r="291" spans="1:28" hidden="1">
      <c r="A291" s="117" t="s">
        <v>821</v>
      </c>
      <c r="B291" s="138">
        <v>45152</v>
      </c>
      <c r="C291" s="117" t="s">
        <v>1695</v>
      </c>
      <c r="D291" s="117" t="s">
        <v>1696</v>
      </c>
      <c r="E291" s="117" t="s">
        <v>1697</v>
      </c>
      <c r="F291" s="117"/>
      <c r="G291" s="117" t="s">
        <v>45</v>
      </c>
      <c r="H291" s="117" t="s">
        <v>1</v>
      </c>
      <c r="I291"/>
      <c r="J291"/>
      <c r="K291" s="117" t="s">
        <v>105</v>
      </c>
      <c r="L291">
        <v>7</v>
      </c>
      <c r="M291" s="117" t="s">
        <v>161</v>
      </c>
      <c r="N291" s="117" t="s">
        <v>158</v>
      </c>
      <c r="O291" s="117" t="s">
        <v>50</v>
      </c>
      <c r="P291" s="117" t="s">
        <v>40</v>
      </c>
      <c r="Q291" s="139">
        <v>20006162</v>
      </c>
      <c r="R291" s="117" t="s">
        <v>78</v>
      </c>
      <c r="S291" s="117" t="s">
        <v>109</v>
      </c>
      <c r="T291" s="117"/>
      <c r="U291" s="117" t="s">
        <v>108</v>
      </c>
      <c r="V291" s="12">
        <f>+IFERROR(IF(VLOOKUP(Q291,COMISIONES!$C$2:$K$33,9,0)&gt;=VLOOKUP(TC!Q291,COMISIONES!$C$2:$I$33,7,0),1,0),0)</f>
        <v>0</v>
      </c>
      <c r="W291" s="262">
        <f>+IF(H291="Segunda",VLOOKUP(_xlfn.CONCAT(P291,G291,H291,V291),'PUNTOS 2021'!$E$23:$F$30,2,0),TC!L291)</f>
        <v>7</v>
      </c>
      <c r="X291" s="67">
        <f>+VLOOKUP(Q291,COMISIONES!$C$2:$AO$33,39,0)</f>
        <v>60</v>
      </c>
      <c r="Y291" s="67">
        <f t="shared" si="4"/>
        <v>420</v>
      </c>
      <c r="Z291" s="58" t="s">
        <v>80</v>
      </c>
      <c r="AA291" s="13">
        <f>+VLOOKUP(Q291,COMISIONES!$C$2:$C$33,1,0)</f>
        <v>20006162</v>
      </c>
      <c r="AB291" s="13" t="s">
        <v>269</v>
      </c>
    </row>
    <row r="292" spans="1:28" hidden="1">
      <c r="A292" s="117" t="s">
        <v>821</v>
      </c>
      <c r="B292" s="138">
        <v>45152</v>
      </c>
      <c r="C292" s="117" t="s">
        <v>1698</v>
      </c>
      <c r="D292" s="117" t="s">
        <v>1699</v>
      </c>
      <c r="E292" s="117" t="s">
        <v>1700</v>
      </c>
      <c r="F292" s="117"/>
      <c r="G292" s="117" t="s">
        <v>44</v>
      </c>
      <c r="H292" s="117" t="s">
        <v>1</v>
      </c>
      <c r="I292"/>
      <c r="J292"/>
      <c r="K292" s="117" t="s">
        <v>105</v>
      </c>
      <c r="L292">
        <v>5</v>
      </c>
      <c r="M292" s="117" t="s">
        <v>121</v>
      </c>
      <c r="N292" s="117" t="s">
        <v>3</v>
      </c>
      <c r="O292" s="117" t="s">
        <v>49</v>
      </c>
      <c r="P292" s="117" t="s">
        <v>40</v>
      </c>
      <c r="Q292" s="139">
        <v>20004161</v>
      </c>
      <c r="R292" s="117" t="s">
        <v>78</v>
      </c>
      <c r="S292" s="117" t="s">
        <v>109</v>
      </c>
      <c r="T292" s="117"/>
      <c r="U292" s="117" t="s">
        <v>108</v>
      </c>
      <c r="V292" s="12">
        <f>+IFERROR(IF(VLOOKUP(Q292,COMISIONES!$C$2:$K$33,9,0)&gt;=VLOOKUP(TC!Q292,COMISIONES!$C$2:$I$33,7,0),1,0),0)</f>
        <v>1</v>
      </c>
      <c r="W292" s="262">
        <f>+IF(H292="Segunda",VLOOKUP(_xlfn.CONCAT(P292,G292,H292,V292),'PUNTOS 2021'!$E$23:$F$30,2,0),TC!L292)</f>
        <v>5</v>
      </c>
      <c r="X292" s="67">
        <f>+VLOOKUP(Q292,COMISIONES!$C$2:$AO$33,39,0)</f>
        <v>65</v>
      </c>
      <c r="Y292" s="67">
        <f t="shared" si="4"/>
        <v>325</v>
      </c>
      <c r="Z292" s="58" t="s">
        <v>80</v>
      </c>
      <c r="AA292" s="13">
        <f>+VLOOKUP(Q292,COMISIONES!$C$2:$C$33,1,0)</f>
        <v>20004161</v>
      </c>
      <c r="AB292" s="13" t="s">
        <v>269</v>
      </c>
    </row>
    <row r="293" spans="1:28" hidden="1">
      <c r="A293" s="117" t="s">
        <v>821</v>
      </c>
      <c r="B293" s="138">
        <v>45152</v>
      </c>
      <c r="C293" s="117" t="s">
        <v>1701</v>
      </c>
      <c r="D293" s="117" t="s">
        <v>1702</v>
      </c>
      <c r="E293" s="117" t="s">
        <v>1703</v>
      </c>
      <c r="F293" s="117"/>
      <c r="G293" s="117" t="s">
        <v>45</v>
      </c>
      <c r="H293" s="117" t="s">
        <v>1</v>
      </c>
      <c r="I293"/>
      <c r="J293"/>
      <c r="K293" s="117" t="s">
        <v>105</v>
      </c>
      <c r="L293">
        <v>7</v>
      </c>
      <c r="M293" s="117" t="s">
        <v>272</v>
      </c>
      <c r="N293" s="117" t="s">
        <v>275</v>
      </c>
      <c r="O293" s="117" t="s">
        <v>52</v>
      </c>
      <c r="P293" s="117" t="s">
        <v>40</v>
      </c>
      <c r="Q293" s="139">
        <v>20009688</v>
      </c>
      <c r="R293" s="117" t="s">
        <v>78</v>
      </c>
      <c r="S293" s="117" t="s">
        <v>109</v>
      </c>
      <c r="T293" s="117"/>
      <c r="U293" s="117" t="s">
        <v>108</v>
      </c>
      <c r="V293" s="12">
        <f>+IFERROR(IF(VLOOKUP(Q293,COMISIONES!$C$2:$K$33,9,0)&gt;=VLOOKUP(TC!Q293,COMISIONES!$C$2:$I$33,7,0),1,0),0)</f>
        <v>0</v>
      </c>
      <c r="W293" s="262">
        <f>+IF(H293="Segunda",VLOOKUP(_xlfn.CONCAT(P293,G293,H293,V293),'PUNTOS 2021'!$E$23:$F$30,2,0),TC!L293)</f>
        <v>7</v>
      </c>
      <c r="X293" s="67">
        <f>+VLOOKUP(Q293,COMISIONES!$C$2:$AO$33,39,0)</f>
        <v>30</v>
      </c>
      <c r="Y293" s="67">
        <f t="shared" si="4"/>
        <v>210</v>
      </c>
      <c r="Z293" s="58" t="s">
        <v>80</v>
      </c>
      <c r="AA293" s="13">
        <f>+VLOOKUP(Q293,COMISIONES!$C$2:$C$33,1,0)</f>
        <v>20009688</v>
      </c>
      <c r="AB293" s="13" t="s">
        <v>269</v>
      </c>
    </row>
    <row r="294" spans="1:28" hidden="1">
      <c r="A294" s="117" t="s">
        <v>821</v>
      </c>
      <c r="B294" s="138">
        <v>45152</v>
      </c>
      <c r="C294" s="117" t="s">
        <v>1704</v>
      </c>
      <c r="D294" s="117" t="s">
        <v>1705</v>
      </c>
      <c r="E294" s="117" t="s">
        <v>1706</v>
      </c>
      <c r="F294" s="117"/>
      <c r="G294" s="117" t="s">
        <v>43</v>
      </c>
      <c r="H294" s="117" t="s">
        <v>1</v>
      </c>
      <c r="I294"/>
      <c r="J294"/>
      <c r="K294" s="117" t="s">
        <v>105</v>
      </c>
      <c r="L294">
        <v>3</v>
      </c>
      <c r="M294" s="117" t="s">
        <v>113</v>
      </c>
      <c r="N294" s="117" t="s">
        <v>12</v>
      </c>
      <c r="O294" s="117" t="s">
        <v>49</v>
      </c>
      <c r="P294" s="117" t="s">
        <v>40</v>
      </c>
      <c r="Q294" s="139">
        <v>20007726</v>
      </c>
      <c r="R294" s="117" t="s">
        <v>78</v>
      </c>
      <c r="S294" s="117" t="s">
        <v>109</v>
      </c>
      <c r="T294" s="117"/>
      <c r="U294" s="117" t="s">
        <v>108</v>
      </c>
      <c r="V294" s="12">
        <f>+IFERROR(IF(VLOOKUP(Q294,COMISIONES!$C$2:$K$33,9,0)&gt;=VLOOKUP(TC!Q294,COMISIONES!$C$2:$I$33,7,0),1,0),0)</f>
        <v>1</v>
      </c>
      <c r="W294" s="262">
        <f>+IF(H294="Segunda",VLOOKUP(_xlfn.CONCAT(P294,G294,H294,V294),'PUNTOS 2021'!$E$23:$F$30,2,0),TC!L294)</f>
        <v>3</v>
      </c>
      <c r="X294" s="67">
        <f>+VLOOKUP(Q294,COMISIONES!$C$2:$AO$33,39,0)</f>
        <v>65</v>
      </c>
      <c r="Y294" s="67">
        <f t="shared" si="4"/>
        <v>195</v>
      </c>
      <c r="Z294" s="58" t="s">
        <v>80</v>
      </c>
      <c r="AA294" s="13">
        <f>+VLOOKUP(Q294,COMISIONES!$C$2:$C$33,1,0)</f>
        <v>20007726</v>
      </c>
      <c r="AB294" s="13" t="s">
        <v>269</v>
      </c>
    </row>
    <row r="295" spans="1:28" hidden="1">
      <c r="A295" s="117" t="s">
        <v>821</v>
      </c>
      <c r="B295" s="138">
        <v>45152</v>
      </c>
      <c r="C295" s="117" t="s">
        <v>1707</v>
      </c>
      <c r="D295" s="117" t="s">
        <v>1708</v>
      </c>
      <c r="E295" s="117" t="s">
        <v>1709</v>
      </c>
      <c r="F295" s="117"/>
      <c r="G295" s="117" t="s">
        <v>45</v>
      </c>
      <c r="H295" s="117" t="s">
        <v>1</v>
      </c>
      <c r="I295"/>
      <c r="J295"/>
      <c r="K295" s="117" t="s">
        <v>105</v>
      </c>
      <c r="L295">
        <v>7</v>
      </c>
      <c r="M295" s="117" t="s">
        <v>120</v>
      </c>
      <c r="N295" s="117" t="s">
        <v>21</v>
      </c>
      <c r="O295" s="117" t="s">
        <v>50</v>
      </c>
      <c r="P295" s="117" t="s">
        <v>40</v>
      </c>
      <c r="Q295" s="139">
        <v>20008711</v>
      </c>
      <c r="R295" s="117" t="s">
        <v>78</v>
      </c>
      <c r="S295" s="117" t="s">
        <v>109</v>
      </c>
      <c r="T295" s="117"/>
      <c r="U295" s="117" t="s">
        <v>108</v>
      </c>
      <c r="V295" s="12">
        <f>+IFERROR(IF(VLOOKUP(Q295,COMISIONES!$C$2:$K$33,9,0)&gt;=VLOOKUP(TC!Q295,COMISIONES!$C$2:$I$33,7,0),1,0),0)</f>
        <v>0</v>
      </c>
      <c r="W295" s="262">
        <f>+IF(H295="Segunda",VLOOKUP(_xlfn.CONCAT(P295,G295,H295,V295),'PUNTOS 2021'!$E$23:$F$30,2,0),TC!L295)</f>
        <v>7</v>
      </c>
      <c r="X295" s="67">
        <f>+VLOOKUP(Q295,COMISIONES!$C$2:$AO$33,39,0)</f>
        <v>60</v>
      </c>
      <c r="Y295" s="67">
        <f t="shared" si="4"/>
        <v>420</v>
      </c>
      <c r="Z295" s="58" t="s">
        <v>80</v>
      </c>
      <c r="AA295" s="13">
        <f>+VLOOKUP(Q295,COMISIONES!$C$2:$C$33,1,0)</f>
        <v>20008711</v>
      </c>
      <c r="AB295" s="13" t="s">
        <v>269</v>
      </c>
    </row>
    <row r="296" spans="1:28" hidden="1">
      <c r="A296" s="117" t="s">
        <v>821</v>
      </c>
      <c r="B296" s="138">
        <v>45152</v>
      </c>
      <c r="C296" s="117" t="s">
        <v>1710</v>
      </c>
      <c r="D296" s="117" t="s">
        <v>1711</v>
      </c>
      <c r="E296" s="117" t="s">
        <v>1712</v>
      </c>
      <c r="F296" s="117"/>
      <c r="G296" s="117" t="s">
        <v>44</v>
      </c>
      <c r="H296" s="117" t="s">
        <v>1</v>
      </c>
      <c r="I296"/>
      <c r="J296"/>
      <c r="K296" s="117" t="s">
        <v>105</v>
      </c>
      <c r="L296">
        <v>5</v>
      </c>
      <c r="M296" s="117" t="s">
        <v>122</v>
      </c>
      <c r="N296" s="117" t="s">
        <v>5</v>
      </c>
      <c r="O296" s="117" t="s">
        <v>50</v>
      </c>
      <c r="P296" s="117" t="s">
        <v>40</v>
      </c>
      <c r="Q296" s="139">
        <v>20004566</v>
      </c>
      <c r="R296" s="117" t="s">
        <v>78</v>
      </c>
      <c r="S296" s="117" t="s">
        <v>109</v>
      </c>
      <c r="T296" s="117"/>
      <c r="U296" s="117" t="s">
        <v>108</v>
      </c>
      <c r="V296" s="12">
        <f>+IFERROR(IF(VLOOKUP(Q296,COMISIONES!$C$2:$K$33,9,0)&gt;=VLOOKUP(TC!Q296,COMISIONES!$C$2:$I$33,7,0),1,0),0)</f>
        <v>1</v>
      </c>
      <c r="W296" s="262">
        <f>+IF(H296="Segunda",VLOOKUP(_xlfn.CONCAT(P296,G296,H296,V296),'PUNTOS 2021'!$E$23:$F$30,2,0),TC!L296)</f>
        <v>5</v>
      </c>
      <c r="X296" s="67">
        <f>+VLOOKUP(Q296,COMISIONES!$C$2:$AO$33,39,0)</f>
        <v>60</v>
      </c>
      <c r="Y296" s="67">
        <f t="shared" si="4"/>
        <v>300</v>
      </c>
      <c r="Z296" s="58" t="s">
        <v>80</v>
      </c>
      <c r="AA296" s="13">
        <f>+VLOOKUP(Q296,COMISIONES!$C$2:$C$33,1,0)</f>
        <v>20004566</v>
      </c>
      <c r="AB296" s="13" t="s">
        <v>269</v>
      </c>
    </row>
    <row r="297" spans="1:28">
      <c r="A297" s="117" t="s">
        <v>821</v>
      </c>
      <c r="B297" s="138">
        <v>45152</v>
      </c>
      <c r="C297" s="117" t="s">
        <v>1713</v>
      </c>
      <c r="D297" s="117" t="s">
        <v>1714</v>
      </c>
      <c r="E297" s="117" t="s">
        <v>1715</v>
      </c>
      <c r="F297" s="117"/>
      <c r="G297" s="117" t="s">
        <v>45</v>
      </c>
      <c r="H297" s="117" t="s">
        <v>2</v>
      </c>
      <c r="I297"/>
      <c r="J297"/>
      <c r="K297" s="117" t="s">
        <v>105</v>
      </c>
      <c r="L297">
        <v>2</v>
      </c>
      <c r="M297" s="117" t="s">
        <v>116</v>
      </c>
      <c r="N297" s="117" t="s">
        <v>13</v>
      </c>
      <c r="O297" s="117" t="s">
        <v>50</v>
      </c>
      <c r="P297" s="117" t="s">
        <v>40</v>
      </c>
      <c r="Q297" s="139">
        <v>20007020</v>
      </c>
      <c r="R297" s="117" t="s">
        <v>78</v>
      </c>
      <c r="S297" s="117" t="s">
        <v>109</v>
      </c>
      <c r="T297" s="117"/>
      <c r="U297" s="117" t="s">
        <v>108</v>
      </c>
      <c r="V297" s="12">
        <f>+IFERROR(IF(VLOOKUP(Q297,COMISIONES!$C$2:$K$33,9,0)&gt;=VLOOKUP(TC!Q297,COMISIONES!$C$2:$I$33,7,0),1,0),0)</f>
        <v>0</v>
      </c>
      <c r="W297" s="262">
        <f>+IF(H297="Segunda",VLOOKUP(_xlfn.CONCAT(P297,G297,H297,V297),'PUNTOS 2021'!$E$23:$F$30,2,0),TC!L297)</f>
        <v>0.5</v>
      </c>
      <c r="X297" s="67">
        <f>+VLOOKUP(Q297,COMISIONES!$C$2:$AO$33,39,0)</f>
        <v>40</v>
      </c>
      <c r="Y297" s="67">
        <f t="shared" si="4"/>
        <v>20</v>
      </c>
      <c r="Z297" s="58" t="s">
        <v>80</v>
      </c>
      <c r="AA297" s="13">
        <f>+VLOOKUP(Q297,COMISIONES!$C$2:$C$33,1,0)</f>
        <v>20007020</v>
      </c>
      <c r="AB297" s="13" t="s">
        <v>269</v>
      </c>
    </row>
    <row r="298" spans="1:28" hidden="1">
      <c r="A298" s="117" t="s">
        <v>821</v>
      </c>
      <c r="B298" s="138">
        <v>45152</v>
      </c>
      <c r="C298" s="117" t="s">
        <v>1716</v>
      </c>
      <c r="D298" s="117" t="s">
        <v>1717</v>
      </c>
      <c r="E298" s="117" t="s">
        <v>1718</v>
      </c>
      <c r="F298" s="117"/>
      <c r="G298" s="117" t="s">
        <v>44</v>
      </c>
      <c r="H298" s="117" t="s">
        <v>1</v>
      </c>
      <c r="I298"/>
      <c r="J298"/>
      <c r="K298" s="117" t="s">
        <v>105</v>
      </c>
      <c r="L298">
        <v>5</v>
      </c>
      <c r="M298" s="117" t="s">
        <v>272</v>
      </c>
      <c r="N298" s="117" t="s">
        <v>275</v>
      </c>
      <c r="O298" s="117" t="s">
        <v>52</v>
      </c>
      <c r="P298" s="117" t="s">
        <v>40</v>
      </c>
      <c r="Q298" s="139">
        <v>20009688</v>
      </c>
      <c r="R298" s="117" t="s">
        <v>78</v>
      </c>
      <c r="S298" s="117" t="s">
        <v>109</v>
      </c>
      <c r="T298" s="117"/>
      <c r="U298" s="117" t="s">
        <v>108</v>
      </c>
      <c r="V298" s="12">
        <f>+IFERROR(IF(VLOOKUP(Q298,COMISIONES!$C$2:$K$33,9,0)&gt;=VLOOKUP(TC!Q298,COMISIONES!$C$2:$I$33,7,0),1,0),0)</f>
        <v>0</v>
      </c>
      <c r="W298" s="262">
        <f>+IF(H298="Segunda",VLOOKUP(_xlfn.CONCAT(P298,G298,H298,V298),'PUNTOS 2021'!$E$23:$F$30,2,0),TC!L298)</f>
        <v>5</v>
      </c>
      <c r="X298" s="67">
        <f>+VLOOKUP(Q298,COMISIONES!$C$2:$AO$33,39,0)</f>
        <v>30</v>
      </c>
      <c r="Y298" s="67">
        <f t="shared" si="4"/>
        <v>150</v>
      </c>
      <c r="Z298" s="58" t="s">
        <v>80</v>
      </c>
      <c r="AA298" s="13">
        <f>+VLOOKUP(Q298,COMISIONES!$C$2:$C$33,1,0)</f>
        <v>20009688</v>
      </c>
      <c r="AB298" s="13" t="s">
        <v>269</v>
      </c>
    </row>
    <row r="299" spans="1:28" hidden="1">
      <c r="A299" s="117" t="s">
        <v>821</v>
      </c>
      <c r="B299" s="138">
        <v>45152</v>
      </c>
      <c r="C299" s="117" t="s">
        <v>1719</v>
      </c>
      <c r="D299" s="117" t="s">
        <v>1720</v>
      </c>
      <c r="E299" s="117" t="s">
        <v>1721</v>
      </c>
      <c r="F299" s="117"/>
      <c r="G299" s="117" t="s">
        <v>45</v>
      </c>
      <c r="H299" s="117" t="s">
        <v>1</v>
      </c>
      <c r="I299"/>
      <c r="J299"/>
      <c r="K299" s="117" t="s">
        <v>105</v>
      </c>
      <c r="L299">
        <v>7</v>
      </c>
      <c r="M299" s="117" t="s">
        <v>121</v>
      </c>
      <c r="N299" s="117" t="s">
        <v>3</v>
      </c>
      <c r="O299" s="117" t="s">
        <v>49</v>
      </c>
      <c r="P299" s="117" t="s">
        <v>40</v>
      </c>
      <c r="Q299" s="139">
        <v>20004161</v>
      </c>
      <c r="R299" s="117" t="s">
        <v>78</v>
      </c>
      <c r="S299" s="117" t="s">
        <v>109</v>
      </c>
      <c r="T299" s="117"/>
      <c r="U299" s="117" t="s">
        <v>108</v>
      </c>
      <c r="V299" s="12">
        <f>+IFERROR(IF(VLOOKUP(Q299,COMISIONES!$C$2:$K$33,9,0)&gt;=VLOOKUP(TC!Q299,COMISIONES!$C$2:$I$33,7,0),1,0),0)</f>
        <v>1</v>
      </c>
      <c r="W299" s="262">
        <f>+IF(H299="Segunda",VLOOKUP(_xlfn.CONCAT(P299,G299,H299,V299),'PUNTOS 2021'!$E$23:$F$30,2,0),TC!L299)</f>
        <v>7</v>
      </c>
      <c r="X299" s="67">
        <f>+VLOOKUP(Q299,COMISIONES!$C$2:$AO$33,39,0)</f>
        <v>65</v>
      </c>
      <c r="Y299" s="67">
        <f t="shared" si="4"/>
        <v>455</v>
      </c>
      <c r="Z299" s="58" t="s">
        <v>80</v>
      </c>
      <c r="AA299" s="13">
        <f>+VLOOKUP(Q299,COMISIONES!$C$2:$C$33,1,0)</f>
        <v>20004161</v>
      </c>
      <c r="AB299" s="13" t="s">
        <v>269</v>
      </c>
    </row>
    <row r="300" spans="1:28" hidden="1">
      <c r="A300" s="117" t="s">
        <v>821</v>
      </c>
      <c r="B300" s="138">
        <v>45152</v>
      </c>
      <c r="C300" s="117" t="s">
        <v>1722</v>
      </c>
      <c r="D300" s="117" t="s">
        <v>1723</v>
      </c>
      <c r="E300" s="117" t="s">
        <v>1724</v>
      </c>
      <c r="F300" s="117"/>
      <c r="G300" s="117" t="s">
        <v>44</v>
      </c>
      <c r="H300" s="117" t="s">
        <v>1</v>
      </c>
      <c r="I300"/>
      <c r="J300"/>
      <c r="K300" s="117" t="s">
        <v>105</v>
      </c>
      <c r="L300">
        <v>5</v>
      </c>
      <c r="M300" s="117" t="s">
        <v>110</v>
      </c>
      <c r="N300" s="117" t="s">
        <v>10</v>
      </c>
      <c r="O300" s="117" t="s">
        <v>51</v>
      </c>
      <c r="P300" s="117" t="s">
        <v>40</v>
      </c>
      <c r="Q300" s="139">
        <v>20000661</v>
      </c>
      <c r="R300" s="117" t="s">
        <v>78</v>
      </c>
      <c r="S300" s="117" t="s">
        <v>109</v>
      </c>
      <c r="T300" s="117"/>
      <c r="U300" s="117" t="s">
        <v>108</v>
      </c>
      <c r="V300" s="12">
        <f>+IFERROR(IF(VLOOKUP(Q300,COMISIONES!$C$2:$K$33,9,0)&gt;=VLOOKUP(TC!Q300,COMISIONES!$C$2:$I$33,7,0),1,0),0)</f>
        <v>1</v>
      </c>
      <c r="W300" s="262">
        <f>+IF(H300="Segunda",VLOOKUP(_xlfn.CONCAT(P300,G300,H300,V300),'PUNTOS 2021'!$E$23:$F$30,2,0),TC!L300)</f>
        <v>5</v>
      </c>
      <c r="X300" s="67">
        <f>+VLOOKUP(Q300,COMISIONES!$C$2:$AO$33,39,0)</f>
        <v>60</v>
      </c>
      <c r="Y300" s="67">
        <f t="shared" si="4"/>
        <v>300</v>
      </c>
      <c r="Z300" s="58" t="s">
        <v>80</v>
      </c>
      <c r="AA300" s="13">
        <f>+VLOOKUP(Q300,COMISIONES!$C$2:$C$33,1,0)</f>
        <v>20000661</v>
      </c>
      <c r="AB300" s="13" t="s">
        <v>269</v>
      </c>
    </row>
    <row r="301" spans="1:28" hidden="1">
      <c r="A301" s="117" t="s">
        <v>821</v>
      </c>
      <c r="B301" s="138">
        <v>45152</v>
      </c>
      <c r="C301" s="117" t="s">
        <v>1725</v>
      </c>
      <c r="D301" s="117" t="s">
        <v>1669</v>
      </c>
      <c r="E301" s="117" t="s">
        <v>1726</v>
      </c>
      <c r="F301" s="117"/>
      <c r="G301" s="117" t="s">
        <v>45</v>
      </c>
      <c r="H301" s="117" t="s">
        <v>1</v>
      </c>
      <c r="I301"/>
      <c r="J301"/>
      <c r="K301" s="117" t="s">
        <v>105</v>
      </c>
      <c r="L301">
        <v>7</v>
      </c>
      <c r="M301" s="117" t="s">
        <v>120</v>
      </c>
      <c r="N301" s="117" t="s">
        <v>21</v>
      </c>
      <c r="O301" s="117" t="s">
        <v>50</v>
      </c>
      <c r="P301" s="117" t="s">
        <v>40</v>
      </c>
      <c r="Q301" s="139">
        <v>20008711</v>
      </c>
      <c r="R301" s="117" t="s">
        <v>78</v>
      </c>
      <c r="S301" s="117" t="s">
        <v>109</v>
      </c>
      <c r="T301" s="117" t="s">
        <v>109</v>
      </c>
      <c r="U301" s="117" t="s">
        <v>128</v>
      </c>
      <c r="V301" s="12">
        <f>+IFERROR(IF(VLOOKUP(Q301,COMISIONES!$C$2:$K$33,9,0)&gt;=VLOOKUP(TC!Q301,COMISIONES!$C$2:$I$33,7,0),1,0),0)</f>
        <v>0</v>
      </c>
      <c r="W301" s="262">
        <f>+IF(H301="Segunda",VLOOKUP(_xlfn.CONCAT(P301,G301,H301,V301),'PUNTOS 2021'!$E$23:$F$30,2,0),TC!L301)</f>
        <v>7</v>
      </c>
      <c r="X301" s="67">
        <f>+VLOOKUP(Q301,COMISIONES!$C$2:$AO$33,39,0)</f>
        <v>60</v>
      </c>
      <c r="Y301" s="67">
        <f t="shared" si="4"/>
        <v>420</v>
      </c>
      <c r="Z301" s="58" t="s">
        <v>80</v>
      </c>
      <c r="AA301" s="13">
        <f>+VLOOKUP(Q301,COMISIONES!$C$2:$C$33,1,0)</f>
        <v>20008711</v>
      </c>
      <c r="AB301" s="13" t="s">
        <v>269</v>
      </c>
    </row>
    <row r="302" spans="1:28" hidden="1">
      <c r="A302" s="117" t="s">
        <v>821</v>
      </c>
      <c r="B302" s="138">
        <v>45153</v>
      </c>
      <c r="C302" s="117" t="s">
        <v>1727</v>
      </c>
      <c r="D302" s="117" t="s">
        <v>1728</v>
      </c>
      <c r="E302" s="117" t="s">
        <v>1729</v>
      </c>
      <c r="F302" s="117"/>
      <c r="G302" s="117" t="s">
        <v>44</v>
      </c>
      <c r="H302" s="117" t="s">
        <v>1</v>
      </c>
      <c r="I302"/>
      <c r="J302"/>
      <c r="K302" s="117" t="s">
        <v>105</v>
      </c>
      <c r="L302">
        <v>5</v>
      </c>
      <c r="M302" s="117" t="s">
        <v>161</v>
      </c>
      <c r="N302" s="117" t="s">
        <v>158</v>
      </c>
      <c r="O302" s="117" t="s">
        <v>50</v>
      </c>
      <c r="P302" s="117" t="s">
        <v>40</v>
      </c>
      <c r="Q302" s="139">
        <v>20006162</v>
      </c>
      <c r="R302" s="117" t="s">
        <v>78</v>
      </c>
      <c r="S302" s="117" t="s">
        <v>109</v>
      </c>
      <c r="T302" s="117" t="s">
        <v>109</v>
      </c>
      <c r="U302" s="117" t="s">
        <v>128</v>
      </c>
      <c r="V302" s="12">
        <f>+IFERROR(IF(VLOOKUP(Q302,COMISIONES!$C$2:$K$33,9,0)&gt;=VLOOKUP(TC!Q302,COMISIONES!$C$2:$I$33,7,0),1,0),0)</f>
        <v>0</v>
      </c>
      <c r="W302" s="262">
        <f>+IF(H302="Segunda",VLOOKUP(_xlfn.CONCAT(P302,G302,H302,V302),'PUNTOS 2021'!$E$23:$F$30,2,0),TC!L302)</f>
        <v>5</v>
      </c>
      <c r="X302" s="67">
        <f>+VLOOKUP(Q302,COMISIONES!$C$2:$AO$33,39,0)</f>
        <v>60</v>
      </c>
      <c r="Y302" s="67">
        <f t="shared" si="4"/>
        <v>300</v>
      </c>
      <c r="Z302" s="58" t="s">
        <v>80</v>
      </c>
      <c r="AA302" s="13">
        <f>+VLOOKUP(Q302,COMISIONES!$C$2:$C$33,1,0)</f>
        <v>20006162</v>
      </c>
      <c r="AB302" s="13" t="s">
        <v>269</v>
      </c>
    </row>
    <row r="303" spans="1:28" hidden="1">
      <c r="A303" s="117" t="s">
        <v>821</v>
      </c>
      <c r="B303" s="138">
        <v>45153</v>
      </c>
      <c r="C303" s="117" t="s">
        <v>1730</v>
      </c>
      <c r="D303" s="117" t="s">
        <v>1731</v>
      </c>
      <c r="E303" s="117" t="s">
        <v>1732</v>
      </c>
      <c r="F303" s="117"/>
      <c r="G303" s="117" t="s">
        <v>44</v>
      </c>
      <c r="H303" s="117" t="s">
        <v>1</v>
      </c>
      <c r="I303"/>
      <c r="J303"/>
      <c r="K303" s="117" t="s">
        <v>105</v>
      </c>
      <c r="L303">
        <v>5</v>
      </c>
      <c r="M303" s="117" t="s">
        <v>127</v>
      </c>
      <c r="N303" s="117" t="s">
        <v>16</v>
      </c>
      <c r="O303" s="117" t="s">
        <v>49</v>
      </c>
      <c r="P303" s="117" t="s">
        <v>40</v>
      </c>
      <c r="Q303" s="139">
        <v>20002708</v>
      </c>
      <c r="R303" s="117" t="s">
        <v>78</v>
      </c>
      <c r="S303" s="117" t="s">
        <v>109</v>
      </c>
      <c r="T303" s="117" t="s">
        <v>109</v>
      </c>
      <c r="U303" s="117" t="s">
        <v>128</v>
      </c>
      <c r="V303" s="12">
        <f>+IFERROR(IF(VLOOKUP(Q303,COMISIONES!$C$2:$K$33,9,0)&gt;=VLOOKUP(TC!Q303,COMISIONES!$C$2:$I$33,7,0),1,0),0)</f>
        <v>0</v>
      </c>
      <c r="W303" s="262">
        <f>+IF(H303="Segunda",VLOOKUP(_xlfn.CONCAT(P303,G303,H303,V303),'PUNTOS 2021'!$E$23:$F$30,2,0),TC!L303)</f>
        <v>5</v>
      </c>
      <c r="X303" s="67">
        <f>+VLOOKUP(Q303,COMISIONES!$C$2:$AO$33,39,0)</f>
        <v>60</v>
      </c>
      <c r="Y303" s="67">
        <f t="shared" si="4"/>
        <v>300</v>
      </c>
      <c r="Z303" s="58" t="s">
        <v>80</v>
      </c>
      <c r="AA303" s="13">
        <f>+VLOOKUP(Q303,COMISIONES!$C$2:$C$33,1,0)</f>
        <v>20002708</v>
      </c>
      <c r="AB303" s="13" t="s">
        <v>269</v>
      </c>
    </row>
    <row r="304" spans="1:28" hidden="1">
      <c r="A304" s="117" t="s">
        <v>821</v>
      </c>
      <c r="B304" s="138">
        <v>45153</v>
      </c>
      <c r="C304" s="117" t="s">
        <v>1733</v>
      </c>
      <c r="D304" s="117" t="s">
        <v>1734</v>
      </c>
      <c r="E304" s="117" t="s">
        <v>1735</v>
      </c>
      <c r="F304" s="117"/>
      <c r="G304" s="117" t="s">
        <v>44</v>
      </c>
      <c r="H304" s="117" t="s">
        <v>1</v>
      </c>
      <c r="I304"/>
      <c r="J304"/>
      <c r="K304" s="117" t="s">
        <v>105</v>
      </c>
      <c r="L304">
        <v>5</v>
      </c>
      <c r="M304" s="117" t="s">
        <v>121</v>
      </c>
      <c r="N304" s="117" t="s">
        <v>3</v>
      </c>
      <c r="O304" s="117" t="s">
        <v>49</v>
      </c>
      <c r="P304" s="117" t="s">
        <v>40</v>
      </c>
      <c r="Q304" s="139">
        <v>20004161</v>
      </c>
      <c r="R304" s="117" t="s">
        <v>78</v>
      </c>
      <c r="S304" s="117" t="s">
        <v>109</v>
      </c>
      <c r="T304" s="117" t="s">
        <v>109</v>
      </c>
      <c r="U304" s="117" t="s">
        <v>128</v>
      </c>
      <c r="V304" s="12">
        <f>+IFERROR(IF(VLOOKUP(Q304,COMISIONES!$C$2:$K$33,9,0)&gt;=VLOOKUP(TC!Q304,COMISIONES!$C$2:$I$33,7,0),1,0),0)</f>
        <v>1</v>
      </c>
      <c r="W304" s="262">
        <f>+IF(H304="Segunda",VLOOKUP(_xlfn.CONCAT(P304,G304,H304,V304),'PUNTOS 2021'!$E$23:$F$30,2,0),TC!L304)</f>
        <v>5</v>
      </c>
      <c r="X304" s="67">
        <f>+VLOOKUP(Q304,COMISIONES!$C$2:$AO$33,39,0)</f>
        <v>65</v>
      </c>
      <c r="Y304" s="67">
        <f t="shared" si="4"/>
        <v>325</v>
      </c>
      <c r="Z304" s="58" t="s">
        <v>80</v>
      </c>
      <c r="AA304" s="13">
        <f>+VLOOKUP(Q304,COMISIONES!$C$2:$C$33,1,0)</f>
        <v>20004161</v>
      </c>
      <c r="AB304" s="13" t="s">
        <v>269</v>
      </c>
    </row>
    <row r="305" spans="1:28" hidden="1">
      <c r="A305" s="117" t="s">
        <v>821</v>
      </c>
      <c r="B305" s="138">
        <v>45153</v>
      </c>
      <c r="C305" s="117" t="s">
        <v>1736</v>
      </c>
      <c r="D305" s="117" t="s">
        <v>1737</v>
      </c>
      <c r="E305" s="117" t="s">
        <v>1738</v>
      </c>
      <c r="F305" s="117"/>
      <c r="G305" s="117" t="s">
        <v>45</v>
      </c>
      <c r="H305" s="117" t="s">
        <v>1</v>
      </c>
      <c r="I305"/>
      <c r="J305"/>
      <c r="K305" s="117" t="s">
        <v>105</v>
      </c>
      <c r="L305">
        <v>7</v>
      </c>
      <c r="M305" s="117" t="s">
        <v>259</v>
      </c>
      <c r="N305" s="117" t="s">
        <v>20</v>
      </c>
      <c r="O305" s="117" t="s">
        <v>50</v>
      </c>
      <c r="P305" s="117" t="s">
        <v>40</v>
      </c>
      <c r="Q305" s="139">
        <v>20008700</v>
      </c>
      <c r="R305" s="117" t="s">
        <v>78</v>
      </c>
      <c r="S305" s="117" t="s">
        <v>109</v>
      </c>
      <c r="T305" s="117" t="s">
        <v>109</v>
      </c>
      <c r="U305" s="117" t="s">
        <v>128</v>
      </c>
      <c r="V305" s="12">
        <f>+IFERROR(IF(VLOOKUP(Q305,COMISIONES!$C$2:$K$33,9,0)&gt;=VLOOKUP(TC!Q305,COMISIONES!$C$2:$I$33,7,0),1,0),0)</f>
        <v>0</v>
      </c>
      <c r="W305" s="262">
        <f>+IF(H305="Segunda",VLOOKUP(_xlfn.CONCAT(P305,G305,H305,V305),'PUNTOS 2021'!$E$23:$F$30,2,0),TC!L305)</f>
        <v>7</v>
      </c>
      <c r="X305" s="67">
        <f>+VLOOKUP(Q305,COMISIONES!$C$2:$AO$33,39,0)</f>
        <v>40</v>
      </c>
      <c r="Y305" s="67">
        <f t="shared" si="4"/>
        <v>280</v>
      </c>
      <c r="Z305" s="58" t="s">
        <v>80</v>
      </c>
      <c r="AA305" s="13">
        <f>+VLOOKUP(Q305,COMISIONES!$C$2:$C$33,1,0)</f>
        <v>20008700</v>
      </c>
      <c r="AB305" s="13" t="s">
        <v>269</v>
      </c>
    </row>
    <row r="306" spans="1:28" hidden="1">
      <c r="A306" s="117" t="s">
        <v>821</v>
      </c>
      <c r="B306" s="138">
        <v>45153</v>
      </c>
      <c r="C306" s="117" t="s">
        <v>1739</v>
      </c>
      <c r="D306" s="117" t="s">
        <v>1740</v>
      </c>
      <c r="E306" s="117" t="s">
        <v>1741</v>
      </c>
      <c r="F306" s="117"/>
      <c r="G306" s="117" t="s">
        <v>44</v>
      </c>
      <c r="H306" s="117" t="s">
        <v>1</v>
      </c>
      <c r="I306"/>
      <c r="J306"/>
      <c r="K306" s="117" t="s">
        <v>105</v>
      </c>
      <c r="L306">
        <v>5</v>
      </c>
      <c r="M306" s="117" t="s">
        <v>126</v>
      </c>
      <c r="N306" s="117" t="s">
        <v>11</v>
      </c>
      <c r="O306" s="117" t="s">
        <v>49</v>
      </c>
      <c r="P306" s="117" t="s">
        <v>40</v>
      </c>
      <c r="Q306" s="139">
        <v>20004235</v>
      </c>
      <c r="R306" s="117" t="s">
        <v>78</v>
      </c>
      <c r="S306" s="117" t="s">
        <v>109</v>
      </c>
      <c r="T306" s="117" t="s">
        <v>109</v>
      </c>
      <c r="U306" s="117" t="s">
        <v>128</v>
      </c>
      <c r="V306" s="12">
        <f>+IFERROR(IF(VLOOKUP(Q306,COMISIONES!$C$2:$K$33,9,0)&gt;=VLOOKUP(TC!Q306,COMISIONES!$C$2:$I$33,7,0),1,0),0)</f>
        <v>0</v>
      </c>
      <c r="W306" s="262">
        <f>+IF(H306="Segunda",VLOOKUP(_xlfn.CONCAT(P306,G306,H306,V306),'PUNTOS 2021'!$E$23:$F$30,2,0),TC!L306)</f>
        <v>5</v>
      </c>
      <c r="X306" s="67">
        <f>+VLOOKUP(Q306,COMISIONES!$C$2:$AO$33,39,0)</f>
        <v>40</v>
      </c>
      <c r="Y306" s="67">
        <f t="shared" si="4"/>
        <v>200</v>
      </c>
      <c r="Z306" s="58" t="s">
        <v>80</v>
      </c>
      <c r="AA306" s="13">
        <f>+VLOOKUP(Q306,COMISIONES!$C$2:$C$33,1,0)</f>
        <v>20004235</v>
      </c>
      <c r="AB306" s="13" t="s">
        <v>269</v>
      </c>
    </row>
    <row r="307" spans="1:28" hidden="1">
      <c r="A307" s="117" t="s">
        <v>821</v>
      </c>
      <c r="B307" s="138">
        <v>45153</v>
      </c>
      <c r="C307" s="117" t="s">
        <v>1742</v>
      </c>
      <c r="D307" s="117" t="s">
        <v>1743</v>
      </c>
      <c r="E307" s="117" t="s">
        <v>1744</v>
      </c>
      <c r="F307" s="117"/>
      <c r="G307" s="117" t="s">
        <v>44</v>
      </c>
      <c r="H307" s="117" t="s">
        <v>1</v>
      </c>
      <c r="I307"/>
      <c r="J307"/>
      <c r="K307" s="117" t="s">
        <v>105</v>
      </c>
      <c r="L307">
        <v>5</v>
      </c>
      <c r="M307" s="117" t="s">
        <v>121</v>
      </c>
      <c r="N307" s="117" t="s">
        <v>3</v>
      </c>
      <c r="O307" s="117" t="s">
        <v>49</v>
      </c>
      <c r="P307" s="117" t="s">
        <v>40</v>
      </c>
      <c r="Q307" s="139">
        <v>20004161</v>
      </c>
      <c r="R307" s="117" t="s">
        <v>78</v>
      </c>
      <c r="S307" s="117" t="s">
        <v>109</v>
      </c>
      <c r="T307" s="117" t="s">
        <v>109</v>
      </c>
      <c r="U307" s="117" t="s">
        <v>128</v>
      </c>
      <c r="V307" s="12">
        <f>+IFERROR(IF(VLOOKUP(Q307,COMISIONES!$C$2:$K$33,9,0)&gt;=VLOOKUP(TC!Q307,COMISIONES!$C$2:$I$33,7,0),1,0),0)</f>
        <v>1</v>
      </c>
      <c r="W307" s="262">
        <f>+IF(H307="Segunda",VLOOKUP(_xlfn.CONCAT(P307,G307,H307,V307),'PUNTOS 2021'!$E$23:$F$30,2,0),TC!L307)</f>
        <v>5</v>
      </c>
      <c r="X307" s="67">
        <f>+VLOOKUP(Q307,COMISIONES!$C$2:$AO$33,39,0)</f>
        <v>65</v>
      </c>
      <c r="Y307" s="67">
        <f t="shared" si="4"/>
        <v>325</v>
      </c>
      <c r="Z307" s="58" t="s">
        <v>80</v>
      </c>
      <c r="AA307" s="13">
        <f>+VLOOKUP(Q307,COMISIONES!$C$2:$C$33,1,0)</f>
        <v>20004161</v>
      </c>
      <c r="AB307" s="13" t="s">
        <v>269</v>
      </c>
    </row>
    <row r="308" spans="1:28" hidden="1">
      <c r="A308" s="117" t="s">
        <v>821</v>
      </c>
      <c r="B308" s="138">
        <v>45153</v>
      </c>
      <c r="C308" s="117" t="s">
        <v>1745</v>
      </c>
      <c r="D308" s="117" t="s">
        <v>1746</v>
      </c>
      <c r="E308" s="117" t="s">
        <v>1747</v>
      </c>
      <c r="F308" s="117"/>
      <c r="G308" s="117" t="s">
        <v>45</v>
      </c>
      <c r="H308" s="117" t="s">
        <v>1</v>
      </c>
      <c r="I308"/>
      <c r="J308"/>
      <c r="K308" s="117" t="s">
        <v>105</v>
      </c>
      <c r="L308">
        <v>7</v>
      </c>
      <c r="M308" s="117" t="s">
        <v>123</v>
      </c>
      <c r="N308" s="117" t="s">
        <v>23</v>
      </c>
      <c r="O308" s="117" t="s">
        <v>49</v>
      </c>
      <c r="P308" s="117" t="s">
        <v>40</v>
      </c>
      <c r="Q308" s="139">
        <v>20009269</v>
      </c>
      <c r="R308" s="117" t="s">
        <v>78</v>
      </c>
      <c r="S308" s="117" t="s">
        <v>109</v>
      </c>
      <c r="T308" s="117" t="s">
        <v>109</v>
      </c>
      <c r="U308" s="117" t="s">
        <v>128</v>
      </c>
      <c r="V308" s="12">
        <f>+IFERROR(IF(VLOOKUP(Q308,COMISIONES!$C$2:$K$33,9,0)&gt;=VLOOKUP(TC!Q308,COMISIONES!$C$2:$I$33,7,0),1,0),0)</f>
        <v>1</v>
      </c>
      <c r="W308" s="262">
        <f>+IF(H308="Segunda",VLOOKUP(_xlfn.CONCAT(P308,G308,H308,V308),'PUNTOS 2021'!$E$23:$F$30,2,0),TC!L308)</f>
        <v>7</v>
      </c>
      <c r="X308" s="67">
        <f>+VLOOKUP(Q308,COMISIONES!$C$2:$AO$33,39,0)</f>
        <v>65</v>
      </c>
      <c r="Y308" s="67">
        <f t="shared" si="4"/>
        <v>455</v>
      </c>
      <c r="Z308" s="58" t="s">
        <v>80</v>
      </c>
      <c r="AA308" s="13">
        <f>+VLOOKUP(Q308,COMISIONES!$C$2:$C$33,1,0)</f>
        <v>20009269</v>
      </c>
      <c r="AB308" s="13" t="s">
        <v>269</v>
      </c>
    </row>
    <row r="309" spans="1:28" hidden="1">
      <c r="A309" s="117" t="s">
        <v>821</v>
      </c>
      <c r="B309" s="138">
        <v>45153</v>
      </c>
      <c r="C309" s="117" t="s">
        <v>1748</v>
      </c>
      <c r="D309" s="117" t="s">
        <v>1749</v>
      </c>
      <c r="E309" s="117" t="s">
        <v>1750</v>
      </c>
      <c r="F309" s="117"/>
      <c r="G309" s="117" t="s">
        <v>43</v>
      </c>
      <c r="H309" s="117" t="s">
        <v>1</v>
      </c>
      <c r="I309"/>
      <c r="J309"/>
      <c r="K309" s="117" t="s">
        <v>105</v>
      </c>
      <c r="L309">
        <v>3</v>
      </c>
      <c r="M309" s="117" t="s">
        <v>120</v>
      </c>
      <c r="N309" s="117" t="s">
        <v>21</v>
      </c>
      <c r="O309" s="117" t="s">
        <v>50</v>
      </c>
      <c r="P309" s="117" t="s">
        <v>40</v>
      </c>
      <c r="Q309" s="139">
        <v>20008711</v>
      </c>
      <c r="R309" s="117" t="s">
        <v>78</v>
      </c>
      <c r="S309" s="117" t="s">
        <v>109</v>
      </c>
      <c r="T309" s="117" t="s">
        <v>109</v>
      </c>
      <c r="U309" s="117" t="s">
        <v>128</v>
      </c>
      <c r="V309" s="12">
        <f>+IFERROR(IF(VLOOKUP(Q309,COMISIONES!$C$2:$K$33,9,0)&gt;=VLOOKUP(TC!Q309,COMISIONES!$C$2:$I$33,7,0),1,0),0)</f>
        <v>0</v>
      </c>
      <c r="W309" s="262">
        <f>+IF(H309="Segunda",VLOOKUP(_xlfn.CONCAT(P309,G309,H309,V309),'PUNTOS 2021'!$E$23:$F$30,2,0),TC!L309)</f>
        <v>3</v>
      </c>
      <c r="X309" s="67">
        <f>+VLOOKUP(Q309,COMISIONES!$C$2:$AO$33,39,0)</f>
        <v>60</v>
      </c>
      <c r="Y309" s="67">
        <f t="shared" si="4"/>
        <v>180</v>
      </c>
      <c r="Z309" s="58" t="s">
        <v>80</v>
      </c>
      <c r="AA309" s="13">
        <f>+VLOOKUP(Q309,COMISIONES!$C$2:$C$33,1,0)</f>
        <v>20008711</v>
      </c>
      <c r="AB309" s="13" t="s">
        <v>269</v>
      </c>
    </row>
    <row r="310" spans="1:28" hidden="1">
      <c r="A310" s="117" t="s">
        <v>821</v>
      </c>
      <c r="B310" s="138">
        <v>45153</v>
      </c>
      <c r="C310" s="117" t="s">
        <v>1751</v>
      </c>
      <c r="D310" s="117" t="s">
        <v>1752</v>
      </c>
      <c r="E310" s="117" t="s">
        <v>1753</v>
      </c>
      <c r="F310" s="117"/>
      <c r="G310" s="117" t="s">
        <v>45</v>
      </c>
      <c r="H310" s="117" t="s">
        <v>1</v>
      </c>
      <c r="I310"/>
      <c r="J310"/>
      <c r="K310" s="117" t="s">
        <v>105</v>
      </c>
      <c r="L310">
        <v>7</v>
      </c>
      <c r="M310" s="117" t="s">
        <v>121</v>
      </c>
      <c r="N310" s="117" t="s">
        <v>3</v>
      </c>
      <c r="O310" s="117" t="s">
        <v>49</v>
      </c>
      <c r="P310" s="117" t="s">
        <v>40</v>
      </c>
      <c r="Q310" s="139">
        <v>20004161</v>
      </c>
      <c r="R310" s="117" t="s">
        <v>78</v>
      </c>
      <c r="S310" s="117" t="s">
        <v>109</v>
      </c>
      <c r="T310" s="117" t="s">
        <v>109</v>
      </c>
      <c r="U310" s="117" t="s">
        <v>128</v>
      </c>
      <c r="V310" s="12">
        <f>+IFERROR(IF(VLOOKUP(Q310,COMISIONES!$C$2:$K$33,9,0)&gt;=VLOOKUP(TC!Q310,COMISIONES!$C$2:$I$33,7,0),1,0),0)</f>
        <v>1</v>
      </c>
      <c r="W310" s="262">
        <f>+IF(H310="Segunda",VLOOKUP(_xlfn.CONCAT(P310,G310,H310,V310),'PUNTOS 2021'!$E$23:$F$30,2,0),TC!L310)</f>
        <v>7</v>
      </c>
      <c r="X310" s="67">
        <f>+VLOOKUP(Q310,COMISIONES!$C$2:$AO$33,39,0)</f>
        <v>65</v>
      </c>
      <c r="Y310" s="67">
        <f t="shared" si="4"/>
        <v>455</v>
      </c>
      <c r="Z310" s="58" t="s">
        <v>80</v>
      </c>
      <c r="AA310" s="13">
        <f>+VLOOKUP(Q310,COMISIONES!$C$2:$C$33,1,0)</f>
        <v>20004161</v>
      </c>
      <c r="AB310" s="13" t="s">
        <v>269</v>
      </c>
    </row>
    <row r="311" spans="1:28" hidden="1">
      <c r="A311" s="117" t="s">
        <v>821</v>
      </c>
      <c r="B311" s="138">
        <v>45153</v>
      </c>
      <c r="C311" s="117" t="s">
        <v>1754</v>
      </c>
      <c r="D311" s="117" t="s">
        <v>1755</v>
      </c>
      <c r="E311" s="117" t="s">
        <v>1756</v>
      </c>
      <c r="F311" s="117"/>
      <c r="G311" s="117" t="s">
        <v>44</v>
      </c>
      <c r="H311" s="117" t="s">
        <v>1</v>
      </c>
      <c r="I311"/>
      <c r="J311"/>
      <c r="K311" s="117" t="s">
        <v>105</v>
      </c>
      <c r="L311">
        <v>5</v>
      </c>
      <c r="M311" s="117" t="s">
        <v>272</v>
      </c>
      <c r="N311" s="117" t="s">
        <v>275</v>
      </c>
      <c r="O311" s="117" t="s">
        <v>52</v>
      </c>
      <c r="P311" s="117" t="s">
        <v>40</v>
      </c>
      <c r="Q311" s="139">
        <v>20009688</v>
      </c>
      <c r="R311" s="117" t="s">
        <v>78</v>
      </c>
      <c r="S311" s="117" t="s">
        <v>109</v>
      </c>
      <c r="T311" s="117" t="s">
        <v>109</v>
      </c>
      <c r="U311" s="117" t="s">
        <v>128</v>
      </c>
      <c r="V311" s="12">
        <f>+IFERROR(IF(VLOOKUP(Q311,COMISIONES!$C$2:$K$33,9,0)&gt;=VLOOKUP(TC!Q311,COMISIONES!$C$2:$I$33,7,0),1,0),0)</f>
        <v>0</v>
      </c>
      <c r="W311" s="262">
        <f>+IF(H311="Segunda",VLOOKUP(_xlfn.CONCAT(P311,G311,H311,V311),'PUNTOS 2021'!$E$23:$F$30,2,0),TC!L311)</f>
        <v>5</v>
      </c>
      <c r="X311" s="67">
        <f>+VLOOKUP(Q311,COMISIONES!$C$2:$AO$33,39,0)</f>
        <v>30</v>
      </c>
      <c r="Y311" s="67">
        <f t="shared" si="4"/>
        <v>150</v>
      </c>
      <c r="Z311" s="58" t="s">
        <v>80</v>
      </c>
      <c r="AA311" s="13">
        <f>+VLOOKUP(Q311,COMISIONES!$C$2:$C$33,1,0)</f>
        <v>20009688</v>
      </c>
      <c r="AB311" s="13" t="s">
        <v>269</v>
      </c>
    </row>
    <row r="312" spans="1:28" hidden="1">
      <c r="A312" s="117" t="s">
        <v>821</v>
      </c>
      <c r="B312" s="138">
        <v>45153</v>
      </c>
      <c r="C312" s="117" t="s">
        <v>1757</v>
      </c>
      <c r="D312" s="117" t="s">
        <v>1758</v>
      </c>
      <c r="E312" s="117" t="s">
        <v>1759</v>
      </c>
      <c r="F312" s="117"/>
      <c r="G312" s="117" t="s">
        <v>43</v>
      </c>
      <c r="H312" s="117" t="s">
        <v>1</v>
      </c>
      <c r="I312"/>
      <c r="J312"/>
      <c r="K312" s="117" t="s">
        <v>105</v>
      </c>
      <c r="L312">
        <v>3</v>
      </c>
      <c r="M312" s="117" t="s">
        <v>123</v>
      </c>
      <c r="N312" s="117" t="s">
        <v>23</v>
      </c>
      <c r="O312" s="117" t="s">
        <v>49</v>
      </c>
      <c r="P312" s="117" t="s">
        <v>40</v>
      </c>
      <c r="Q312" s="139">
        <v>20009269</v>
      </c>
      <c r="R312" s="117" t="s">
        <v>78</v>
      </c>
      <c r="S312" s="117" t="s">
        <v>109</v>
      </c>
      <c r="T312" s="117" t="s">
        <v>109</v>
      </c>
      <c r="U312" s="117" t="s">
        <v>128</v>
      </c>
      <c r="V312" s="12">
        <f>+IFERROR(IF(VLOOKUP(Q312,COMISIONES!$C$2:$K$33,9,0)&gt;=VLOOKUP(TC!Q312,COMISIONES!$C$2:$I$33,7,0),1,0),0)</f>
        <v>1</v>
      </c>
      <c r="W312" s="262">
        <f>+IF(H312="Segunda",VLOOKUP(_xlfn.CONCAT(P312,G312,H312,V312),'PUNTOS 2021'!$E$23:$F$30,2,0),TC!L312)</f>
        <v>3</v>
      </c>
      <c r="X312" s="67">
        <f>+VLOOKUP(Q312,COMISIONES!$C$2:$AO$33,39,0)</f>
        <v>65</v>
      </c>
      <c r="Y312" s="67">
        <f t="shared" si="4"/>
        <v>195</v>
      </c>
      <c r="Z312" s="58" t="s">
        <v>80</v>
      </c>
      <c r="AA312" s="13">
        <f>+VLOOKUP(Q312,COMISIONES!$C$2:$C$33,1,0)</f>
        <v>20009269</v>
      </c>
      <c r="AB312" s="13" t="s">
        <v>269</v>
      </c>
    </row>
    <row r="313" spans="1:28" hidden="1">
      <c r="A313" s="117" t="s">
        <v>821</v>
      </c>
      <c r="B313" s="138">
        <v>45153</v>
      </c>
      <c r="C313" s="117" t="s">
        <v>1760</v>
      </c>
      <c r="D313" s="117" t="s">
        <v>1761</v>
      </c>
      <c r="E313" s="117" t="s">
        <v>1762</v>
      </c>
      <c r="F313" s="117"/>
      <c r="G313" s="117" t="s">
        <v>43</v>
      </c>
      <c r="H313" s="117" t="s">
        <v>1</v>
      </c>
      <c r="I313"/>
      <c r="J313"/>
      <c r="K313" s="117" t="s">
        <v>105</v>
      </c>
      <c r="L313">
        <v>3</v>
      </c>
      <c r="M313" s="117" t="s">
        <v>115</v>
      </c>
      <c r="N313" s="117" t="s">
        <v>6</v>
      </c>
      <c r="O313" s="117" t="s">
        <v>51</v>
      </c>
      <c r="P313" s="117" t="s">
        <v>40</v>
      </c>
      <c r="Q313" s="139">
        <v>20001487</v>
      </c>
      <c r="R313" s="117" t="s">
        <v>78</v>
      </c>
      <c r="S313" s="117" t="s">
        <v>109</v>
      </c>
      <c r="T313" s="117" t="s">
        <v>109</v>
      </c>
      <c r="U313" s="117" t="s">
        <v>128</v>
      </c>
      <c r="V313" s="12">
        <f>+IFERROR(IF(VLOOKUP(Q313,COMISIONES!$C$2:$K$33,9,0)&gt;=VLOOKUP(TC!Q313,COMISIONES!$C$2:$I$33,7,0),1,0),0)</f>
        <v>1</v>
      </c>
      <c r="W313" s="262">
        <f>+IF(H313="Segunda",VLOOKUP(_xlfn.CONCAT(P313,G313,H313,V313),'PUNTOS 2021'!$E$23:$F$30,2,0),TC!L313)</f>
        <v>3</v>
      </c>
      <c r="X313" s="67">
        <f>+VLOOKUP(Q313,COMISIONES!$C$2:$AO$33,39,0)</f>
        <v>65</v>
      </c>
      <c r="Y313" s="67">
        <f t="shared" si="4"/>
        <v>195</v>
      </c>
      <c r="Z313" s="58" t="s">
        <v>80</v>
      </c>
      <c r="AA313" s="13">
        <f>+VLOOKUP(Q313,COMISIONES!$C$2:$C$33,1,0)</f>
        <v>20001487</v>
      </c>
      <c r="AB313" s="13" t="s">
        <v>269</v>
      </c>
    </row>
    <row r="314" spans="1:28" hidden="1">
      <c r="A314" s="117" t="s">
        <v>821</v>
      </c>
      <c r="B314" s="138">
        <v>45153</v>
      </c>
      <c r="C314" s="117" t="s">
        <v>1763</v>
      </c>
      <c r="D314" s="117" t="s">
        <v>1764</v>
      </c>
      <c r="E314" s="117" t="s">
        <v>1765</v>
      </c>
      <c r="F314" s="117"/>
      <c r="G314" s="117" t="s">
        <v>44</v>
      </c>
      <c r="H314" s="117" t="s">
        <v>1</v>
      </c>
      <c r="I314"/>
      <c r="J314"/>
      <c r="K314" s="117" t="s">
        <v>105</v>
      </c>
      <c r="L314">
        <v>5</v>
      </c>
      <c r="M314" s="117" t="s">
        <v>114</v>
      </c>
      <c r="N314" s="117" t="s">
        <v>19</v>
      </c>
      <c r="O314" s="117" t="s">
        <v>49</v>
      </c>
      <c r="P314" s="117" t="s">
        <v>40</v>
      </c>
      <c r="Q314" s="139">
        <v>20008625</v>
      </c>
      <c r="R314" s="117" t="s">
        <v>78</v>
      </c>
      <c r="S314" s="117" t="s">
        <v>109</v>
      </c>
      <c r="T314" s="117" t="s">
        <v>109</v>
      </c>
      <c r="U314" s="117" t="s">
        <v>128</v>
      </c>
      <c r="V314" s="12">
        <f>+IFERROR(IF(VLOOKUP(Q314,COMISIONES!$C$2:$K$33,9,0)&gt;=VLOOKUP(TC!Q314,COMISIONES!$C$2:$I$33,7,0),1,0),0)</f>
        <v>0</v>
      </c>
      <c r="W314" s="262">
        <f>+IF(H314="Segunda",VLOOKUP(_xlfn.CONCAT(P314,G314,H314,V314),'PUNTOS 2021'!$E$23:$F$30,2,0),TC!L314)</f>
        <v>5</v>
      </c>
      <c r="X314" s="67">
        <f>+VLOOKUP(Q314,COMISIONES!$C$2:$AO$33,39,0)</f>
        <v>20</v>
      </c>
      <c r="Y314" s="67">
        <f t="shared" si="4"/>
        <v>100</v>
      </c>
      <c r="Z314" s="58" t="s">
        <v>80</v>
      </c>
      <c r="AA314" s="13">
        <f>+VLOOKUP(Q314,COMISIONES!$C$2:$C$33,1,0)</f>
        <v>20008625</v>
      </c>
      <c r="AB314" s="13" t="s">
        <v>269</v>
      </c>
    </row>
    <row r="315" spans="1:28" hidden="1">
      <c r="A315" s="117" t="s">
        <v>821</v>
      </c>
      <c r="B315" s="138">
        <v>45153</v>
      </c>
      <c r="C315" s="117" t="s">
        <v>1766</v>
      </c>
      <c r="D315" s="117" t="s">
        <v>1767</v>
      </c>
      <c r="E315" s="117" t="s">
        <v>1768</v>
      </c>
      <c r="F315" s="117"/>
      <c r="G315" s="117" t="s">
        <v>43</v>
      </c>
      <c r="H315" s="117" t="s">
        <v>1</v>
      </c>
      <c r="I315"/>
      <c r="J315"/>
      <c r="K315" s="117" t="s">
        <v>105</v>
      </c>
      <c r="L315">
        <v>3</v>
      </c>
      <c r="M315" s="117" t="s">
        <v>159</v>
      </c>
      <c r="N315" s="117" t="s">
        <v>227</v>
      </c>
      <c r="O315" s="117" t="s">
        <v>49</v>
      </c>
      <c r="P315" s="117" t="s">
        <v>40</v>
      </c>
      <c r="Q315" s="139">
        <v>20009690</v>
      </c>
      <c r="R315" s="117" t="s">
        <v>78</v>
      </c>
      <c r="S315" s="117" t="s">
        <v>109</v>
      </c>
      <c r="T315" s="117" t="s">
        <v>109</v>
      </c>
      <c r="U315" s="117" t="s">
        <v>128</v>
      </c>
      <c r="V315" s="12">
        <f>+IFERROR(IF(VLOOKUP(Q315,COMISIONES!$C$2:$K$33,9,0)&gt;=VLOOKUP(TC!Q315,COMISIONES!$C$2:$I$33,7,0),1,0),0)</f>
        <v>0</v>
      </c>
      <c r="W315" s="262">
        <f>+IF(H315="Segunda",VLOOKUP(_xlfn.CONCAT(P315,G315,H315,V315),'PUNTOS 2021'!$E$23:$F$30,2,0),TC!L315)</f>
        <v>3</v>
      </c>
      <c r="X315" s="67">
        <f>+VLOOKUP(Q315,COMISIONES!$C$2:$AO$33,39,0)</f>
        <v>45</v>
      </c>
      <c r="Y315" s="67">
        <f t="shared" ref="Y315:Y375" si="5">X315*W315</f>
        <v>135</v>
      </c>
      <c r="Z315" s="58" t="s">
        <v>80</v>
      </c>
      <c r="AA315" s="13">
        <f>+VLOOKUP(Q315,COMISIONES!$C$2:$C$33,1,0)</f>
        <v>20009690</v>
      </c>
      <c r="AB315" s="13" t="s">
        <v>269</v>
      </c>
    </row>
    <row r="316" spans="1:28" hidden="1">
      <c r="A316" s="117" t="s">
        <v>821</v>
      </c>
      <c r="B316" s="138">
        <v>45153</v>
      </c>
      <c r="C316" s="117" t="s">
        <v>1769</v>
      </c>
      <c r="D316" s="117" t="s">
        <v>1770</v>
      </c>
      <c r="E316" s="117" t="s">
        <v>1771</v>
      </c>
      <c r="F316" s="117"/>
      <c r="G316" s="117" t="s">
        <v>45</v>
      </c>
      <c r="H316" s="117" t="s">
        <v>1</v>
      </c>
      <c r="I316"/>
      <c r="J316"/>
      <c r="K316" s="117" t="s">
        <v>105</v>
      </c>
      <c r="L316">
        <v>7</v>
      </c>
      <c r="M316" s="117" t="s">
        <v>122</v>
      </c>
      <c r="N316" s="117" t="s">
        <v>5</v>
      </c>
      <c r="O316" s="117" t="s">
        <v>50</v>
      </c>
      <c r="P316" s="117" t="s">
        <v>40</v>
      </c>
      <c r="Q316" s="139">
        <v>20004566</v>
      </c>
      <c r="R316" s="117" t="s">
        <v>78</v>
      </c>
      <c r="S316" s="117" t="s">
        <v>109</v>
      </c>
      <c r="T316" s="117" t="s">
        <v>109</v>
      </c>
      <c r="U316" s="117" t="s">
        <v>128</v>
      </c>
      <c r="V316" s="12">
        <f>+IFERROR(IF(VLOOKUP(Q316,COMISIONES!$C$2:$K$33,9,0)&gt;=VLOOKUP(TC!Q316,COMISIONES!$C$2:$I$33,7,0),1,0),0)</f>
        <v>1</v>
      </c>
      <c r="W316" s="262">
        <f>+IF(H316="Segunda",VLOOKUP(_xlfn.CONCAT(P316,G316,H316,V316),'PUNTOS 2021'!$E$23:$F$30,2,0),TC!L316)</f>
        <v>7</v>
      </c>
      <c r="X316" s="67">
        <f>+VLOOKUP(Q316,COMISIONES!$C$2:$AO$33,39,0)</f>
        <v>60</v>
      </c>
      <c r="Y316" s="67">
        <f t="shared" si="5"/>
        <v>420</v>
      </c>
      <c r="Z316" s="58" t="s">
        <v>80</v>
      </c>
      <c r="AA316" s="13">
        <f>+VLOOKUP(Q316,COMISIONES!$C$2:$C$33,1,0)</f>
        <v>20004566</v>
      </c>
      <c r="AB316" s="13" t="s">
        <v>269</v>
      </c>
    </row>
    <row r="317" spans="1:28" hidden="1">
      <c r="A317" s="117" t="s">
        <v>821</v>
      </c>
      <c r="B317" s="138">
        <v>45153</v>
      </c>
      <c r="C317" s="117" t="s">
        <v>1772</v>
      </c>
      <c r="D317" s="117" t="s">
        <v>1773</v>
      </c>
      <c r="E317" s="117" t="s">
        <v>1774</v>
      </c>
      <c r="F317" s="117"/>
      <c r="G317" s="117" t="s">
        <v>43</v>
      </c>
      <c r="H317" s="117" t="s">
        <v>1</v>
      </c>
      <c r="I317"/>
      <c r="J317"/>
      <c r="K317" s="117" t="s">
        <v>105</v>
      </c>
      <c r="L317">
        <v>3</v>
      </c>
      <c r="M317" s="117" t="s">
        <v>113</v>
      </c>
      <c r="N317" s="117" t="s">
        <v>12</v>
      </c>
      <c r="O317" s="117" t="s">
        <v>49</v>
      </c>
      <c r="P317" s="117" t="s">
        <v>40</v>
      </c>
      <c r="Q317" s="139">
        <v>20007726</v>
      </c>
      <c r="R317" s="117" t="s">
        <v>78</v>
      </c>
      <c r="S317" s="117" t="s">
        <v>109</v>
      </c>
      <c r="T317" s="117" t="s">
        <v>109</v>
      </c>
      <c r="U317" s="117" t="s">
        <v>128</v>
      </c>
      <c r="V317" s="12">
        <f>+IFERROR(IF(VLOOKUP(Q317,COMISIONES!$C$2:$K$33,9,0)&gt;=VLOOKUP(TC!Q317,COMISIONES!$C$2:$I$33,7,0),1,0),0)</f>
        <v>1</v>
      </c>
      <c r="W317" s="262">
        <f>+IF(H317="Segunda",VLOOKUP(_xlfn.CONCAT(P317,G317,H317,V317),'PUNTOS 2021'!$E$23:$F$30,2,0),TC!L317)</f>
        <v>3</v>
      </c>
      <c r="X317" s="67">
        <f>+VLOOKUP(Q317,COMISIONES!$C$2:$AO$33,39,0)</f>
        <v>65</v>
      </c>
      <c r="Y317" s="67">
        <f t="shared" si="5"/>
        <v>195</v>
      </c>
      <c r="Z317" s="58" t="s">
        <v>80</v>
      </c>
      <c r="AA317" s="13">
        <f>+VLOOKUP(Q317,COMISIONES!$C$2:$C$33,1,0)</f>
        <v>20007726</v>
      </c>
      <c r="AB317" s="13" t="s">
        <v>269</v>
      </c>
    </row>
    <row r="318" spans="1:28">
      <c r="A318" s="117" t="s">
        <v>821</v>
      </c>
      <c r="B318" s="138">
        <v>45153</v>
      </c>
      <c r="C318" s="117" t="s">
        <v>1775</v>
      </c>
      <c r="D318" s="117" t="s">
        <v>1776</v>
      </c>
      <c r="E318" s="117" t="s">
        <v>1777</v>
      </c>
      <c r="F318" s="117"/>
      <c r="G318" s="117" t="s">
        <v>45</v>
      </c>
      <c r="H318" s="117" t="s">
        <v>2</v>
      </c>
      <c r="I318"/>
      <c r="J318"/>
      <c r="K318" s="117" t="s">
        <v>105</v>
      </c>
      <c r="L318">
        <v>2</v>
      </c>
      <c r="M318" s="117" t="s">
        <v>255</v>
      </c>
      <c r="N318" s="117" t="s">
        <v>4</v>
      </c>
      <c r="O318" s="117" t="s">
        <v>51</v>
      </c>
      <c r="P318" s="117" t="s">
        <v>40</v>
      </c>
      <c r="Q318" s="139">
        <v>20000033</v>
      </c>
      <c r="R318" s="117" t="s">
        <v>78</v>
      </c>
      <c r="S318" s="117" t="s">
        <v>109</v>
      </c>
      <c r="T318" s="117" t="s">
        <v>109</v>
      </c>
      <c r="U318" s="117" t="s">
        <v>128</v>
      </c>
      <c r="V318" s="12">
        <f>+IFERROR(IF(VLOOKUP(Q318,COMISIONES!$C$2:$K$33,9,0)&gt;=VLOOKUP(TC!Q318,COMISIONES!$C$2:$I$33,7,0),1,0),0)</f>
        <v>1</v>
      </c>
      <c r="W318" s="262">
        <f>+IF(H318="Segunda",VLOOKUP(_xlfn.CONCAT(P318,G318,H318,V318),'PUNTOS 2021'!$E$23:$F$30,2,0),TC!L318)</f>
        <v>2</v>
      </c>
      <c r="X318" s="67">
        <f>+VLOOKUP(Q318,COMISIONES!$C$2:$AO$33,39,0)</f>
        <v>60</v>
      </c>
      <c r="Y318" s="67">
        <f t="shared" si="5"/>
        <v>120</v>
      </c>
      <c r="Z318" s="58" t="s">
        <v>80</v>
      </c>
      <c r="AA318" s="13">
        <f>+VLOOKUP(Q318,COMISIONES!$C$2:$C$33,1,0)</f>
        <v>20000033</v>
      </c>
      <c r="AB318" s="13" t="s">
        <v>269</v>
      </c>
    </row>
    <row r="319" spans="1:28" hidden="1">
      <c r="A319" s="117" t="s">
        <v>821</v>
      </c>
      <c r="B319" s="138">
        <v>45153</v>
      </c>
      <c r="C319" s="117" t="s">
        <v>1778</v>
      </c>
      <c r="D319" s="117" t="s">
        <v>1779</v>
      </c>
      <c r="E319" s="117" t="s">
        <v>1780</v>
      </c>
      <c r="F319" s="117"/>
      <c r="G319" s="117" t="s">
        <v>45</v>
      </c>
      <c r="H319" s="117" t="s">
        <v>1</v>
      </c>
      <c r="I319"/>
      <c r="J319"/>
      <c r="K319" s="117" t="s">
        <v>105</v>
      </c>
      <c r="L319">
        <v>7</v>
      </c>
      <c r="M319" s="117" t="s">
        <v>110</v>
      </c>
      <c r="N319" s="117" t="s">
        <v>10</v>
      </c>
      <c r="O319" s="117" t="s">
        <v>51</v>
      </c>
      <c r="P319" s="117" t="s">
        <v>40</v>
      </c>
      <c r="Q319" s="139">
        <v>20000661</v>
      </c>
      <c r="R319" s="117" t="s">
        <v>78</v>
      </c>
      <c r="S319" s="117" t="s">
        <v>109</v>
      </c>
      <c r="T319" s="117" t="s">
        <v>109</v>
      </c>
      <c r="U319" s="117" t="s">
        <v>128</v>
      </c>
      <c r="V319" s="12">
        <f>+IFERROR(IF(VLOOKUP(Q319,COMISIONES!$C$2:$K$33,9,0)&gt;=VLOOKUP(TC!Q319,COMISIONES!$C$2:$I$33,7,0),1,0),0)</f>
        <v>1</v>
      </c>
      <c r="W319" s="262">
        <f>+IF(H319="Segunda",VLOOKUP(_xlfn.CONCAT(P319,G319,H319,V319),'PUNTOS 2021'!$E$23:$F$30,2,0),TC!L319)</f>
        <v>7</v>
      </c>
      <c r="X319" s="67">
        <f>+VLOOKUP(Q319,COMISIONES!$C$2:$AO$33,39,0)</f>
        <v>60</v>
      </c>
      <c r="Y319" s="67">
        <f t="shared" si="5"/>
        <v>420</v>
      </c>
      <c r="Z319" s="58" t="s">
        <v>80</v>
      </c>
      <c r="AA319" s="13">
        <f>+VLOOKUP(Q319,COMISIONES!$C$2:$C$33,1,0)</f>
        <v>20000661</v>
      </c>
      <c r="AB319" s="13" t="s">
        <v>269</v>
      </c>
    </row>
    <row r="320" spans="1:28" hidden="1">
      <c r="A320" s="117" t="s">
        <v>821</v>
      </c>
      <c r="B320" s="138">
        <v>45153</v>
      </c>
      <c r="C320" s="117" t="s">
        <v>1781</v>
      </c>
      <c r="D320" s="117" t="s">
        <v>1782</v>
      </c>
      <c r="E320" s="117" t="s">
        <v>1783</v>
      </c>
      <c r="F320" s="117"/>
      <c r="G320" s="117" t="s">
        <v>45</v>
      </c>
      <c r="H320" s="117" t="s">
        <v>1</v>
      </c>
      <c r="I320"/>
      <c r="J320"/>
      <c r="K320" s="117" t="s">
        <v>105</v>
      </c>
      <c r="L320">
        <v>7</v>
      </c>
      <c r="M320" s="117" t="s">
        <v>258</v>
      </c>
      <c r="N320" s="117" t="s">
        <v>237</v>
      </c>
      <c r="O320" s="117" t="s">
        <v>51</v>
      </c>
      <c r="P320" s="117" t="s">
        <v>40</v>
      </c>
      <c r="Q320" s="139">
        <v>20006893</v>
      </c>
      <c r="R320" s="117" t="s">
        <v>78</v>
      </c>
      <c r="S320" s="117" t="s">
        <v>109</v>
      </c>
      <c r="T320" s="117" t="s">
        <v>109</v>
      </c>
      <c r="U320" s="117" t="s">
        <v>128</v>
      </c>
      <c r="V320" s="12">
        <f>+IFERROR(IF(VLOOKUP(Q320,COMISIONES!$C$2:$K$33,9,0)&gt;=VLOOKUP(TC!Q320,COMISIONES!$C$2:$I$33,7,0),1,0),0)</f>
        <v>0</v>
      </c>
      <c r="W320" s="262">
        <f>+IF(H320="Segunda",VLOOKUP(_xlfn.CONCAT(P320,G320,H320,V320),'PUNTOS 2021'!$E$23:$F$30,2,0),TC!L320)</f>
        <v>7</v>
      </c>
      <c r="X320" s="67">
        <f>+VLOOKUP(Q320,COMISIONES!$C$2:$AO$33,39,0)</f>
        <v>40</v>
      </c>
      <c r="Y320" s="67">
        <f t="shared" si="5"/>
        <v>280</v>
      </c>
      <c r="Z320" s="58" t="s">
        <v>80</v>
      </c>
      <c r="AA320" s="13">
        <f>+VLOOKUP(Q320,COMISIONES!$C$2:$C$33,1,0)</f>
        <v>20006893</v>
      </c>
      <c r="AB320" s="13" t="s">
        <v>269</v>
      </c>
    </row>
    <row r="321" spans="1:28" hidden="1">
      <c r="A321" s="117" t="s">
        <v>821</v>
      </c>
      <c r="B321" s="138">
        <v>45153</v>
      </c>
      <c r="C321" s="117" t="s">
        <v>1784</v>
      </c>
      <c r="D321" s="117" t="s">
        <v>1785</v>
      </c>
      <c r="E321" s="117" t="s">
        <v>1786</v>
      </c>
      <c r="F321" s="117"/>
      <c r="G321" s="117" t="s">
        <v>45</v>
      </c>
      <c r="H321" s="117" t="s">
        <v>1</v>
      </c>
      <c r="I321"/>
      <c r="J321"/>
      <c r="K321" s="117" t="s">
        <v>105</v>
      </c>
      <c r="L321">
        <v>7</v>
      </c>
      <c r="M321" s="117" t="s">
        <v>122</v>
      </c>
      <c r="N321" s="117" t="s">
        <v>5</v>
      </c>
      <c r="O321" s="117" t="s">
        <v>50</v>
      </c>
      <c r="P321" s="117" t="s">
        <v>40</v>
      </c>
      <c r="Q321" s="139">
        <v>20004566</v>
      </c>
      <c r="R321" s="117" t="s">
        <v>78</v>
      </c>
      <c r="S321" s="117" t="s">
        <v>109</v>
      </c>
      <c r="T321" s="117" t="s">
        <v>109</v>
      </c>
      <c r="U321" s="117" t="s">
        <v>128</v>
      </c>
      <c r="V321" s="12">
        <f>+IFERROR(IF(VLOOKUP(Q321,COMISIONES!$C$2:$K$33,9,0)&gt;=VLOOKUP(TC!Q321,COMISIONES!$C$2:$I$33,7,0),1,0),0)</f>
        <v>1</v>
      </c>
      <c r="W321" s="262">
        <f>+IF(H321="Segunda",VLOOKUP(_xlfn.CONCAT(P321,G321,H321,V321),'PUNTOS 2021'!$E$23:$F$30,2,0),TC!L321)</f>
        <v>7</v>
      </c>
      <c r="X321" s="67">
        <f>+VLOOKUP(Q321,COMISIONES!$C$2:$AO$33,39,0)</f>
        <v>60</v>
      </c>
      <c r="Y321" s="67">
        <f t="shared" si="5"/>
        <v>420</v>
      </c>
      <c r="Z321" s="58" t="s">
        <v>80</v>
      </c>
      <c r="AA321" s="13">
        <f>+VLOOKUP(Q321,COMISIONES!$C$2:$C$33,1,0)</f>
        <v>20004566</v>
      </c>
      <c r="AB321" s="13" t="s">
        <v>269</v>
      </c>
    </row>
    <row r="322" spans="1:28">
      <c r="A322" s="117" t="s">
        <v>821</v>
      </c>
      <c r="B322" s="138">
        <v>45153</v>
      </c>
      <c r="C322" s="117" t="s">
        <v>1787</v>
      </c>
      <c r="D322" s="117" t="s">
        <v>1788</v>
      </c>
      <c r="E322" s="117" t="s">
        <v>1789</v>
      </c>
      <c r="F322" s="117"/>
      <c r="G322" s="117" t="s">
        <v>45</v>
      </c>
      <c r="H322" s="117" t="s">
        <v>2</v>
      </c>
      <c r="I322"/>
      <c r="J322"/>
      <c r="K322" s="117" t="s">
        <v>105</v>
      </c>
      <c r="L322">
        <v>2</v>
      </c>
      <c r="M322" s="117" t="s">
        <v>121</v>
      </c>
      <c r="N322" s="117" t="s">
        <v>3</v>
      </c>
      <c r="O322" s="117" t="s">
        <v>49</v>
      </c>
      <c r="P322" s="117" t="s">
        <v>40</v>
      </c>
      <c r="Q322" s="139">
        <v>20004161</v>
      </c>
      <c r="R322" s="117" t="s">
        <v>78</v>
      </c>
      <c r="S322" s="117" t="s">
        <v>109</v>
      </c>
      <c r="T322" s="117" t="s">
        <v>109</v>
      </c>
      <c r="U322" s="117" t="s">
        <v>128</v>
      </c>
      <c r="V322" s="12">
        <f>+IFERROR(IF(VLOOKUP(Q322,COMISIONES!$C$2:$K$33,9,0)&gt;=VLOOKUP(TC!Q322,COMISIONES!$C$2:$I$33,7,0),1,0),0)</f>
        <v>1</v>
      </c>
      <c r="W322" s="262">
        <f>+IF(H322="Segunda",VLOOKUP(_xlfn.CONCAT(P322,G322,H322,V322),'PUNTOS 2021'!$E$23:$F$30,2,0),TC!L322)</f>
        <v>2</v>
      </c>
      <c r="X322" s="67">
        <f>+VLOOKUP(Q322,COMISIONES!$C$2:$AO$33,39,0)</f>
        <v>65</v>
      </c>
      <c r="Y322" s="67">
        <f t="shared" si="5"/>
        <v>130</v>
      </c>
      <c r="Z322" s="58" t="s">
        <v>80</v>
      </c>
      <c r="AA322" s="13">
        <f>+VLOOKUP(Q322,COMISIONES!$C$2:$C$33,1,0)</f>
        <v>20004161</v>
      </c>
      <c r="AB322" s="13" t="s">
        <v>269</v>
      </c>
    </row>
    <row r="323" spans="1:28" hidden="1">
      <c r="A323" s="117" t="s">
        <v>821</v>
      </c>
      <c r="B323" s="138">
        <v>45153</v>
      </c>
      <c r="C323" s="117" t="s">
        <v>1790</v>
      </c>
      <c r="D323" s="117" t="s">
        <v>1791</v>
      </c>
      <c r="E323" s="117" t="s">
        <v>1792</v>
      </c>
      <c r="F323" s="117"/>
      <c r="G323" s="117" t="s">
        <v>43</v>
      </c>
      <c r="H323" s="117" t="s">
        <v>1</v>
      </c>
      <c r="I323"/>
      <c r="J323"/>
      <c r="K323" s="117" t="s">
        <v>105</v>
      </c>
      <c r="L323">
        <v>3</v>
      </c>
      <c r="M323" s="117" t="s">
        <v>159</v>
      </c>
      <c r="N323" s="117" t="s">
        <v>227</v>
      </c>
      <c r="O323" s="117" t="s">
        <v>49</v>
      </c>
      <c r="P323" s="117" t="s">
        <v>40</v>
      </c>
      <c r="Q323" s="139">
        <v>20009690</v>
      </c>
      <c r="R323" s="117" t="s">
        <v>78</v>
      </c>
      <c r="S323" s="117" t="s">
        <v>109</v>
      </c>
      <c r="T323" s="117" t="s">
        <v>109</v>
      </c>
      <c r="U323" s="117" t="s">
        <v>128</v>
      </c>
      <c r="V323" s="12">
        <f>+IFERROR(IF(VLOOKUP(Q323,COMISIONES!$C$2:$K$33,9,0)&gt;=VLOOKUP(TC!Q323,COMISIONES!$C$2:$I$33,7,0),1,0),0)</f>
        <v>0</v>
      </c>
      <c r="W323" s="262">
        <f>+IF(H323="Segunda",VLOOKUP(_xlfn.CONCAT(P323,G323,H323,V323),'PUNTOS 2021'!$E$23:$F$30,2,0),TC!L323)</f>
        <v>3</v>
      </c>
      <c r="X323" s="67">
        <f>+VLOOKUP(Q323,COMISIONES!$C$2:$AO$33,39,0)</f>
        <v>45</v>
      </c>
      <c r="Y323" s="67">
        <f t="shared" si="5"/>
        <v>135</v>
      </c>
      <c r="Z323" s="58" t="s">
        <v>80</v>
      </c>
      <c r="AA323" s="13">
        <f>+VLOOKUP(Q323,COMISIONES!$C$2:$C$33,1,0)</f>
        <v>20009690</v>
      </c>
      <c r="AB323" s="13" t="s">
        <v>269</v>
      </c>
    </row>
    <row r="324" spans="1:28" hidden="1">
      <c r="A324" s="117" t="s">
        <v>821</v>
      </c>
      <c r="B324" s="138">
        <v>45153</v>
      </c>
      <c r="C324" s="117" t="s">
        <v>1793</v>
      </c>
      <c r="D324" s="117" t="s">
        <v>1794</v>
      </c>
      <c r="E324" s="117" t="s">
        <v>1795</v>
      </c>
      <c r="F324" s="117"/>
      <c r="G324" s="117" t="s">
        <v>44</v>
      </c>
      <c r="H324" s="117" t="s">
        <v>1</v>
      </c>
      <c r="I324"/>
      <c r="J324"/>
      <c r="K324" s="117" t="s">
        <v>105</v>
      </c>
      <c r="L324">
        <v>5</v>
      </c>
      <c r="M324" s="117" t="s">
        <v>127</v>
      </c>
      <c r="N324" s="117" t="s">
        <v>16</v>
      </c>
      <c r="O324" s="117" t="s">
        <v>49</v>
      </c>
      <c r="P324" s="117" t="s">
        <v>40</v>
      </c>
      <c r="Q324" s="139">
        <v>20002708</v>
      </c>
      <c r="R324" s="117" t="s">
        <v>78</v>
      </c>
      <c r="S324" s="117" t="s">
        <v>109</v>
      </c>
      <c r="T324" s="117" t="s">
        <v>109</v>
      </c>
      <c r="U324" s="117" t="s">
        <v>128</v>
      </c>
      <c r="V324" s="12">
        <f>+IFERROR(IF(VLOOKUP(Q324,COMISIONES!$C$2:$K$33,9,0)&gt;=VLOOKUP(TC!Q324,COMISIONES!$C$2:$I$33,7,0),1,0),0)</f>
        <v>0</v>
      </c>
      <c r="W324" s="262">
        <f>+IF(H324="Segunda",VLOOKUP(_xlfn.CONCAT(P324,G324,H324,V324),'PUNTOS 2021'!$E$23:$F$30,2,0),TC!L324)</f>
        <v>5</v>
      </c>
      <c r="X324" s="67">
        <f>+VLOOKUP(Q324,COMISIONES!$C$2:$AO$33,39,0)</f>
        <v>60</v>
      </c>
      <c r="Y324" s="67">
        <f t="shared" si="5"/>
        <v>300</v>
      </c>
      <c r="Z324" s="58" t="s">
        <v>80</v>
      </c>
      <c r="AA324" s="13">
        <f>+VLOOKUP(Q324,COMISIONES!$C$2:$C$33,1,0)</f>
        <v>20002708</v>
      </c>
      <c r="AB324" s="13" t="s">
        <v>269</v>
      </c>
    </row>
    <row r="325" spans="1:28">
      <c r="A325" s="117" t="s">
        <v>821</v>
      </c>
      <c r="B325" s="138">
        <v>45153</v>
      </c>
      <c r="C325" s="117" t="s">
        <v>1796</v>
      </c>
      <c r="D325" s="117" t="s">
        <v>1797</v>
      </c>
      <c r="E325" s="117" t="s">
        <v>1798</v>
      </c>
      <c r="F325" s="117"/>
      <c r="G325" s="117" t="s">
        <v>44</v>
      </c>
      <c r="H325" s="117" t="s">
        <v>2</v>
      </c>
      <c r="I325"/>
      <c r="J325"/>
      <c r="K325" s="117" t="s">
        <v>105</v>
      </c>
      <c r="L325">
        <v>1</v>
      </c>
      <c r="M325" s="117" t="s">
        <v>125</v>
      </c>
      <c r="N325" s="117" t="s">
        <v>18</v>
      </c>
      <c r="O325" s="117" t="s">
        <v>50</v>
      </c>
      <c r="P325" s="117" t="s">
        <v>40</v>
      </c>
      <c r="Q325" s="139">
        <v>20008439</v>
      </c>
      <c r="R325" s="117" t="s">
        <v>78</v>
      </c>
      <c r="S325" s="117" t="s">
        <v>109</v>
      </c>
      <c r="T325" s="117" t="s">
        <v>109</v>
      </c>
      <c r="U325" s="117" t="s">
        <v>128</v>
      </c>
      <c r="V325" s="12">
        <f>+IFERROR(IF(VLOOKUP(Q325,COMISIONES!$C$2:$K$33,9,0)&gt;=VLOOKUP(TC!Q325,COMISIONES!$C$2:$I$33,7,0),1,0),0)</f>
        <v>1</v>
      </c>
      <c r="W325" s="262">
        <f>+IF(H325="Segunda",VLOOKUP(_xlfn.CONCAT(P325,G325,H325,V325),'PUNTOS 2021'!$E$23:$F$30,2,0),TC!L325)</f>
        <v>1</v>
      </c>
      <c r="X325" s="67">
        <f>+VLOOKUP(Q325,COMISIONES!$C$2:$AO$33,39,0)</f>
        <v>60</v>
      </c>
      <c r="Y325" s="67">
        <f t="shared" si="5"/>
        <v>60</v>
      </c>
      <c r="Z325" s="58" t="s">
        <v>80</v>
      </c>
      <c r="AA325" s="13">
        <f>+VLOOKUP(Q325,COMISIONES!$C$2:$C$33,1,0)</f>
        <v>20008439</v>
      </c>
      <c r="AB325" s="13" t="s">
        <v>269</v>
      </c>
    </row>
    <row r="326" spans="1:28" hidden="1">
      <c r="A326" s="117" t="s">
        <v>821</v>
      </c>
      <c r="B326" s="138">
        <v>45153</v>
      </c>
      <c r="C326" s="117" t="s">
        <v>1799</v>
      </c>
      <c r="D326" s="117" t="s">
        <v>1800</v>
      </c>
      <c r="E326" s="117" t="s">
        <v>1801</v>
      </c>
      <c r="F326" s="117"/>
      <c r="G326" s="117" t="s">
        <v>44</v>
      </c>
      <c r="H326" s="117" t="s">
        <v>1</v>
      </c>
      <c r="I326"/>
      <c r="J326"/>
      <c r="K326" s="117" t="s">
        <v>105</v>
      </c>
      <c r="L326">
        <v>5</v>
      </c>
      <c r="M326" s="117" t="s">
        <v>121</v>
      </c>
      <c r="N326" s="117" t="s">
        <v>3</v>
      </c>
      <c r="O326" s="117" t="s">
        <v>49</v>
      </c>
      <c r="P326" s="117" t="s">
        <v>40</v>
      </c>
      <c r="Q326" s="139">
        <v>20004161</v>
      </c>
      <c r="R326" s="117" t="s">
        <v>78</v>
      </c>
      <c r="S326" s="117" t="s">
        <v>109</v>
      </c>
      <c r="T326" s="117" t="s">
        <v>109</v>
      </c>
      <c r="U326" s="117" t="s">
        <v>128</v>
      </c>
      <c r="V326" s="12">
        <f>+IFERROR(IF(VLOOKUP(Q326,COMISIONES!$C$2:$K$33,9,0)&gt;=VLOOKUP(TC!Q326,COMISIONES!$C$2:$I$33,7,0),1,0),0)</f>
        <v>1</v>
      </c>
      <c r="W326" s="262">
        <f>+IF(H326="Segunda",VLOOKUP(_xlfn.CONCAT(P326,G326,H326,V326),'PUNTOS 2021'!$E$23:$F$30,2,0),TC!L326)</f>
        <v>5</v>
      </c>
      <c r="X326" s="67">
        <f>+VLOOKUP(Q326,COMISIONES!$C$2:$AO$33,39,0)</f>
        <v>65</v>
      </c>
      <c r="Y326" s="67">
        <f t="shared" si="5"/>
        <v>325</v>
      </c>
      <c r="Z326" s="58" t="s">
        <v>80</v>
      </c>
      <c r="AA326" s="13">
        <f>+VLOOKUP(Q326,COMISIONES!$C$2:$C$33,1,0)</f>
        <v>20004161</v>
      </c>
      <c r="AB326" s="13" t="s">
        <v>269</v>
      </c>
    </row>
    <row r="327" spans="1:28" hidden="1">
      <c r="A327" s="117" t="s">
        <v>821</v>
      </c>
      <c r="B327" s="138">
        <v>45153</v>
      </c>
      <c r="C327" s="117" t="s">
        <v>1802</v>
      </c>
      <c r="D327" s="117" t="s">
        <v>1803</v>
      </c>
      <c r="E327" s="117" t="s">
        <v>1804</v>
      </c>
      <c r="F327" s="117"/>
      <c r="G327" s="117" t="s">
        <v>44</v>
      </c>
      <c r="H327" s="117" t="s">
        <v>1</v>
      </c>
      <c r="I327"/>
      <c r="J327"/>
      <c r="K327" s="117" t="s">
        <v>105</v>
      </c>
      <c r="L327">
        <v>5</v>
      </c>
      <c r="M327" s="117" t="s">
        <v>113</v>
      </c>
      <c r="N327" s="117" t="s">
        <v>12</v>
      </c>
      <c r="O327" s="117" t="s">
        <v>49</v>
      </c>
      <c r="P327" s="117" t="s">
        <v>40</v>
      </c>
      <c r="Q327" s="139">
        <v>20007726</v>
      </c>
      <c r="R327" s="117" t="s">
        <v>78</v>
      </c>
      <c r="S327" s="117" t="s">
        <v>109</v>
      </c>
      <c r="T327" s="117" t="s">
        <v>109</v>
      </c>
      <c r="U327" s="117" t="s">
        <v>128</v>
      </c>
      <c r="V327" s="12">
        <f>+IFERROR(IF(VLOOKUP(Q327,COMISIONES!$C$2:$K$33,9,0)&gt;=VLOOKUP(TC!Q327,COMISIONES!$C$2:$I$33,7,0),1,0),0)</f>
        <v>1</v>
      </c>
      <c r="W327" s="262">
        <f>+IF(H327="Segunda",VLOOKUP(_xlfn.CONCAT(P327,G327,H327,V327),'PUNTOS 2021'!$E$23:$F$30,2,0),TC!L327)</f>
        <v>5</v>
      </c>
      <c r="X327" s="67">
        <f>+VLOOKUP(Q327,COMISIONES!$C$2:$AO$33,39,0)</f>
        <v>65</v>
      </c>
      <c r="Y327" s="67">
        <f t="shared" si="5"/>
        <v>325</v>
      </c>
      <c r="Z327" s="58" t="s">
        <v>80</v>
      </c>
      <c r="AA327" s="13">
        <f>+VLOOKUP(Q327,COMISIONES!$C$2:$C$33,1,0)</f>
        <v>20007726</v>
      </c>
      <c r="AB327" s="13" t="s">
        <v>269</v>
      </c>
    </row>
    <row r="328" spans="1:28" hidden="1">
      <c r="A328" s="117" t="s">
        <v>821</v>
      </c>
      <c r="B328" s="138">
        <v>45153</v>
      </c>
      <c r="C328" s="117" t="s">
        <v>1805</v>
      </c>
      <c r="D328" s="117" t="s">
        <v>1806</v>
      </c>
      <c r="E328" s="117" t="s">
        <v>1807</v>
      </c>
      <c r="F328" s="117"/>
      <c r="G328" s="117" t="s">
        <v>44</v>
      </c>
      <c r="H328" s="117" t="s">
        <v>1</v>
      </c>
      <c r="I328"/>
      <c r="J328"/>
      <c r="K328" s="117" t="s">
        <v>105</v>
      </c>
      <c r="L328">
        <v>5</v>
      </c>
      <c r="M328" s="117" t="s">
        <v>260</v>
      </c>
      <c r="N328" s="117" t="s">
        <v>261</v>
      </c>
      <c r="O328" s="117" t="s">
        <v>52</v>
      </c>
      <c r="P328" s="117" t="s">
        <v>40</v>
      </c>
      <c r="Q328" s="139">
        <v>20010262</v>
      </c>
      <c r="R328" s="117" t="s">
        <v>78</v>
      </c>
      <c r="S328" s="117" t="s">
        <v>109</v>
      </c>
      <c r="T328" s="117" t="s">
        <v>109</v>
      </c>
      <c r="U328" s="117" t="s">
        <v>128</v>
      </c>
      <c r="V328" s="12">
        <f>+IFERROR(IF(VLOOKUP(Q328,COMISIONES!$C$2:$K$33,9,0)&gt;=VLOOKUP(TC!Q328,COMISIONES!$C$2:$I$33,7,0),1,0),0)</f>
        <v>0</v>
      </c>
      <c r="W328" s="262">
        <f>+IF(H328="Segunda",VLOOKUP(_xlfn.CONCAT(P328,G328,H328,V328),'PUNTOS 2021'!$E$23:$F$30,2,0),TC!L328)</f>
        <v>5</v>
      </c>
      <c r="X328" s="67">
        <f>+VLOOKUP(Q328,COMISIONES!$C$2:$AO$33,39,0)</f>
        <v>60</v>
      </c>
      <c r="Y328" s="67">
        <f t="shared" si="5"/>
        <v>300</v>
      </c>
      <c r="Z328" s="58" t="s">
        <v>80</v>
      </c>
      <c r="AA328" s="13">
        <f>+VLOOKUP(Q328,COMISIONES!$C$2:$C$33,1,0)</f>
        <v>20010262</v>
      </c>
      <c r="AB328" s="13" t="s">
        <v>269</v>
      </c>
    </row>
    <row r="329" spans="1:28" hidden="1">
      <c r="A329" s="117" t="s">
        <v>821</v>
      </c>
      <c r="B329" s="138">
        <v>45153</v>
      </c>
      <c r="C329" s="117" t="s">
        <v>1808</v>
      </c>
      <c r="D329" s="117" t="s">
        <v>1809</v>
      </c>
      <c r="E329" s="117" t="s">
        <v>1810</v>
      </c>
      <c r="F329" s="117"/>
      <c r="G329" s="117" t="s">
        <v>44</v>
      </c>
      <c r="H329" s="117" t="s">
        <v>1</v>
      </c>
      <c r="I329"/>
      <c r="J329"/>
      <c r="K329" s="117" t="s">
        <v>105</v>
      </c>
      <c r="L329">
        <v>5</v>
      </c>
      <c r="M329" s="117" t="s">
        <v>413</v>
      </c>
      <c r="N329" s="117" t="s">
        <v>390</v>
      </c>
      <c r="O329" s="117" t="s">
        <v>49</v>
      </c>
      <c r="P329" s="117" t="s">
        <v>40</v>
      </c>
      <c r="Q329" s="139">
        <v>20010617</v>
      </c>
      <c r="R329" s="117" t="s">
        <v>78</v>
      </c>
      <c r="S329" s="117" t="s">
        <v>109</v>
      </c>
      <c r="T329" s="117" t="s">
        <v>109</v>
      </c>
      <c r="U329" s="117" t="s">
        <v>128</v>
      </c>
      <c r="V329" s="12">
        <f>+IFERROR(IF(VLOOKUP(Q329,COMISIONES!$C$2:$K$33,9,0)&gt;=VLOOKUP(TC!Q329,COMISIONES!$C$2:$I$33,7,0),1,0),0)</f>
        <v>0</v>
      </c>
      <c r="W329" s="262">
        <f>+IF(H329="Segunda",VLOOKUP(_xlfn.CONCAT(P329,G329,H329,V329),'PUNTOS 2021'!$E$23:$F$30,2,0),TC!L329)</f>
        <v>5</v>
      </c>
      <c r="X329" s="67">
        <f>+VLOOKUP(Q329,COMISIONES!$C$2:$AO$33,39,0)</f>
        <v>18</v>
      </c>
      <c r="Y329" s="67">
        <f t="shared" si="5"/>
        <v>90</v>
      </c>
      <c r="Z329" s="58" t="s">
        <v>80</v>
      </c>
      <c r="AA329" s="13">
        <f>+VLOOKUP(Q329,COMISIONES!$C$2:$C$33,1,0)</f>
        <v>20010617</v>
      </c>
      <c r="AB329" s="13" t="s">
        <v>269</v>
      </c>
    </row>
    <row r="330" spans="1:28">
      <c r="A330" s="117" t="s">
        <v>821</v>
      </c>
      <c r="B330" s="138">
        <v>45153</v>
      </c>
      <c r="C330" s="117" t="s">
        <v>1811</v>
      </c>
      <c r="D330" s="117" t="s">
        <v>1812</v>
      </c>
      <c r="E330" s="117" t="s">
        <v>1813</v>
      </c>
      <c r="F330" s="117"/>
      <c r="G330" s="117" t="s">
        <v>44</v>
      </c>
      <c r="H330" s="117" t="s">
        <v>2</v>
      </c>
      <c r="I330"/>
      <c r="J330"/>
      <c r="K330" s="117" t="s">
        <v>105</v>
      </c>
      <c r="L330">
        <v>1</v>
      </c>
      <c r="M330" s="117" t="s">
        <v>256</v>
      </c>
      <c r="N330" s="117" t="s">
        <v>236</v>
      </c>
      <c r="O330" s="117" t="s">
        <v>49</v>
      </c>
      <c r="P330" s="117" t="s">
        <v>40</v>
      </c>
      <c r="Q330" s="139">
        <v>20010101</v>
      </c>
      <c r="R330" s="117" t="s">
        <v>78</v>
      </c>
      <c r="S330" s="117" t="s">
        <v>109</v>
      </c>
      <c r="T330" s="117" t="s">
        <v>109</v>
      </c>
      <c r="U330" s="117" t="s">
        <v>128</v>
      </c>
      <c r="V330" s="12">
        <f>+IFERROR(IF(VLOOKUP(Q330,COMISIONES!$C$2:$K$33,9,0)&gt;=VLOOKUP(TC!Q330,COMISIONES!$C$2:$I$33,7,0),1,0),0)</f>
        <v>0</v>
      </c>
      <c r="W330" s="262">
        <f>+IF(H330="Segunda",VLOOKUP(_xlfn.CONCAT(P330,G330,H330,V330),'PUNTOS 2021'!$E$23:$F$30,2,0),TC!L330)</f>
        <v>0.5</v>
      </c>
      <c r="X330" s="67">
        <f>+VLOOKUP(Q330,COMISIONES!$C$2:$AO$33,39,0)</f>
        <v>65</v>
      </c>
      <c r="Y330" s="67">
        <f t="shared" si="5"/>
        <v>32.5</v>
      </c>
      <c r="Z330" s="58" t="s">
        <v>80</v>
      </c>
      <c r="AA330" s="13">
        <f>+VLOOKUP(Q330,COMISIONES!$C$2:$C$33,1,0)</f>
        <v>20010101</v>
      </c>
      <c r="AB330" s="13" t="s">
        <v>269</v>
      </c>
    </row>
    <row r="331" spans="1:28" hidden="1">
      <c r="A331" s="117" t="s">
        <v>821</v>
      </c>
      <c r="B331" s="138">
        <v>45154</v>
      </c>
      <c r="C331" s="117" t="s">
        <v>1814</v>
      </c>
      <c r="D331" s="117" t="s">
        <v>1815</v>
      </c>
      <c r="E331" s="117" t="s">
        <v>1816</v>
      </c>
      <c r="F331" s="117"/>
      <c r="G331" s="117" t="s">
        <v>44</v>
      </c>
      <c r="H331" s="117" t="s">
        <v>1</v>
      </c>
      <c r="I331"/>
      <c r="J331"/>
      <c r="K331" s="117" t="s">
        <v>105</v>
      </c>
      <c r="L331">
        <v>5</v>
      </c>
      <c r="M331" s="117" t="s">
        <v>255</v>
      </c>
      <c r="N331" s="117" t="s">
        <v>4</v>
      </c>
      <c r="O331" s="117" t="s">
        <v>51</v>
      </c>
      <c r="P331" s="117" t="s">
        <v>40</v>
      </c>
      <c r="Q331" s="139">
        <v>20000033</v>
      </c>
      <c r="R331" s="117" t="s">
        <v>78</v>
      </c>
      <c r="S331" s="117" t="s">
        <v>109</v>
      </c>
      <c r="T331" s="117" t="s">
        <v>109</v>
      </c>
      <c r="U331" s="117" t="s">
        <v>128</v>
      </c>
      <c r="V331" s="12">
        <f>+IFERROR(IF(VLOOKUP(Q331,COMISIONES!$C$2:$K$33,9,0)&gt;=VLOOKUP(TC!Q331,COMISIONES!$C$2:$I$33,7,0),1,0),0)</f>
        <v>1</v>
      </c>
      <c r="W331" s="262">
        <f>+IF(H331="Segunda",VLOOKUP(_xlfn.CONCAT(P331,G331,H331,V331),'PUNTOS 2021'!$E$23:$F$30,2,0),TC!L331)</f>
        <v>5</v>
      </c>
      <c r="X331" s="67">
        <f>+VLOOKUP(Q331,COMISIONES!$C$2:$AO$33,39,0)</f>
        <v>60</v>
      </c>
      <c r="Y331" s="67">
        <f t="shared" si="5"/>
        <v>300</v>
      </c>
      <c r="Z331" s="58" t="s">
        <v>80</v>
      </c>
      <c r="AA331" s="13">
        <f>+VLOOKUP(Q331,COMISIONES!$C$2:$C$33,1,0)</f>
        <v>20000033</v>
      </c>
      <c r="AB331" s="13" t="s">
        <v>269</v>
      </c>
    </row>
    <row r="332" spans="1:28" hidden="1">
      <c r="A332" s="117" t="s">
        <v>821</v>
      </c>
      <c r="B332" s="138">
        <v>45154</v>
      </c>
      <c r="C332" s="117" t="s">
        <v>1817</v>
      </c>
      <c r="D332" s="117" t="s">
        <v>1818</v>
      </c>
      <c r="E332" s="117" t="s">
        <v>1819</v>
      </c>
      <c r="F332" s="117"/>
      <c r="G332" s="117" t="s">
        <v>45</v>
      </c>
      <c r="H332" s="117" t="s">
        <v>1</v>
      </c>
      <c r="I332"/>
      <c r="J332"/>
      <c r="K332" s="117" t="s">
        <v>105</v>
      </c>
      <c r="L332">
        <v>7</v>
      </c>
      <c r="M332" s="117" t="s">
        <v>127</v>
      </c>
      <c r="N332" s="117" t="s">
        <v>16</v>
      </c>
      <c r="O332" s="117" t="s">
        <v>49</v>
      </c>
      <c r="P332" s="117" t="s">
        <v>40</v>
      </c>
      <c r="Q332" s="139">
        <v>20002708</v>
      </c>
      <c r="R332" s="117" t="s">
        <v>78</v>
      </c>
      <c r="S332" s="117" t="s">
        <v>109</v>
      </c>
      <c r="T332" s="117" t="s">
        <v>109</v>
      </c>
      <c r="U332" s="117" t="s">
        <v>128</v>
      </c>
      <c r="V332" s="12">
        <f>+IFERROR(IF(VLOOKUP(Q332,COMISIONES!$C$2:$K$33,9,0)&gt;=VLOOKUP(TC!Q332,COMISIONES!$C$2:$I$33,7,0),1,0),0)</f>
        <v>0</v>
      </c>
      <c r="W332" s="262">
        <f>+IF(H332="Segunda",VLOOKUP(_xlfn.CONCAT(P332,G332,H332,V332),'PUNTOS 2021'!$E$23:$F$30,2,0),TC!L332)</f>
        <v>7</v>
      </c>
      <c r="X332" s="67">
        <f>+VLOOKUP(Q332,COMISIONES!$C$2:$AO$33,39,0)</f>
        <v>60</v>
      </c>
      <c r="Y332" s="67">
        <f t="shared" si="5"/>
        <v>420</v>
      </c>
      <c r="Z332" s="58" t="s">
        <v>80</v>
      </c>
      <c r="AA332" s="13">
        <f>+VLOOKUP(Q332,COMISIONES!$C$2:$C$33,1,0)</f>
        <v>20002708</v>
      </c>
      <c r="AB332" s="13" t="s">
        <v>269</v>
      </c>
    </row>
    <row r="333" spans="1:28" hidden="1">
      <c r="A333" s="117" t="s">
        <v>821</v>
      </c>
      <c r="B333" s="138">
        <v>45154</v>
      </c>
      <c r="C333" s="117" t="s">
        <v>1820</v>
      </c>
      <c r="D333" s="117" t="s">
        <v>1821</v>
      </c>
      <c r="E333" s="117" t="s">
        <v>1822</v>
      </c>
      <c r="F333" s="117"/>
      <c r="G333" s="117" t="s">
        <v>44</v>
      </c>
      <c r="H333" s="117" t="s">
        <v>1</v>
      </c>
      <c r="I333"/>
      <c r="J333"/>
      <c r="K333" s="117" t="s">
        <v>129</v>
      </c>
      <c r="L333">
        <v>5</v>
      </c>
      <c r="M333" s="117" t="s">
        <v>270</v>
      </c>
      <c r="N333" s="117" t="s">
        <v>271</v>
      </c>
      <c r="O333" s="117" t="s">
        <v>52</v>
      </c>
      <c r="P333" s="117" t="s">
        <v>40</v>
      </c>
      <c r="Q333" s="139">
        <v>20009592</v>
      </c>
      <c r="R333" s="117" t="s">
        <v>78</v>
      </c>
      <c r="S333" s="117" t="s">
        <v>109</v>
      </c>
      <c r="T333" s="117" t="s">
        <v>109</v>
      </c>
      <c r="U333" s="117" t="s">
        <v>128</v>
      </c>
      <c r="V333" s="12">
        <f>+IFERROR(IF(VLOOKUP(Q333,COMISIONES!$C$2:$K$33,9,0)&gt;=VLOOKUP(TC!Q333,COMISIONES!$C$2:$I$33,7,0),1,0),0)</f>
        <v>1</v>
      </c>
      <c r="W333" s="262">
        <f>+IF(H333="Segunda",VLOOKUP(_xlfn.CONCAT(P333,G333,H333,V333),'PUNTOS 2021'!$E$23:$F$30,2,0),TC!L333)</f>
        <v>5</v>
      </c>
      <c r="X333" s="67">
        <f>+VLOOKUP(Q333,COMISIONES!$C$2:$AO$33,39,0)</f>
        <v>60</v>
      </c>
      <c r="Y333" s="67">
        <f t="shared" si="5"/>
        <v>300</v>
      </c>
      <c r="Z333" s="58" t="s">
        <v>80</v>
      </c>
      <c r="AA333" s="13">
        <f>+VLOOKUP(Q333,COMISIONES!$C$2:$C$33,1,0)</f>
        <v>20009592</v>
      </c>
      <c r="AB333" s="13" t="s">
        <v>269</v>
      </c>
    </row>
    <row r="334" spans="1:28">
      <c r="A334" s="117" t="s">
        <v>821</v>
      </c>
      <c r="B334" s="138">
        <v>45154</v>
      </c>
      <c r="C334" s="117" t="s">
        <v>1823</v>
      </c>
      <c r="D334" s="117" t="s">
        <v>1824</v>
      </c>
      <c r="E334" s="117" t="s">
        <v>1825</v>
      </c>
      <c r="F334" s="117"/>
      <c r="G334" s="117" t="s">
        <v>45</v>
      </c>
      <c r="H334" s="117" t="s">
        <v>2</v>
      </c>
      <c r="I334"/>
      <c r="J334"/>
      <c r="K334" s="117" t="s">
        <v>242</v>
      </c>
      <c r="L334">
        <v>2</v>
      </c>
      <c r="M334" s="117" t="s">
        <v>260</v>
      </c>
      <c r="N334" s="117" t="s">
        <v>261</v>
      </c>
      <c r="O334" s="117" t="s">
        <v>52</v>
      </c>
      <c r="P334" s="117" t="s">
        <v>40</v>
      </c>
      <c r="Q334" s="139">
        <v>20010262</v>
      </c>
      <c r="R334" s="117" t="s">
        <v>78</v>
      </c>
      <c r="S334" s="117" t="s">
        <v>109</v>
      </c>
      <c r="T334" s="117" t="s">
        <v>109</v>
      </c>
      <c r="U334" s="117" t="s">
        <v>128</v>
      </c>
      <c r="V334" s="12">
        <f>+IFERROR(IF(VLOOKUP(Q334,COMISIONES!$C$2:$K$33,9,0)&gt;=VLOOKUP(TC!Q334,COMISIONES!$C$2:$I$33,7,0),1,0),0)</f>
        <v>0</v>
      </c>
      <c r="W334" s="262">
        <f>+IF(H334="Segunda",VLOOKUP(_xlfn.CONCAT(P334,G334,H334,V334),'PUNTOS 2021'!$E$23:$F$30,2,0),TC!L334)</f>
        <v>0.5</v>
      </c>
      <c r="X334" s="67">
        <f>+VLOOKUP(Q334,COMISIONES!$C$2:$AO$33,39,0)</f>
        <v>60</v>
      </c>
      <c r="Y334" s="67">
        <f t="shared" si="5"/>
        <v>30</v>
      </c>
      <c r="Z334" s="58" t="s">
        <v>80</v>
      </c>
      <c r="AA334" s="13">
        <f>+VLOOKUP(Q334,COMISIONES!$C$2:$C$33,1,0)</f>
        <v>20010262</v>
      </c>
      <c r="AB334" s="13" t="s">
        <v>269</v>
      </c>
    </row>
    <row r="335" spans="1:28" hidden="1">
      <c r="A335" s="117" t="s">
        <v>821</v>
      </c>
      <c r="B335" s="138">
        <v>45154</v>
      </c>
      <c r="C335" s="117" t="s">
        <v>1826</v>
      </c>
      <c r="D335" s="117" t="s">
        <v>1827</v>
      </c>
      <c r="E335" s="117" t="s">
        <v>1828</v>
      </c>
      <c r="F335" s="117"/>
      <c r="G335" s="117" t="s">
        <v>43</v>
      </c>
      <c r="H335" s="117" t="s">
        <v>1</v>
      </c>
      <c r="I335"/>
      <c r="J335"/>
      <c r="K335" s="117" t="s">
        <v>129</v>
      </c>
      <c r="L335">
        <v>3</v>
      </c>
      <c r="M335" s="117" t="s">
        <v>106</v>
      </c>
      <c r="N335" s="117" t="s">
        <v>8</v>
      </c>
      <c r="O335" s="117" t="s">
        <v>51</v>
      </c>
      <c r="P335" s="117" t="s">
        <v>40</v>
      </c>
      <c r="Q335" s="139">
        <v>20002636</v>
      </c>
      <c r="R335" s="117" t="s">
        <v>78</v>
      </c>
      <c r="S335" s="117" t="s">
        <v>109</v>
      </c>
      <c r="T335" s="117" t="s">
        <v>109</v>
      </c>
      <c r="U335" s="117" t="s">
        <v>128</v>
      </c>
      <c r="V335" s="12">
        <f>+IFERROR(IF(VLOOKUP(Q335,COMISIONES!$C$2:$K$33,9,0)&gt;=VLOOKUP(TC!Q335,COMISIONES!$C$2:$I$33,7,0),1,0),0)</f>
        <v>0</v>
      </c>
      <c r="W335" s="262">
        <f>+IF(H335="Segunda",VLOOKUP(_xlfn.CONCAT(P335,G335,H335,V335),'PUNTOS 2021'!$E$23:$F$30,2,0),TC!L335)</f>
        <v>3</v>
      </c>
      <c r="X335" s="67">
        <f>+VLOOKUP(Q335,COMISIONES!$C$2:$AO$33,39,0)</f>
        <v>40</v>
      </c>
      <c r="Y335" s="67">
        <f t="shared" si="5"/>
        <v>120</v>
      </c>
      <c r="Z335" s="58" t="s">
        <v>80</v>
      </c>
      <c r="AA335" s="13">
        <f>+VLOOKUP(Q335,COMISIONES!$C$2:$C$33,1,0)</f>
        <v>20002636</v>
      </c>
      <c r="AB335" s="13" t="s">
        <v>269</v>
      </c>
    </row>
    <row r="336" spans="1:28" hidden="1">
      <c r="A336" s="117" t="s">
        <v>821</v>
      </c>
      <c r="B336" s="138">
        <v>45154</v>
      </c>
      <c r="C336" s="117" t="s">
        <v>1829</v>
      </c>
      <c r="D336" s="117" t="s">
        <v>1830</v>
      </c>
      <c r="E336" s="117" t="s">
        <v>1831</v>
      </c>
      <c r="F336" s="117"/>
      <c r="G336" s="117" t="s">
        <v>44</v>
      </c>
      <c r="H336" s="117" t="s">
        <v>1</v>
      </c>
      <c r="I336"/>
      <c r="J336"/>
      <c r="K336" s="117" t="s">
        <v>105</v>
      </c>
      <c r="L336">
        <v>5</v>
      </c>
      <c r="M336" s="117" t="s">
        <v>262</v>
      </c>
      <c r="N336" s="117" t="s">
        <v>7</v>
      </c>
      <c r="O336" s="117" t="s">
        <v>52</v>
      </c>
      <c r="P336" s="117" t="s">
        <v>40</v>
      </c>
      <c r="Q336" s="139">
        <v>20007352</v>
      </c>
      <c r="R336" s="117" t="s">
        <v>78</v>
      </c>
      <c r="S336" s="117" t="s">
        <v>109</v>
      </c>
      <c r="T336" s="117" t="s">
        <v>109</v>
      </c>
      <c r="U336" s="117" t="s">
        <v>128</v>
      </c>
      <c r="V336" s="12">
        <f>+IFERROR(IF(VLOOKUP(Q336,COMISIONES!$C$2:$K$33,9,0)&gt;=VLOOKUP(TC!Q336,COMISIONES!$C$2:$I$33,7,0),1,0),0)</f>
        <v>0</v>
      </c>
      <c r="W336" s="262">
        <f>+IF(H336="Segunda",VLOOKUP(_xlfn.CONCAT(P336,G336,H336,V336),'PUNTOS 2021'!$E$23:$F$30,2,0),TC!L336)</f>
        <v>5</v>
      </c>
      <c r="X336" s="67">
        <f>+VLOOKUP(Q336,COMISIONES!$C$2:$AO$33,39,0)</f>
        <v>30</v>
      </c>
      <c r="Y336" s="67">
        <f t="shared" si="5"/>
        <v>150</v>
      </c>
      <c r="Z336" s="58" t="s">
        <v>80</v>
      </c>
      <c r="AA336" s="13">
        <f>+VLOOKUP(Q336,COMISIONES!$C$2:$C$33,1,0)</f>
        <v>20007352</v>
      </c>
      <c r="AB336" s="13" t="s">
        <v>269</v>
      </c>
    </row>
    <row r="337" spans="1:28">
      <c r="A337" s="117" t="s">
        <v>821</v>
      </c>
      <c r="B337" s="138">
        <v>45154</v>
      </c>
      <c r="C337" s="117" t="s">
        <v>1832</v>
      </c>
      <c r="D337" s="117" t="s">
        <v>1833</v>
      </c>
      <c r="E337" s="117" t="s">
        <v>1834</v>
      </c>
      <c r="F337" s="117"/>
      <c r="G337" s="117" t="s">
        <v>43</v>
      </c>
      <c r="H337" s="117" t="s">
        <v>2</v>
      </c>
      <c r="I337"/>
      <c r="J337"/>
      <c r="K337" s="117" t="s">
        <v>409</v>
      </c>
      <c r="L337">
        <v>1</v>
      </c>
      <c r="M337" s="117" t="s">
        <v>161</v>
      </c>
      <c r="N337" s="117" t="s">
        <v>158</v>
      </c>
      <c r="O337" s="117" t="s">
        <v>50</v>
      </c>
      <c r="P337" s="117" t="s">
        <v>40</v>
      </c>
      <c r="Q337" s="139">
        <v>20006162</v>
      </c>
      <c r="R337" s="117" t="s">
        <v>78</v>
      </c>
      <c r="S337" s="117" t="s">
        <v>109</v>
      </c>
      <c r="T337" s="117" t="s">
        <v>109</v>
      </c>
      <c r="U337" s="117" t="s">
        <v>128</v>
      </c>
      <c r="V337" s="12">
        <f>+IFERROR(IF(VLOOKUP(Q337,COMISIONES!$C$2:$K$33,9,0)&gt;=VLOOKUP(TC!Q337,COMISIONES!$C$2:$I$33,7,0),1,0),0)</f>
        <v>0</v>
      </c>
      <c r="W337" s="262">
        <f>+IF(H337="Segunda",VLOOKUP(_xlfn.CONCAT(P337,G337,H337,V337),'PUNTOS 2021'!$E$23:$F$30,2,0),TC!L337)</f>
        <v>0.5</v>
      </c>
      <c r="X337" s="67">
        <f>+VLOOKUP(Q337,COMISIONES!$C$2:$AO$33,39,0)</f>
        <v>60</v>
      </c>
      <c r="Y337" s="67">
        <f t="shared" si="5"/>
        <v>30</v>
      </c>
      <c r="Z337" s="58" t="s">
        <v>80</v>
      </c>
      <c r="AA337" s="13">
        <f>+VLOOKUP(Q337,COMISIONES!$C$2:$C$33,1,0)</f>
        <v>20006162</v>
      </c>
      <c r="AB337" s="13" t="s">
        <v>269</v>
      </c>
    </row>
    <row r="338" spans="1:28" hidden="1">
      <c r="A338" s="117" t="s">
        <v>821</v>
      </c>
      <c r="B338" s="138">
        <v>45154</v>
      </c>
      <c r="C338" s="117" t="s">
        <v>1835</v>
      </c>
      <c r="D338" s="117" t="s">
        <v>1836</v>
      </c>
      <c r="E338" s="117" t="s">
        <v>1837</v>
      </c>
      <c r="F338" s="117"/>
      <c r="G338" s="117" t="s">
        <v>43</v>
      </c>
      <c r="H338" s="117" t="s">
        <v>1</v>
      </c>
      <c r="I338"/>
      <c r="J338"/>
      <c r="K338" s="117" t="s">
        <v>410</v>
      </c>
      <c r="L338">
        <v>3</v>
      </c>
      <c r="M338" s="117" t="s">
        <v>125</v>
      </c>
      <c r="N338" s="117" t="s">
        <v>18</v>
      </c>
      <c r="O338" s="117" t="s">
        <v>50</v>
      </c>
      <c r="P338" s="117" t="s">
        <v>40</v>
      </c>
      <c r="Q338" s="139">
        <v>20008439</v>
      </c>
      <c r="R338" s="117" t="s">
        <v>78</v>
      </c>
      <c r="S338" s="117" t="s">
        <v>109</v>
      </c>
      <c r="T338" s="117" t="s">
        <v>109</v>
      </c>
      <c r="U338" s="117" t="s">
        <v>128</v>
      </c>
      <c r="V338" s="12">
        <f>+IFERROR(IF(VLOOKUP(Q338,COMISIONES!$C$2:$K$33,9,0)&gt;=VLOOKUP(TC!Q338,COMISIONES!$C$2:$I$33,7,0),1,0),0)</f>
        <v>1</v>
      </c>
      <c r="W338" s="262">
        <f>+IF(H338="Segunda",VLOOKUP(_xlfn.CONCAT(P338,G338,H338,V338),'PUNTOS 2021'!$E$23:$F$30,2,0),TC!L338)</f>
        <v>3</v>
      </c>
      <c r="X338" s="67">
        <f>+VLOOKUP(Q338,COMISIONES!$C$2:$AO$33,39,0)</f>
        <v>60</v>
      </c>
      <c r="Y338" s="67">
        <f t="shared" si="5"/>
        <v>180</v>
      </c>
      <c r="Z338" s="58" t="s">
        <v>80</v>
      </c>
      <c r="AA338" s="13">
        <f>+VLOOKUP(Q338,COMISIONES!$C$2:$C$33,1,0)</f>
        <v>20008439</v>
      </c>
      <c r="AB338" s="13" t="s">
        <v>269</v>
      </c>
    </row>
    <row r="339" spans="1:28" hidden="1">
      <c r="A339" s="117" t="s">
        <v>821</v>
      </c>
      <c r="B339" s="138">
        <v>45154</v>
      </c>
      <c r="C339" s="117" t="s">
        <v>1838</v>
      </c>
      <c r="D339" s="117" t="s">
        <v>1839</v>
      </c>
      <c r="E339" s="117" t="s">
        <v>1840</v>
      </c>
      <c r="F339" s="117"/>
      <c r="G339" s="117" t="s">
        <v>45</v>
      </c>
      <c r="H339" s="117" t="s">
        <v>1</v>
      </c>
      <c r="I339"/>
      <c r="J339"/>
      <c r="K339" s="117" t="s">
        <v>129</v>
      </c>
      <c r="L339">
        <v>7</v>
      </c>
      <c r="M339" s="117" t="s">
        <v>256</v>
      </c>
      <c r="N339" s="117" t="s">
        <v>236</v>
      </c>
      <c r="O339" s="117" t="s">
        <v>49</v>
      </c>
      <c r="P339" s="117" t="s">
        <v>40</v>
      </c>
      <c r="Q339" s="139">
        <v>20010101</v>
      </c>
      <c r="R339" s="117" t="s">
        <v>78</v>
      </c>
      <c r="S339" s="117" t="s">
        <v>109</v>
      </c>
      <c r="T339" s="117" t="s">
        <v>109</v>
      </c>
      <c r="U339" s="117" t="s">
        <v>128</v>
      </c>
      <c r="V339" s="12">
        <f>+IFERROR(IF(VLOOKUP(Q339,COMISIONES!$C$2:$K$33,9,0)&gt;=VLOOKUP(TC!Q339,COMISIONES!$C$2:$I$33,7,0),1,0),0)</f>
        <v>0</v>
      </c>
      <c r="W339" s="262">
        <f>+IF(H339="Segunda",VLOOKUP(_xlfn.CONCAT(P339,G339,H339,V339),'PUNTOS 2021'!$E$23:$F$30,2,0),TC!L339)</f>
        <v>7</v>
      </c>
      <c r="X339" s="67">
        <f>+VLOOKUP(Q339,COMISIONES!$C$2:$AO$33,39,0)</f>
        <v>65</v>
      </c>
      <c r="Y339" s="67">
        <f t="shared" si="5"/>
        <v>455</v>
      </c>
      <c r="Z339" s="58" t="s">
        <v>80</v>
      </c>
      <c r="AA339" s="13">
        <f>+VLOOKUP(Q339,COMISIONES!$C$2:$C$33,1,0)</f>
        <v>20010101</v>
      </c>
      <c r="AB339" s="13" t="s">
        <v>269</v>
      </c>
    </row>
    <row r="340" spans="1:28">
      <c r="A340" s="117" t="s">
        <v>821</v>
      </c>
      <c r="B340" s="138">
        <v>45154</v>
      </c>
      <c r="C340" s="117" t="s">
        <v>1841</v>
      </c>
      <c r="D340" s="117" t="s">
        <v>1842</v>
      </c>
      <c r="E340" s="117" t="s">
        <v>1843</v>
      </c>
      <c r="F340" s="117"/>
      <c r="G340" s="117" t="s">
        <v>43</v>
      </c>
      <c r="H340" s="117" t="s">
        <v>2</v>
      </c>
      <c r="I340"/>
      <c r="J340"/>
      <c r="K340" s="117" t="s">
        <v>130</v>
      </c>
      <c r="L340">
        <v>1</v>
      </c>
      <c r="M340" s="117" t="s">
        <v>120</v>
      </c>
      <c r="N340" s="117" t="s">
        <v>21</v>
      </c>
      <c r="O340" s="117" t="s">
        <v>50</v>
      </c>
      <c r="P340" s="117" t="s">
        <v>40</v>
      </c>
      <c r="Q340" s="139">
        <v>20008711</v>
      </c>
      <c r="R340" s="117" t="s">
        <v>78</v>
      </c>
      <c r="S340" s="117" t="s">
        <v>109</v>
      </c>
      <c r="T340" s="117" t="s">
        <v>109</v>
      </c>
      <c r="U340" s="117" t="s">
        <v>128</v>
      </c>
      <c r="V340" s="12">
        <f>+IFERROR(IF(VLOOKUP(Q340,COMISIONES!$C$2:$K$33,9,0)&gt;=VLOOKUP(TC!Q340,COMISIONES!$C$2:$I$33,7,0),1,0),0)</f>
        <v>0</v>
      </c>
      <c r="W340" s="262">
        <f>+IF(H340="Segunda",VLOOKUP(_xlfn.CONCAT(P340,G340,H340,V340),'PUNTOS 2021'!$E$23:$F$30,2,0),TC!L340)</f>
        <v>0.5</v>
      </c>
      <c r="X340" s="67">
        <f>+VLOOKUP(Q340,COMISIONES!$C$2:$AO$33,39,0)</f>
        <v>60</v>
      </c>
      <c r="Y340" s="67">
        <f t="shared" si="5"/>
        <v>30</v>
      </c>
      <c r="Z340" s="58" t="s">
        <v>80</v>
      </c>
      <c r="AA340" s="13">
        <f>+VLOOKUP(Q340,COMISIONES!$C$2:$C$33,1,0)</f>
        <v>20008711</v>
      </c>
      <c r="AB340" s="13" t="s">
        <v>269</v>
      </c>
    </row>
    <row r="341" spans="1:28">
      <c r="A341" s="117" t="s">
        <v>821</v>
      </c>
      <c r="B341" s="138">
        <v>45154</v>
      </c>
      <c r="C341" s="117" t="s">
        <v>1844</v>
      </c>
      <c r="D341" s="117" t="s">
        <v>1845</v>
      </c>
      <c r="E341" s="117" t="s">
        <v>1846</v>
      </c>
      <c r="F341" s="117"/>
      <c r="G341" s="117" t="s">
        <v>45</v>
      </c>
      <c r="H341" s="117" t="s">
        <v>2</v>
      </c>
      <c r="I341"/>
      <c r="J341"/>
      <c r="K341" s="117" t="s">
        <v>105</v>
      </c>
      <c r="L341">
        <v>2</v>
      </c>
      <c r="M341" s="117" t="s">
        <v>256</v>
      </c>
      <c r="N341" s="117" t="s">
        <v>236</v>
      </c>
      <c r="O341" s="117" t="s">
        <v>49</v>
      </c>
      <c r="P341" s="117" t="s">
        <v>40</v>
      </c>
      <c r="Q341" s="139">
        <v>20010101</v>
      </c>
      <c r="R341" s="117" t="s">
        <v>78</v>
      </c>
      <c r="S341" s="117" t="s">
        <v>109</v>
      </c>
      <c r="T341" s="117" t="s">
        <v>109</v>
      </c>
      <c r="U341" s="117" t="s">
        <v>128</v>
      </c>
      <c r="V341" s="12">
        <f>+IFERROR(IF(VLOOKUP(Q341,COMISIONES!$C$2:$K$33,9,0)&gt;=VLOOKUP(TC!Q341,COMISIONES!$C$2:$I$33,7,0),1,0),0)</f>
        <v>0</v>
      </c>
      <c r="W341" s="262">
        <f>+IF(H341="Segunda",VLOOKUP(_xlfn.CONCAT(P341,G341,H341,V341),'PUNTOS 2021'!$E$23:$F$30,2,0),TC!L341)</f>
        <v>0.5</v>
      </c>
      <c r="X341" s="67">
        <f>+VLOOKUP(Q341,COMISIONES!$C$2:$AO$33,39,0)</f>
        <v>65</v>
      </c>
      <c r="Y341" s="67">
        <f t="shared" si="5"/>
        <v>32.5</v>
      </c>
      <c r="Z341" s="58" t="s">
        <v>80</v>
      </c>
      <c r="AA341" s="13">
        <f>+VLOOKUP(Q341,COMISIONES!$C$2:$C$33,1,0)</f>
        <v>20010101</v>
      </c>
      <c r="AB341" s="13" t="s">
        <v>269</v>
      </c>
    </row>
    <row r="342" spans="1:28" hidden="1">
      <c r="A342" s="117" t="s">
        <v>821</v>
      </c>
      <c r="B342" s="138">
        <v>45154</v>
      </c>
      <c r="C342" s="117" t="s">
        <v>1847</v>
      </c>
      <c r="D342" s="117" t="s">
        <v>1848</v>
      </c>
      <c r="E342" s="117" t="s">
        <v>1849</v>
      </c>
      <c r="F342" s="117"/>
      <c r="G342" s="117" t="s">
        <v>44</v>
      </c>
      <c r="H342" s="117" t="s">
        <v>1</v>
      </c>
      <c r="I342"/>
      <c r="J342"/>
      <c r="K342" s="117" t="s">
        <v>105</v>
      </c>
      <c r="L342">
        <v>5</v>
      </c>
      <c r="M342" s="117" t="s">
        <v>161</v>
      </c>
      <c r="N342" s="117" t="s">
        <v>158</v>
      </c>
      <c r="O342" s="117" t="s">
        <v>50</v>
      </c>
      <c r="P342" s="117" t="s">
        <v>40</v>
      </c>
      <c r="Q342" s="139">
        <v>20006162</v>
      </c>
      <c r="R342" s="117" t="s">
        <v>78</v>
      </c>
      <c r="S342" s="117" t="s">
        <v>109</v>
      </c>
      <c r="T342" s="117" t="s">
        <v>109</v>
      </c>
      <c r="U342" s="117" t="s">
        <v>128</v>
      </c>
      <c r="V342" s="12">
        <f>+IFERROR(IF(VLOOKUP(Q342,COMISIONES!$C$2:$K$33,9,0)&gt;=VLOOKUP(TC!Q342,COMISIONES!$C$2:$I$33,7,0),1,0),0)</f>
        <v>0</v>
      </c>
      <c r="W342" s="262">
        <f>+IF(H342="Segunda",VLOOKUP(_xlfn.CONCAT(P342,G342,H342,V342),'PUNTOS 2021'!$E$23:$F$30,2,0),TC!L342)</f>
        <v>5</v>
      </c>
      <c r="X342" s="67">
        <f>+VLOOKUP(Q342,COMISIONES!$C$2:$AO$33,39,0)</f>
        <v>60</v>
      </c>
      <c r="Y342" s="67">
        <f t="shared" si="5"/>
        <v>300</v>
      </c>
      <c r="Z342" s="58" t="s">
        <v>80</v>
      </c>
      <c r="AA342" s="13">
        <f>+VLOOKUP(Q342,COMISIONES!$C$2:$C$33,1,0)</f>
        <v>20006162</v>
      </c>
      <c r="AB342" s="13" t="s">
        <v>269</v>
      </c>
    </row>
    <row r="343" spans="1:28" hidden="1">
      <c r="A343" s="117" t="s">
        <v>821</v>
      </c>
      <c r="B343" s="138">
        <v>45154</v>
      </c>
      <c r="C343" s="117" t="s">
        <v>1850</v>
      </c>
      <c r="D343" s="117" t="s">
        <v>1851</v>
      </c>
      <c r="E343" s="117" t="s">
        <v>1852</v>
      </c>
      <c r="F343" s="117"/>
      <c r="G343" s="117" t="s">
        <v>44</v>
      </c>
      <c r="H343" s="117" t="s">
        <v>1</v>
      </c>
      <c r="I343"/>
      <c r="J343"/>
      <c r="K343" s="117" t="s">
        <v>105</v>
      </c>
      <c r="L343">
        <v>5</v>
      </c>
      <c r="M343" s="117" t="s">
        <v>121</v>
      </c>
      <c r="N343" s="117" t="s">
        <v>3</v>
      </c>
      <c r="O343" s="117" t="s">
        <v>49</v>
      </c>
      <c r="P343" s="117" t="s">
        <v>40</v>
      </c>
      <c r="Q343" s="139">
        <v>20004161</v>
      </c>
      <c r="R343" s="117" t="s">
        <v>78</v>
      </c>
      <c r="S343" s="117" t="s">
        <v>109</v>
      </c>
      <c r="T343" s="117" t="s">
        <v>109</v>
      </c>
      <c r="U343" s="117" t="s">
        <v>128</v>
      </c>
      <c r="V343" s="12">
        <f>+IFERROR(IF(VLOOKUP(Q343,COMISIONES!$C$2:$K$33,9,0)&gt;=VLOOKUP(TC!Q343,COMISIONES!$C$2:$I$33,7,0),1,0),0)</f>
        <v>1</v>
      </c>
      <c r="W343" s="262">
        <f>+IF(H343="Segunda",VLOOKUP(_xlfn.CONCAT(P343,G343,H343,V343),'PUNTOS 2021'!$E$23:$F$30,2,0),TC!L343)</f>
        <v>5</v>
      </c>
      <c r="X343" s="67">
        <f>+VLOOKUP(Q343,COMISIONES!$C$2:$AO$33,39,0)</f>
        <v>65</v>
      </c>
      <c r="Y343" s="67">
        <f t="shared" si="5"/>
        <v>325</v>
      </c>
      <c r="Z343" s="58" t="s">
        <v>80</v>
      </c>
      <c r="AA343" s="13">
        <f>+VLOOKUP(Q343,COMISIONES!$C$2:$C$33,1,0)</f>
        <v>20004161</v>
      </c>
      <c r="AB343" s="13" t="s">
        <v>269</v>
      </c>
    </row>
    <row r="344" spans="1:28" hidden="1">
      <c r="A344" s="117" t="s">
        <v>821</v>
      </c>
      <c r="B344" s="138">
        <v>45154</v>
      </c>
      <c r="C344" s="117" t="s">
        <v>1853</v>
      </c>
      <c r="D344" s="117" t="s">
        <v>1854</v>
      </c>
      <c r="E344" s="117" t="s">
        <v>1855</v>
      </c>
      <c r="F344" s="117"/>
      <c r="G344" s="117" t="s">
        <v>45</v>
      </c>
      <c r="H344" s="117" t="s">
        <v>1</v>
      </c>
      <c r="I344"/>
      <c r="J344"/>
      <c r="K344" s="117" t="s">
        <v>105</v>
      </c>
      <c r="L344">
        <v>7</v>
      </c>
      <c r="M344" s="117" t="s">
        <v>123</v>
      </c>
      <c r="N344" s="117" t="s">
        <v>23</v>
      </c>
      <c r="O344" s="117" t="s">
        <v>49</v>
      </c>
      <c r="P344" s="117" t="s">
        <v>40</v>
      </c>
      <c r="Q344" s="139">
        <v>20009269</v>
      </c>
      <c r="R344" s="117" t="s">
        <v>78</v>
      </c>
      <c r="S344" s="117" t="s">
        <v>109</v>
      </c>
      <c r="T344" s="117" t="s">
        <v>109</v>
      </c>
      <c r="U344" s="117" t="s">
        <v>128</v>
      </c>
      <c r="V344" s="12">
        <f>+IFERROR(IF(VLOOKUP(Q344,COMISIONES!$C$2:$K$33,9,0)&gt;=VLOOKUP(TC!Q344,COMISIONES!$C$2:$I$33,7,0),1,0),0)</f>
        <v>1</v>
      </c>
      <c r="W344" s="262">
        <f>+IF(H344="Segunda",VLOOKUP(_xlfn.CONCAT(P344,G344,H344,V344),'PUNTOS 2021'!$E$23:$F$30,2,0),TC!L344)</f>
        <v>7</v>
      </c>
      <c r="X344" s="67">
        <f>+VLOOKUP(Q344,COMISIONES!$C$2:$AO$33,39,0)</f>
        <v>65</v>
      </c>
      <c r="Y344" s="67">
        <f t="shared" si="5"/>
        <v>455</v>
      </c>
      <c r="Z344" s="58" t="s">
        <v>80</v>
      </c>
      <c r="AA344" s="13">
        <f>+VLOOKUP(Q344,COMISIONES!$C$2:$C$33,1,0)</f>
        <v>20009269</v>
      </c>
      <c r="AB344" s="13" t="s">
        <v>269</v>
      </c>
    </row>
    <row r="345" spans="1:28" hidden="1">
      <c r="A345" s="117" t="s">
        <v>821</v>
      </c>
      <c r="B345" s="138">
        <v>45154</v>
      </c>
      <c r="C345" s="117" t="s">
        <v>1856</v>
      </c>
      <c r="D345" s="117" t="s">
        <v>1857</v>
      </c>
      <c r="E345" s="117" t="s">
        <v>1858</v>
      </c>
      <c r="F345" s="117"/>
      <c r="G345" s="117" t="s">
        <v>43</v>
      </c>
      <c r="H345" s="117" t="s">
        <v>1</v>
      </c>
      <c r="I345"/>
      <c r="J345"/>
      <c r="K345" s="117" t="s">
        <v>105</v>
      </c>
      <c r="L345">
        <v>3</v>
      </c>
      <c r="M345" s="117" t="s">
        <v>122</v>
      </c>
      <c r="N345" s="117" t="s">
        <v>5</v>
      </c>
      <c r="O345" s="117" t="s">
        <v>50</v>
      </c>
      <c r="P345" s="117" t="s">
        <v>40</v>
      </c>
      <c r="Q345" s="139">
        <v>20004566</v>
      </c>
      <c r="R345" s="117" t="s">
        <v>78</v>
      </c>
      <c r="S345" s="117" t="s">
        <v>109</v>
      </c>
      <c r="T345" s="117" t="s">
        <v>109</v>
      </c>
      <c r="U345" s="117" t="s">
        <v>128</v>
      </c>
      <c r="V345" s="12">
        <f>+IFERROR(IF(VLOOKUP(Q345,COMISIONES!$C$2:$K$33,9,0)&gt;=VLOOKUP(TC!Q345,COMISIONES!$C$2:$I$33,7,0),1,0),0)</f>
        <v>1</v>
      </c>
      <c r="W345" s="262">
        <f>+IF(H345="Segunda",VLOOKUP(_xlfn.CONCAT(P345,G345,H345,V345),'PUNTOS 2021'!$E$23:$F$30,2,0),TC!L345)</f>
        <v>3</v>
      </c>
      <c r="X345" s="67">
        <f>+VLOOKUP(Q345,COMISIONES!$C$2:$AO$33,39,0)</f>
        <v>60</v>
      </c>
      <c r="Y345" s="67">
        <f t="shared" si="5"/>
        <v>180</v>
      </c>
      <c r="Z345" s="58" t="s">
        <v>80</v>
      </c>
      <c r="AA345" s="13">
        <f>+VLOOKUP(Q345,COMISIONES!$C$2:$C$33,1,0)</f>
        <v>20004566</v>
      </c>
      <c r="AB345" s="13" t="s">
        <v>269</v>
      </c>
    </row>
    <row r="346" spans="1:28" hidden="1">
      <c r="A346" s="117" t="s">
        <v>821</v>
      </c>
      <c r="B346" s="138">
        <v>45154</v>
      </c>
      <c r="C346" s="117" t="s">
        <v>1859</v>
      </c>
      <c r="D346" s="117" t="s">
        <v>1860</v>
      </c>
      <c r="E346" s="117" t="s">
        <v>1861</v>
      </c>
      <c r="F346" s="117"/>
      <c r="G346" s="117" t="s">
        <v>43</v>
      </c>
      <c r="H346" s="117" t="s">
        <v>1</v>
      </c>
      <c r="I346"/>
      <c r="J346"/>
      <c r="K346" s="117" t="s">
        <v>105</v>
      </c>
      <c r="L346">
        <v>3</v>
      </c>
      <c r="M346" s="117" t="s">
        <v>126</v>
      </c>
      <c r="N346" s="117" t="s">
        <v>11</v>
      </c>
      <c r="O346" s="117" t="s">
        <v>49</v>
      </c>
      <c r="P346" s="117" t="s">
        <v>40</v>
      </c>
      <c r="Q346" s="139">
        <v>20004235</v>
      </c>
      <c r="R346" s="117" t="s">
        <v>78</v>
      </c>
      <c r="S346" s="117" t="s">
        <v>109</v>
      </c>
      <c r="T346" s="117" t="s">
        <v>109</v>
      </c>
      <c r="U346" s="117" t="s">
        <v>128</v>
      </c>
      <c r="V346" s="12">
        <f>+IFERROR(IF(VLOOKUP(Q346,COMISIONES!$C$2:$K$33,9,0)&gt;=VLOOKUP(TC!Q346,COMISIONES!$C$2:$I$33,7,0),1,0),0)</f>
        <v>0</v>
      </c>
      <c r="W346" s="262">
        <f>+IF(H346="Segunda",VLOOKUP(_xlfn.CONCAT(P346,G346,H346,V346),'PUNTOS 2021'!$E$23:$F$30,2,0),TC!L346)</f>
        <v>3</v>
      </c>
      <c r="X346" s="67">
        <f>+VLOOKUP(Q346,COMISIONES!$C$2:$AO$33,39,0)</f>
        <v>40</v>
      </c>
      <c r="Y346" s="67">
        <f t="shared" si="5"/>
        <v>120</v>
      </c>
      <c r="Z346" s="58" t="s">
        <v>80</v>
      </c>
      <c r="AA346" s="13">
        <f>+VLOOKUP(Q346,COMISIONES!$C$2:$C$33,1,0)</f>
        <v>20004235</v>
      </c>
      <c r="AB346" s="13" t="s">
        <v>269</v>
      </c>
    </row>
    <row r="347" spans="1:28">
      <c r="A347" s="117" t="s">
        <v>821</v>
      </c>
      <c r="B347" s="138">
        <v>45154</v>
      </c>
      <c r="C347" s="117" t="s">
        <v>1862</v>
      </c>
      <c r="D347" s="117" t="s">
        <v>1863</v>
      </c>
      <c r="E347" s="117" t="s">
        <v>1864</v>
      </c>
      <c r="F347" s="117"/>
      <c r="G347" s="117" t="s">
        <v>44</v>
      </c>
      <c r="H347" s="117" t="s">
        <v>2</v>
      </c>
      <c r="I347"/>
      <c r="J347"/>
      <c r="K347" s="117" t="s">
        <v>105</v>
      </c>
      <c r="L347">
        <v>1</v>
      </c>
      <c r="M347" s="117" t="s">
        <v>125</v>
      </c>
      <c r="N347" s="117" t="s">
        <v>18</v>
      </c>
      <c r="O347" s="117" t="s">
        <v>50</v>
      </c>
      <c r="P347" s="117" t="s">
        <v>40</v>
      </c>
      <c r="Q347" s="139">
        <v>20008439</v>
      </c>
      <c r="R347" s="117" t="s">
        <v>78</v>
      </c>
      <c r="S347" s="117" t="s">
        <v>109</v>
      </c>
      <c r="T347" s="117" t="s">
        <v>109</v>
      </c>
      <c r="U347" s="117" t="s">
        <v>128</v>
      </c>
      <c r="V347" s="12">
        <f>+IFERROR(IF(VLOOKUP(Q347,COMISIONES!$C$2:$K$33,9,0)&gt;=VLOOKUP(TC!Q347,COMISIONES!$C$2:$I$33,7,0),1,0),0)</f>
        <v>1</v>
      </c>
      <c r="W347" s="262">
        <f>+IF(H347="Segunda",VLOOKUP(_xlfn.CONCAT(P347,G347,H347,V347),'PUNTOS 2021'!$E$23:$F$30,2,0),TC!L347)</f>
        <v>1</v>
      </c>
      <c r="X347" s="67">
        <f>+VLOOKUP(Q347,COMISIONES!$C$2:$AO$33,39,0)</f>
        <v>60</v>
      </c>
      <c r="Y347" s="67">
        <f t="shared" si="5"/>
        <v>60</v>
      </c>
      <c r="Z347" s="58" t="s">
        <v>80</v>
      </c>
      <c r="AA347" s="13">
        <f>+VLOOKUP(Q347,COMISIONES!$C$2:$C$33,1,0)</f>
        <v>20008439</v>
      </c>
      <c r="AB347" s="13" t="s">
        <v>269</v>
      </c>
    </row>
    <row r="348" spans="1:28" hidden="1">
      <c r="A348" s="117" t="s">
        <v>821</v>
      </c>
      <c r="B348" s="138">
        <v>45154</v>
      </c>
      <c r="C348" s="117" t="s">
        <v>1865</v>
      </c>
      <c r="D348" s="117" t="s">
        <v>1866</v>
      </c>
      <c r="E348" s="117" t="s">
        <v>1867</v>
      </c>
      <c r="F348" s="117"/>
      <c r="G348" s="117" t="s">
        <v>45</v>
      </c>
      <c r="H348" s="117" t="s">
        <v>1</v>
      </c>
      <c r="I348"/>
      <c r="J348"/>
      <c r="K348" s="117" t="s">
        <v>105</v>
      </c>
      <c r="L348">
        <v>7</v>
      </c>
      <c r="M348" s="117" t="s">
        <v>120</v>
      </c>
      <c r="N348" s="117" t="s">
        <v>21</v>
      </c>
      <c r="O348" s="117" t="s">
        <v>50</v>
      </c>
      <c r="P348" s="117" t="s">
        <v>40</v>
      </c>
      <c r="Q348" s="139">
        <v>20008711</v>
      </c>
      <c r="R348" s="117" t="s">
        <v>78</v>
      </c>
      <c r="S348" s="117" t="s">
        <v>109</v>
      </c>
      <c r="T348" s="117" t="s">
        <v>109</v>
      </c>
      <c r="U348" s="117" t="s">
        <v>128</v>
      </c>
      <c r="V348" s="12">
        <f>+IFERROR(IF(VLOOKUP(Q348,COMISIONES!$C$2:$K$33,9,0)&gt;=VLOOKUP(TC!Q348,COMISIONES!$C$2:$I$33,7,0),1,0),0)</f>
        <v>0</v>
      </c>
      <c r="W348" s="262">
        <f>+IF(H348="Segunda",VLOOKUP(_xlfn.CONCAT(P348,G348,H348,V348),'PUNTOS 2021'!$E$23:$F$30,2,0),TC!L348)</f>
        <v>7</v>
      </c>
      <c r="X348" s="67">
        <f>+VLOOKUP(Q348,COMISIONES!$C$2:$AO$33,39,0)</f>
        <v>60</v>
      </c>
      <c r="Y348" s="67">
        <f t="shared" si="5"/>
        <v>420</v>
      </c>
      <c r="Z348" s="58" t="s">
        <v>80</v>
      </c>
      <c r="AA348" s="13">
        <f>+VLOOKUP(Q348,COMISIONES!$C$2:$C$33,1,0)</f>
        <v>20008711</v>
      </c>
      <c r="AB348" s="13" t="s">
        <v>269</v>
      </c>
    </row>
    <row r="349" spans="1:28" hidden="1">
      <c r="A349" s="117" t="s">
        <v>821</v>
      </c>
      <c r="B349" s="138">
        <v>45154</v>
      </c>
      <c r="C349" s="117" t="s">
        <v>1868</v>
      </c>
      <c r="D349" s="117" t="s">
        <v>1869</v>
      </c>
      <c r="E349" s="117" t="s">
        <v>1870</v>
      </c>
      <c r="F349" s="117"/>
      <c r="G349" s="117" t="s">
        <v>45</v>
      </c>
      <c r="H349" s="117" t="s">
        <v>1</v>
      </c>
      <c r="I349"/>
      <c r="J349"/>
      <c r="K349" s="117" t="s">
        <v>105</v>
      </c>
      <c r="L349">
        <v>7</v>
      </c>
      <c r="M349" s="117" t="s">
        <v>159</v>
      </c>
      <c r="N349" s="117" t="s">
        <v>227</v>
      </c>
      <c r="O349" s="117" t="s">
        <v>49</v>
      </c>
      <c r="P349" s="117" t="s">
        <v>40</v>
      </c>
      <c r="Q349" s="139">
        <v>20009690</v>
      </c>
      <c r="R349" s="117" t="s">
        <v>78</v>
      </c>
      <c r="S349" s="117" t="s">
        <v>109</v>
      </c>
      <c r="T349" s="117" t="s">
        <v>109</v>
      </c>
      <c r="U349" s="117" t="s">
        <v>128</v>
      </c>
      <c r="V349" s="12">
        <f>+IFERROR(IF(VLOOKUP(Q349,COMISIONES!$C$2:$K$33,9,0)&gt;=VLOOKUP(TC!Q349,COMISIONES!$C$2:$I$33,7,0),1,0),0)</f>
        <v>0</v>
      </c>
      <c r="W349" s="262">
        <f>+IF(H349="Segunda",VLOOKUP(_xlfn.CONCAT(P349,G349,H349,V349),'PUNTOS 2021'!$E$23:$F$30,2,0),TC!L349)</f>
        <v>7</v>
      </c>
      <c r="X349" s="67">
        <f>+VLOOKUP(Q349,COMISIONES!$C$2:$AO$33,39,0)</f>
        <v>45</v>
      </c>
      <c r="Y349" s="67">
        <f t="shared" si="5"/>
        <v>315</v>
      </c>
      <c r="Z349" s="58" t="s">
        <v>80</v>
      </c>
      <c r="AA349" s="13">
        <f>+VLOOKUP(Q349,COMISIONES!$C$2:$C$33,1,0)</f>
        <v>20009690</v>
      </c>
      <c r="AB349" s="13" t="s">
        <v>269</v>
      </c>
    </row>
    <row r="350" spans="1:28" hidden="1">
      <c r="A350" s="117" t="s">
        <v>821</v>
      </c>
      <c r="B350" s="138">
        <v>45154</v>
      </c>
      <c r="C350" s="117" t="s">
        <v>1871</v>
      </c>
      <c r="D350" s="117" t="s">
        <v>1872</v>
      </c>
      <c r="E350" s="117" t="s">
        <v>1873</v>
      </c>
      <c r="F350" s="117"/>
      <c r="G350" s="117" t="s">
        <v>45</v>
      </c>
      <c r="H350" s="117" t="s">
        <v>1</v>
      </c>
      <c r="I350"/>
      <c r="J350"/>
      <c r="K350" s="117" t="s">
        <v>105</v>
      </c>
      <c r="L350">
        <v>7</v>
      </c>
      <c r="M350" s="117" t="s">
        <v>111</v>
      </c>
      <c r="N350" s="117" t="s">
        <v>14</v>
      </c>
      <c r="O350" s="117" t="s">
        <v>50</v>
      </c>
      <c r="P350" s="117" t="s">
        <v>40</v>
      </c>
      <c r="Q350" s="139">
        <v>20006360</v>
      </c>
      <c r="R350" s="117" t="s">
        <v>78</v>
      </c>
      <c r="S350" s="117" t="s">
        <v>109</v>
      </c>
      <c r="T350" s="117" t="s">
        <v>109</v>
      </c>
      <c r="U350" s="117" t="s">
        <v>128</v>
      </c>
      <c r="V350" s="12">
        <f>+IFERROR(IF(VLOOKUP(Q350,COMISIONES!$C$2:$K$33,9,0)&gt;=VLOOKUP(TC!Q350,COMISIONES!$C$2:$I$33,7,0),1,0),0)</f>
        <v>0</v>
      </c>
      <c r="W350" s="262">
        <f>+IF(H350="Segunda",VLOOKUP(_xlfn.CONCAT(P350,G350,H350,V350),'PUNTOS 2021'!$E$23:$F$30,2,0),TC!L350)</f>
        <v>7</v>
      </c>
      <c r="X350" s="67">
        <f>+VLOOKUP(Q350,COMISIONES!$C$2:$AO$33,39,0)</f>
        <v>40</v>
      </c>
      <c r="Y350" s="67">
        <f t="shared" si="5"/>
        <v>280</v>
      </c>
      <c r="Z350" s="58" t="s">
        <v>80</v>
      </c>
      <c r="AA350" s="13">
        <f>+VLOOKUP(Q350,COMISIONES!$C$2:$C$33,1,0)</f>
        <v>20006360</v>
      </c>
      <c r="AB350" s="13" t="s">
        <v>269</v>
      </c>
    </row>
    <row r="351" spans="1:28" hidden="1">
      <c r="A351" s="117" t="s">
        <v>821</v>
      </c>
      <c r="B351" s="138">
        <v>45154</v>
      </c>
      <c r="C351" s="117" t="s">
        <v>1874</v>
      </c>
      <c r="D351" s="117" t="s">
        <v>1875</v>
      </c>
      <c r="E351" s="117" t="s">
        <v>1876</v>
      </c>
      <c r="F351" s="117"/>
      <c r="G351" s="117" t="s">
        <v>44</v>
      </c>
      <c r="H351" s="117" t="s">
        <v>1</v>
      </c>
      <c r="I351"/>
      <c r="J351"/>
      <c r="K351" s="117" t="s">
        <v>105</v>
      </c>
      <c r="L351">
        <v>5</v>
      </c>
      <c r="M351" s="117" t="s">
        <v>121</v>
      </c>
      <c r="N351" s="117" t="s">
        <v>3</v>
      </c>
      <c r="O351" s="117" t="s">
        <v>49</v>
      </c>
      <c r="P351" s="117" t="s">
        <v>40</v>
      </c>
      <c r="Q351" s="139">
        <v>20004161</v>
      </c>
      <c r="R351" s="117" t="s">
        <v>78</v>
      </c>
      <c r="S351" s="117" t="s">
        <v>109</v>
      </c>
      <c r="T351" s="117" t="s">
        <v>109</v>
      </c>
      <c r="U351" s="117" t="s">
        <v>128</v>
      </c>
      <c r="V351" s="12">
        <f>+IFERROR(IF(VLOOKUP(Q351,COMISIONES!$C$2:$K$33,9,0)&gt;=VLOOKUP(TC!Q351,COMISIONES!$C$2:$I$33,7,0),1,0),0)</f>
        <v>1</v>
      </c>
      <c r="W351" s="262">
        <f>+IF(H351="Segunda",VLOOKUP(_xlfn.CONCAT(P351,G351,H351,V351),'PUNTOS 2021'!$E$23:$F$30,2,0),TC!L351)</f>
        <v>5</v>
      </c>
      <c r="X351" s="67">
        <f>+VLOOKUP(Q351,COMISIONES!$C$2:$AO$33,39,0)</f>
        <v>65</v>
      </c>
      <c r="Y351" s="67">
        <f t="shared" si="5"/>
        <v>325</v>
      </c>
      <c r="Z351" s="58" t="s">
        <v>80</v>
      </c>
      <c r="AA351" s="13">
        <f>+VLOOKUP(Q351,COMISIONES!$C$2:$C$33,1,0)</f>
        <v>20004161</v>
      </c>
      <c r="AB351" s="13" t="s">
        <v>269</v>
      </c>
    </row>
    <row r="352" spans="1:28" hidden="1">
      <c r="A352" s="117" t="s">
        <v>821</v>
      </c>
      <c r="B352" s="138">
        <v>45154</v>
      </c>
      <c r="C352" s="117" t="s">
        <v>1877</v>
      </c>
      <c r="D352" s="117" t="s">
        <v>1878</v>
      </c>
      <c r="E352" s="117" t="s">
        <v>1879</v>
      </c>
      <c r="F352" s="117"/>
      <c r="G352" s="117" t="s">
        <v>45</v>
      </c>
      <c r="H352" s="117" t="s">
        <v>1</v>
      </c>
      <c r="I352"/>
      <c r="J352"/>
      <c r="K352" s="117" t="s">
        <v>105</v>
      </c>
      <c r="L352">
        <v>7</v>
      </c>
      <c r="M352" s="117" t="s">
        <v>120</v>
      </c>
      <c r="N352" s="117" t="s">
        <v>21</v>
      </c>
      <c r="O352" s="117" t="s">
        <v>50</v>
      </c>
      <c r="P352" s="117" t="s">
        <v>40</v>
      </c>
      <c r="Q352" s="139">
        <v>20008711</v>
      </c>
      <c r="R352" s="117" t="s">
        <v>78</v>
      </c>
      <c r="S352" s="117" t="s">
        <v>109</v>
      </c>
      <c r="T352" s="117" t="s">
        <v>109</v>
      </c>
      <c r="U352" s="117" t="s">
        <v>128</v>
      </c>
      <c r="V352" s="12">
        <f>+IFERROR(IF(VLOOKUP(Q352,COMISIONES!$C$2:$K$33,9,0)&gt;=VLOOKUP(TC!Q352,COMISIONES!$C$2:$I$33,7,0),1,0),0)</f>
        <v>0</v>
      </c>
      <c r="W352" s="262">
        <f>+IF(H352="Segunda",VLOOKUP(_xlfn.CONCAT(P352,G352,H352,V352),'PUNTOS 2021'!$E$23:$F$30,2,0),TC!L352)</f>
        <v>7</v>
      </c>
      <c r="X352" s="67">
        <f>+VLOOKUP(Q352,COMISIONES!$C$2:$AO$33,39,0)</f>
        <v>60</v>
      </c>
      <c r="Y352" s="67">
        <f t="shared" si="5"/>
        <v>420</v>
      </c>
      <c r="Z352" s="58" t="s">
        <v>80</v>
      </c>
      <c r="AA352" s="13">
        <f>+VLOOKUP(Q352,COMISIONES!$C$2:$C$33,1,0)</f>
        <v>20008711</v>
      </c>
      <c r="AB352" s="13" t="s">
        <v>269</v>
      </c>
    </row>
    <row r="353" spans="1:28" hidden="1">
      <c r="A353" s="117" t="s">
        <v>821</v>
      </c>
      <c r="B353" s="138">
        <v>45154</v>
      </c>
      <c r="C353" s="117" t="s">
        <v>1880</v>
      </c>
      <c r="D353" s="117" t="s">
        <v>1881</v>
      </c>
      <c r="E353" s="117" t="s">
        <v>1882</v>
      </c>
      <c r="F353" s="117"/>
      <c r="G353" s="117" t="s">
        <v>44</v>
      </c>
      <c r="H353" s="117" t="s">
        <v>1</v>
      </c>
      <c r="I353"/>
      <c r="J353"/>
      <c r="K353" s="117" t="s">
        <v>105</v>
      </c>
      <c r="L353">
        <v>5</v>
      </c>
      <c r="M353" s="117" t="s">
        <v>110</v>
      </c>
      <c r="N353" s="117" t="s">
        <v>10</v>
      </c>
      <c r="O353" s="117" t="s">
        <v>51</v>
      </c>
      <c r="P353" s="117" t="s">
        <v>40</v>
      </c>
      <c r="Q353" s="139">
        <v>20000661</v>
      </c>
      <c r="R353" s="117" t="s">
        <v>78</v>
      </c>
      <c r="S353" s="117" t="s">
        <v>109</v>
      </c>
      <c r="T353" s="117" t="s">
        <v>109</v>
      </c>
      <c r="U353" s="117" t="s">
        <v>128</v>
      </c>
      <c r="V353" s="12">
        <f>+IFERROR(IF(VLOOKUP(Q353,COMISIONES!$C$2:$K$33,9,0)&gt;=VLOOKUP(TC!Q353,COMISIONES!$C$2:$I$33,7,0),1,0),0)</f>
        <v>1</v>
      </c>
      <c r="W353" s="262">
        <f>+IF(H353="Segunda",VLOOKUP(_xlfn.CONCAT(P353,G353,H353,V353),'PUNTOS 2021'!$E$23:$F$30,2,0),TC!L353)</f>
        <v>5</v>
      </c>
      <c r="X353" s="67">
        <f>+VLOOKUP(Q353,COMISIONES!$C$2:$AO$33,39,0)</f>
        <v>60</v>
      </c>
      <c r="Y353" s="67">
        <f t="shared" si="5"/>
        <v>300</v>
      </c>
      <c r="Z353" s="58" t="s">
        <v>80</v>
      </c>
      <c r="AA353" s="13">
        <f>+VLOOKUP(Q353,COMISIONES!$C$2:$C$33,1,0)</f>
        <v>20000661</v>
      </c>
      <c r="AB353" s="13" t="s">
        <v>269</v>
      </c>
    </row>
    <row r="354" spans="1:28">
      <c r="A354" s="117" t="s">
        <v>821</v>
      </c>
      <c r="B354" s="138">
        <v>45154</v>
      </c>
      <c r="C354" s="117" t="s">
        <v>1883</v>
      </c>
      <c r="D354" s="117" t="s">
        <v>1884</v>
      </c>
      <c r="E354" s="117" t="s">
        <v>1885</v>
      </c>
      <c r="F354" s="117"/>
      <c r="G354" s="117" t="s">
        <v>44</v>
      </c>
      <c r="H354" s="117" t="s">
        <v>2</v>
      </c>
      <c r="I354"/>
      <c r="J354"/>
      <c r="K354" s="117" t="s">
        <v>105</v>
      </c>
      <c r="L354">
        <v>1</v>
      </c>
      <c r="M354" s="117" t="s">
        <v>113</v>
      </c>
      <c r="N354" s="117" t="s">
        <v>12</v>
      </c>
      <c r="O354" s="117" t="s">
        <v>49</v>
      </c>
      <c r="P354" s="117" t="s">
        <v>40</v>
      </c>
      <c r="Q354" s="139">
        <v>20007726</v>
      </c>
      <c r="R354" s="117" t="s">
        <v>78</v>
      </c>
      <c r="S354" s="117" t="s">
        <v>109</v>
      </c>
      <c r="T354" s="117" t="s">
        <v>109</v>
      </c>
      <c r="U354" s="117" t="s">
        <v>128</v>
      </c>
      <c r="V354" s="12">
        <f>+IFERROR(IF(VLOOKUP(Q354,COMISIONES!$C$2:$K$33,9,0)&gt;=VLOOKUP(TC!Q354,COMISIONES!$C$2:$I$33,7,0),1,0),0)</f>
        <v>1</v>
      </c>
      <c r="W354" s="262">
        <f>+IF(H354="Segunda",VLOOKUP(_xlfn.CONCAT(P354,G354,H354,V354),'PUNTOS 2021'!$E$23:$F$30,2,0),TC!L354)</f>
        <v>1</v>
      </c>
      <c r="X354" s="67">
        <f>+VLOOKUP(Q354,COMISIONES!$C$2:$AO$33,39,0)</f>
        <v>65</v>
      </c>
      <c r="Y354" s="67">
        <f t="shared" si="5"/>
        <v>65</v>
      </c>
      <c r="Z354" s="58" t="s">
        <v>80</v>
      </c>
      <c r="AA354" s="13">
        <f>+VLOOKUP(Q354,COMISIONES!$C$2:$C$33,1,0)</f>
        <v>20007726</v>
      </c>
      <c r="AB354" s="13" t="s">
        <v>269</v>
      </c>
    </row>
    <row r="355" spans="1:28" hidden="1">
      <c r="A355" s="117" t="s">
        <v>821</v>
      </c>
      <c r="B355" s="138">
        <v>45154</v>
      </c>
      <c r="C355" s="117" t="s">
        <v>1886</v>
      </c>
      <c r="D355" s="117" t="s">
        <v>1887</v>
      </c>
      <c r="E355" s="117" t="s">
        <v>1888</v>
      </c>
      <c r="F355" s="117"/>
      <c r="G355" s="117" t="s">
        <v>45</v>
      </c>
      <c r="H355" s="117" t="s">
        <v>1</v>
      </c>
      <c r="I355"/>
      <c r="J355"/>
      <c r="K355" s="117" t="s">
        <v>105</v>
      </c>
      <c r="L355">
        <v>7</v>
      </c>
      <c r="M355" s="117" t="s">
        <v>124</v>
      </c>
      <c r="N355" s="117" t="s">
        <v>17</v>
      </c>
      <c r="O355" s="117" t="s">
        <v>52</v>
      </c>
      <c r="P355" s="117" t="s">
        <v>40</v>
      </c>
      <c r="Q355" s="139">
        <v>20006233</v>
      </c>
      <c r="R355" s="117" t="s">
        <v>78</v>
      </c>
      <c r="S355" s="117" t="s">
        <v>109</v>
      </c>
      <c r="T355" s="117" t="s">
        <v>109</v>
      </c>
      <c r="U355" s="117" t="s">
        <v>128</v>
      </c>
      <c r="V355" s="12">
        <f>+IFERROR(IF(VLOOKUP(Q355,COMISIONES!$C$2:$K$33,9,0)&gt;=VLOOKUP(TC!Q355,COMISIONES!$C$2:$I$33,7,0),1,0),0)</f>
        <v>0</v>
      </c>
      <c r="W355" s="262">
        <f>+IF(H355="Segunda",VLOOKUP(_xlfn.CONCAT(P355,G355,H355,V355),'PUNTOS 2021'!$E$23:$F$30,2,0),TC!L355)</f>
        <v>7</v>
      </c>
      <c r="X355" s="67">
        <f>+VLOOKUP(Q355,COMISIONES!$C$2:$AO$33,39,0)</f>
        <v>40</v>
      </c>
      <c r="Y355" s="67">
        <f t="shared" si="5"/>
        <v>280</v>
      </c>
      <c r="Z355" s="58" t="s">
        <v>80</v>
      </c>
      <c r="AA355" s="13">
        <f>+VLOOKUP(Q355,COMISIONES!$C$2:$C$33,1,0)</f>
        <v>20006233</v>
      </c>
      <c r="AB355" s="13" t="s">
        <v>269</v>
      </c>
    </row>
    <row r="356" spans="1:28" hidden="1">
      <c r="A356" s="117" t="s">
        <v>821</v>
      </c>
      <c r="B356" s="138">
        <v>45154</v>
      </c>
      <c r="C356" s="117" t="s">
        <v>1889</v>
      </c>
      <c r="D356" s="117" t="s">
        <v>1890</v>
      </c>
      <c r="E356" s="117" t="s">
        <v>1891</v>
      </c>
      <c r="F356" s="117"/>
      <c r="G356" s="117" t="s">
        <v>44</v>
      </c>
      <c r="H356" s="117" t="s">
        <v>48</v>
      </c>
      <c r="I356"/>
      <c r="J356"/>
      <c r="K356" s="117" t="s">
        <v>105</v>
      </c>
      <c r="L356">
        <v>0</v>
      </c>
      <c r="M356" s="117" t="s">
        <v>159</v>
      </c>
      <c r="N356" s="117" t="s">
        <v>227</v>
      </c>
      <c r="O356" s="117" t="s">
        <v>49</v>
      </c>
      <c r="P356" s="117" t="s">
        <v>40</v>
      </c>
      <c r="Q356" s="139">
        <v>20009690</v>
      </c>
      <c r="R356" s="117" t="s">
        <v>78</v>
      </c>
      <c r="S356" s="117" t="s">
        <v>107</v>
      </c>
      <c r="T356" s="117" t="s">
        <v>48</v>
      </c>
      <c r="U356" s="117" t="s">
        <v>128</v>
      </c>
      <c r="V356" s="12">
        <f>+IFERROR(IF(VLOOKUP(Q356,COMISIONES!$C$2:$K$33,9,0)&gt;=VLOOKUP(TC!Q356,COMISIONES!$C$2:$I$33,7,0),1,0),0)</f>
        <v>0</v>
      </c>
      <c r="W356" s="262">
        <f>+IF(H356="Segunda",VLOOKUP(_xlfn.CONCAT(P356,G356,H356,V356),'PUNTOS 2021'!$E$23:$F$30,2,0),TC!L356)</f>
        <v>0</v>
      </c>
      <c r="X356" s="67">
        <f>+VLOOKUP(Q356,COMISIONES!$C$2:$AO$33,39,0)</f>
        <v>45</v>
      </c>
      <c r="Y356" s="67">
        <f t="shared" si="5"/>
        <v>0</v>
      </c>
      <c r="Z356" s="58" t="s">
        <v>80</v>
      </c>
      <c r="AA356" s="13">
        <f>+VLOOKUP(Q356,COMISIONES!$C$2:$C$33,1,0)</f>
        <v>20009690</v>
      </c>
      <c r="AB356" s="13" t="s">
        <v>269</v>
      </c>
    </row>
    <row r="357" spans="1:28" hidden="1">
      <c r="A357" s="117" t="s">
        <v>821</v>
      </c>
      <c r="B357" s="138">
        <v>45154</v>
      </c>
      <c r="C357" s="117" t="s">
        <v>1892</v>
      </c>
      <c r="D357" s="117" t="s">
        <v>1893</v>
      </c>
      <c r="E357" s="117" t="s">
        <v>1894</v>
      </c>
      <c r="F357" s="117"/>
      <c r="G357" s="117" t="s">
        <v>44</v>
      </c>
      <c r="H357" s="117" t="s">
        <v>1</v>
      </c>
      <c r="I357"/>
      <c r="J357"/>
      <c r="K357" s="117" t="s">
        <v>105</v>
      </c>
      <c r="L357">
        <v>5</v>
      </c>
      <c r="M357" s="117" t="s">
        <v>126</v>
      </c>
      <c r="N357" s="117" t="s">
        <v>11</v>
      </c>
      <c r="O357" s="117" t="s">
        <v>49</v>
      </c>
      <c r="P357" s="117" t="s">
        <v>40</v>
      </c>
      <c r="Q357" s="139">
        <v>20004235</v>
      </c>
      <c r="R357" s="117" t="s">
        <v>78</v>
      </c>
      <c r="S357" s="117" t="s">
        <v>109</v>
      </c>
      <c r="T357" s="117" t="s">
        <v>109</v>
      </c>
      <c r="U357" s="117" t="s">
        <v>128</v>
      </c>
      <c r="V357" s="12">
        <f>+IFERROR(IF(VLOOKUP(Q357,COMISIONES!$C$2:$K$33,9,0)&gt;=VLOOKUP(TC!Q357,COMISIONES!$C$2:$I$33,7,0),1,0),0)</f>
        <v>0</v>
      </c>
      <c r="W357" s="262">
        <f>+IF(H357="Segunda",VLOOKUP(_xlfn.CONCAT(P357,G357,H357,V357),'PUNTOS 2021'!$E$23:$F$30,2,0),TC!L357)</f>
        <v>5</v>
      </c>
      <c r="X357" s="67">
        <f>+VLOOKUP(Q357,COMISIONES!$C$2:$AO$33,39,0)</f>
        <v>40</v>
      </c>
      <c r="Y357" s="67">
        <f t="shared" si="5"/>
        <v>200</v>
      </c>
      <c r="Z357" s="58" t="s">
        <v>80</v>
      </c>
      <c r="AA357" s="13">
        <f>+VLOOKUP(Q357,COMISIONES!$C$2:$C$33,1,0)</f>
        <v>20004235</v>
      </c>
      <c r="AB357" s="13" t="s">
        <v>269</v>
      </c>
    </row>
    <row r="358" spans="1:28">
      <c r="A358" s="117" t="s">
        <v>821</v>
      </c>
      <c r="B358" s="138">
        <v>45154</v>
      </c>
      <c r="C358" s="117" t="s">
        <v>1895</v>
      </c>
      <c r="D358" s="117" t="s">
        <v>1896</v>
      </c>
      <c r="E358" s="117" t="s">
        <v>1897</v>
      </c>
      <c r="F358" s="117"/>
      <c r="G358" s="117" t="s">
        <v>45</v>
      </c>
      <c r="H358" s="117" t="s">
        <v>2</v>
      </c>
      <c r="I358"/>
      <c r="J358"/>
      <c r="K358" s="117" t="s">
        <v>105</v>
      </c>
      <c r="L358">
        <v>2</v>
      </c>
      <c r="M358" s="117" t="s">
        <v>124</v>
      </c>
      <c r="N358" s="117" t="s">
        <v>17</v>
      </c>
      <c r="O358" s="117" t="s">
        <v>52</v>
      </c>
      <c r="P358" s="117" t="s">
        <v>40</v>
      </c>
      <c r="Q358" s="139">
        <v>20006233</v>
      </c>
      <c r="R358" s="117" t="s">
        <v>78</v>
      </c>
      <c r="S358" s="117" t="s">
        <v>109</v>
      </c>
      <c r="T358" s="117" t="s">
        <v>109</v>
      </c>
      <c r="U358" s="117" t="s">
        <v>128</v>
      </c>
      <c r="V358" s="12">
        <f>+IFERROR(IF(VLOOKUP(Q358,COMISIONES!$C$2:$K$33,9,0)&gt;=VLOOKUP(TC!Q358,COMISIONES!$C$2:$I$33,7,0),1,0),0)</f>
        <v>0</v>
      </c>
      <c r="W358" s="262">
        <f>+IF(H358="Segunda",VLOOKUP(_xlfn.CONCAT(P358,G358,H358,V358),'PUNTOS 2021'!$E$23:$F$30,2,0),TC!L358)</f>
        <v>0.5</v>
      </c>
      <c r="X358" s="67">
        <f>+VLOOKUP(Q358,COMISIONES!$C$2:$AO$33,39,0)</f>
        <v>40</v>
      </c>
      <c r="Y358" s="67">
        <f t="shared" si="5"/>
        <v>20</v>
      </c>
      <c r="Z358" s="58" t="s">
        <v>80</v>
      </c>
      <c r="AA358" s="13">
        <f>+VLOOKUP(Q358,COMISIONES!$C$2:$C$33,1,0)</f>
        <v>20006233</v>
      </c>
      <c r="AB358" s="13" t="s">
        <v>269</v>
      </c>
    </row>
    <row r="359" spans="1:28" hidden="1">
      <c r="A359" s="117" t="s">
        <v>821</v>
      </c>
      <c r="B359" s="138">
        <v>45154</v>
      </c>
      <c r="C359" s="117" t="s">
        <v>1898</v>
      </c>
      <c r="D359" s="117" t="s">
        <v>1899</v>
      </c>
      <c r="E359" s="117" t="s">
        <v>1900</v>
      </c>
      <c r="F359" s="117"/>
      <c r="G359" s="117" t="s">
        <v>43</v>
      </c>
      <c r="H359" s="117" t="s">
        <v>1</v>
      </c>
      <c r="I359"/>
      <c r="J359"/>
      <c r="K359" s="117" t="s">
        <v>105</v>
      </c>
      <c r="L359">
        <v>3</v>
      </c>
      <c r="M359" s="117" t="s">
        <v>159</v>
      </c>
      <c r="N359" s="117" t="s">
        <v>227</v>
      </c>
      <c r="O359" s="117" t="s">
        <v>49</v>
      </c>
      <c r="P359" s="117" t="s">
        <v>40</v>
      </c>
      <c r="Q359" s="139">
        <v>20009690</v>
      </c>
      <c r="R359" s="117" t="s">
        <v>78</v>
      </c>
      <c r="S359" s="117" t="s">
        <v>109</v>
      </c>
      <c r="T359" s="117" t="s">
        <v>109</v>
      </c>
      <c r="U359" s="117" t="s">
        <v>128</v>
      </c>
      <c r="V359" s="12">
        <f>+IFERROR(IF(VLOOKUP(Q359,COMISIONES!$C$2:$K$33,9,0)&gt;=VLOOKUP(TC!Q359,COMISIONES!$C$2:$I$33,7,0),1,0),0)</f>
        <v>0</v>
      </c>
      <c r="W359" s="262">
        <f>+IF(H359="Segunda",VLOOKUP(_xlfn.CONCAT(P359,G359,H359,V359),'PUNTOS 2021'!$E$23:$F$30,2,0),TC!L359)</f>
        <v>3</v>
      </c>
      <c r="X359" s="67">
        <f>+VLOOKUP(Q359,COMISIONES!$C$2:$AO$33,39,0)</f>
        <v>45</v>
      </c>
      <c r="Y359" s="67">
        <f t="shared" si="5"/>
        <v>135</v>
      </c>
      <c r="Z359" s="58" t="s">
        <v>80</v>
      </c>
      <c r="AA359" s="13">
        <f>+VLOOKUP(Q359,COMISIONES!$C$2:$C$33,1,0)</f>
        <v>20009690</v>
      </c>
      <c r="AB359" s="13" t="s">
        <v>269</v>
      </c>
    </row>
    <row r="360" spans="1:28" hidden="1">
      <c r="A360" s="117" t="s">
        <v>821</v>
      </c>
      <c r="B360" s="138">
        <v>45154</v>
      </c>
      <c r="C360" s="117" t="s">
        <v>1901</v>
      </c>
      <c r="D360" s="117" t="s">
        <v>1902</v>
      </c>
      <c r="E360" s="117" t="s">
        <v>1903</v>
      </c>
      <c r="F360" s="117"/>
      <c r="G360" s="117" t="s">
        <v>45</v>
      </c>
      <c r="H360" s="117" t="s">
        <v>1</v>
      </c>
      <c r="I360"/>
      <c r="J360"/>
      <c r="K360" s="117" t="s">
        <v>105</v>
      </c>
      <c r="L360">
        <v>7</v>
      </c>
      <c r="M360" s="117" t="s">
        <v>110</v>
      </c>
      <c r="N360" s="117" t="s">
        <v>10</v>
      </c>
      <c r="O360" s="117" t="s">
        <v>51</v>
      </c>
      <c r="P360" s="117" t="s">
        <v>40</v>
      </c>
      <c r="Q360" s="139">
        <v>20000661</v>
      </c>
      <c r="R360" s="117" t="s">
        <v>78</v>
      </c>
      <c r="S360" s="117" t="s">
        <v>109</v>
      </c>
      <c r="T360" s="117" t="s">
        <v>109</v>
      </c>
      <c r="U360" s="117" t="s">
        <v>128</v>
      </c>
      <c r="V360" s="12">
        <f>+IFERROR(IF(VLOOKUP(Q360,COMISIONES!$C$2:$K$33,9,0)&gt;=VLOOKUP(TC!Q360,COMISIONES!$C$2:$I$33,7,0),1,0),0)</f>
        <v>1</v>
      </c>
      <c r="W360" s="262">
        <f>+IF(H360="Segunda",VLOOKUP(_xlfn.CONCAT(P360,G360,H360,V360),'PUNTOS 2021'!$E$23:$F$30,2,0),TC!L360)</f>
        <v>7</v>
      </c>
      <c r="X360" s="67">
        <f>+VLOOKUP(Q360,COMISIONES!$C$2:$AO$33,39,0)</f>
        <v>60</v>
      </c>
      <c r="Y360" s="67">
        <f t="shared" si="5"/>
        <v>420</v>
      </c>
      <c r="Z360" s="58" t="s">
        <v>80</v>
      </c>
      <c r="AA360" s="13">
        <f>+VLOOKUP(Q360,COMISIONES!$C$2:$C$33,1,0)</f>
        <v>20000661</v>
      </c>
      <c r="AB360" s="13" t="s">
        <v>269</v>
      </c>
    </row>
    <row r="361" spans="1:28">
      <c r="A361" s="117" t="s">
        <v>821</v>
      </c>
      <c r="B361" s="138">
        <v>45154</v>
      </c>
      <c r="C361" s="117" t="s">
        <v>1904</v>
      </c>
      <c r="D361" s="117" t="s">
        <v>1905</v>
      </c>
      <c r="E361" s="117" t="s">
        <v>1906</v>
      </c>
      <c r="F361" s="117"/>
      <c r="G361" s="117" t="s">
        <v>44</v>
      </c>
      <c r="H361" s="117" t="s">
        <v>2</v>
      </c>
      <c r="I361"/>
      <c r="J361"/>
      <c r="K361" s="117" t="s">
        <v>105</v>
      </c>
      <c r="L361">
        <v>1</v>
      </c>
      <c r="M361" s="117" t="s">
        <v>114</v>
      </c>
      <c r="N361" s="117" t="s">
        <v>19</v>
      </c>
      <c r="O361" s="117" t="s">
        <v>49</v>
      </c>
      <c r="P361" s="117" t="s">
        <v>40</v>
      </c>
      <c r="Q361" s="139">
        <v>20008625</v>
      </c>
      <c r="R361" s="117" t="s">
        <v>78</v>
      </c>
      <c r="S361" s="117" t="s">
        <v>109</v>
      </c>
      <c r="T361" s="117" t="s">
        <v>109</v>
      </c>
      <c r="U361" s="117" t="s">
        <v>118</v>
      </c>
      <c r="V361" s="12">
        <f>+IFERROR(IF(VLOOKUP(Q361,COMISIONES!$C$2:$K$33,9,0)&gt;=VLOOKUP(TC!Q361,COMISIONES!$C$2:$I$33,7,0),1,0),0)</f>
        <v>0</v>
      </c>
      <c r="W361" s="262">
        <f>+IF(H361="Segunda",VLOOKUP(_xlfn.CONCAT(P361,G361,H361,V361),'PUNTOS 2021'!$E$23:$F$30,2,0),TC!L361)</f>
        <v>0.5</v>
      </c>
      <c r="X361" s="67">
        <f>+VLOOKUP(Q361,COMISIONES!$C$2:$AO$33,39,0)</f>
        <v>20</v>
      </c>
      <c r="Y361" s="67">
        <f t="shared" si="5"/>
        <v>10</v>
      </c>
      <c r="Z361" s="58" t="s">
        <v>80</v>
      </c>
      <c r="AA361" s="13">
        <f>+VLOOKUP(Q361,COMISIONES!$C$2:$C$33,1,0)</f>
        <v>20008625</v>
      </c>
      <c r="AB361" s="13" t="s">
        <v>269</v>
      </c>
    </row>
    <row r="362" spans="1:28">
      <c r="A362" s="117" t="s">
        <v>821</v>
      </c>
      <c r="B362" s="138">
        <v>45154</v>
      </c>
      <c r="C362" s="117" t="s">
        <v>1907</v>
      </c>
      <c r="D362" s="117" t="s">
        <v>1908</v>
      </c>
      <c r="E362" s="117" t="s">
        <v>1909</v>
      </c>
      <c r="F362" s="117"/>
      <c r="G362" s="117" t="s">
        <v>43</v>
      </c>
      <c r="H362" s="117" t="s">
        <v>2</v>
      </c>
      <c r="I362"/>
      <c r="J362"/>
      <c r="K362" s="117" t="s">
        <v>105</v>
      </c>
      <c r="L362">
        <v>1</v>
      </c>
      <c r="M362" s="117" t="s">
        <v>257</v>
      </c>
      <c r="N362" s="117" t="s">
        <v>15</v>
      </c>
      <c r="O362" s="117" t="s">
        <v>52</v>
      </c>
      <c r="P362" s="117" t="s">
        <v>40</v>
      </c>
      <c r="Q362" s="139">
        <v>20005527</v>
      </c>
      <c r="R362" s="117" t="s">
        <v>78</v>
      </c>
      <c r="S362" s="117" t="s">
        <v>109</v>
      </c>
      <c r="T362" s="117" t="s">
        <v>109</v>
      </c>
      <c r="U362" s="117" t="s">
        <v>118</v>
      </c>
      <c r="V362" s="12">
        <f>+IFERROR(IF(VLOOKUP(Q362,COMISIONES!$C$2:$K$33,9,0)&gt;=VLOOKUP(TC!Q362,COMISIONES!$C$2:$I$33,7,0),1,0),0)</f>
        <v>0</v>
      </c>
      <c r="W362" s="262">
        <f>+IF(H362="Segunda",VLOOKUP(_xlfn.CONCAT(P362,G362,H362,V362),'PUNTOS 2021'!$E$23:$F$30,2,0),TC!L362)</f>
        <v>0.5</v>
      </c>
      <c r="X362" s="67">
        <f>+VLOOKUP(Q362,COMISIONES!$C$2:$AO$33,39,0)</f>
        <v>40</v>
      </c>
      <c r="Y362" s="67">
        <f t="shared" si="5"/>
        <v>20</v>
      </c>
      <c r="Z362" s="58" t="s">
        <v>80</v>
      </c>
      <c r="AA362" s="13">
        <f>+VLOOKUP(Q362,COMISIONES!$C$2:$C$33,1,0)</f>
        <v>20005527</v>
      </c>
      <c r="AB362" s="13" t="s">
        <v>269</v>
      </c>
    </row>
    <row r="363" spans="1:28" hidden="1">
      <c r="A363" s="117" t="s">
        <v>821</v>
      </c>
      <c r="B363" s="138">
        <v>45154</v>
      </c>
      <c r="C363" s="117" t="s">
        <v>1910</v>
      </c>
      <c r="D363" s="117" t="s">
        <v>1833</v>
      </c>
      <c r="E363" s="117" t="s">
        <v>1911</v>
      </c>
      <c r="F363" s="117"/>
      <c r="G363" s="117" t="s">
        <v>45</v>
      </c>
      <c r="H363" s="117" t="s">
        <v>1</v>
      </c>
      <c r="I363"/>
      <c r="J363"/>
      <c r="K363" s="117" t="s">
        <v>129</v>
      </c>
      <c r="L363">
        <v>7</v>
      </c>
      <c r="M363" s="117" t="s">
        <v>161</v>
      </c>
      <c r="N363" s="117" t="s">
        <v>158</v>
      </c>
      <c r="O363" s="117" t="s">
        <v>50</v>
      </c>
      <c r="P363" s="117" t="s">
        <v>40</v>
      </c>
      <c r="Q363" s="139">
        <v>20006162</v>
      </c>
      <c r="R363" s="117" t="s">
        <v>78</v>
      </c>
      <c r="S363" s="117" t="s">
        <v>109</v>
      </c>
      <c r="T363" s="117" t="s">
        <v>109</v>
      </c>
      <c r="U363" s="117" t="s">
        <v>128</v>
      </c>
      <c r="V363" s="12">
        <f>+IFERROR(IF(VLOOKUP(Q363,COMISIONES!$C$2:$K$33,9,0)&gt;=VLOOKUP(TC!Q363,COMISIONES!$C$2:$I$33,7,0),1,0),0)</f>
        <v>0</v>
      </c>
      <c r="W363" s="262">
        <f>+IF(H363="Segunda",VLOOKUP(_xlfn.CONCAT(P363,G363,H363,V363),'PUNTOS 2021'!$E$23:$F$30,2,0),TC!L363)</f>
        <v>7</v>
      </c>
      <c r="X363" s="67">
        <f>+VLOOKUP(Q363,COMISIONES!$C$2:$AO$33,39,0)</f>
        <v>60</v>
      </c>
      <c r="Y363" s="67">
        <f t="shared" si="5"/>
        <v>420</v>
      </c>
      <c r="Z363" s="58" t="s">
        <v>80</v>
      </c>
      <c r="AA363" s="13">
        <f>+VLOOKUP(Q363,COMISIONES!$C$2:$C$33,1,0)</f>
        <v>20006162</v>
      </c>
      <c r="AB363" s="13" t="s">
        <v>269</v>
      </c>
    </row>
    <row r="364" spans="1:28" hidden="1">
      <c r="A364" s="117" t="s">
        <v>821</v>
      </c>
      <c r="B364" s="138">
        <v>45154</v>
      </c>
      <c r="C364" s="117" t="s">
        <v>1912</v>
      </c>
      <c r="D364" s="117" t="s">
        <v>1824</v>
      </c>
      <c r="E364" s="117" t="s">
        <v>1913</v>
      </c>
      <c r="F364" s="117"/>
      <c r="G364" s="117" t="s">
        <v>45</v>
      </c>
      <c r="H364" s="117" t="s">
        <v>1</v>
      </c>
      <c r="I364"/>
      <c r="J364"/>
      <c r="K364" s="117" t="s">
        <v>105</v>
      </c>
      <c r="L364">
        <v>7</v>
      </c>
      <c r="M364" s="117" t="s">
        <v>260</v>
      </c>
      <c r="N364" s="117" t="s">
        <v>261</v>
      </c>
      <c r="O364" s="117" t="s">
        <v>52</v>
      </c>
      <c r="P364" s="117" t="s">
        <v>40</v>
      </c>
      <c r="Q364" s="139">
        <v>20010262</v>
      </c>
      <c r="R364" s="117" t="s">
        <v>78</v>
      </c>
      <c r="S364" s="117" t="s">
        <v>109</v>
      </c>
      <c r="T364" s="117" t="s">
        <v>109</v>
      </c>
      <c r="U364" s="117" t="s">
        <v>128</v>
      </c>
      <c r="V364" s="12">
        <f>+IFERROR(IF(VLOOKUP(Q364,COMISIONES!$C$2:$K$33,9,0)&gt;=VLOOKUP(TC!Q364,COMISIONES!$C$2:$I$33,7,0),1,0),0)</f>
        <v>0</v>
      </c>
      <c r="W364" s="262">
        <f>+IF(H364="Segunda",VLOOKUP(_xlfn.CONCAT(P364,G364,H364,V364),'PUNTOS 2021'!$E$23:$F$30,2,0),TC!L364)</f>
        <v>7</v>
      </c>
      <c r="X364" s="67">
        <f>+VLOOKUP(Q364,COMISIONES!$C$2:$AO$33,39,0)</f>
        <v>60</v>
      </c>
      <c r="Y364" s="67">
        <f t="shared" si="5"/>
        <v>420</v>
      </c>
      <c r="Z364" s="58" t="s">
        <v>80</v>
      </c>
      <c r="AA364" s="13">
        <f>+VLOOKUP(Q364,COMISIONES!$C$2:$C$33,1,0)</f>
        <v>20010262</v>
      </c>
      <c r="AB364" s="13" t="s">
        <v>269</v>
      </c>
    </row>
    <row r="365" spans="1:28" hidden="1">
      <c r="A365" s="117" t="s">
        <v>821</v>
      </c>
      <c r="B365" s="138">
        <v>45154</v>
      </c>
      <c r="C365" s="117" t="s">
        <v>1914</v>
      </c>
      <c r="D365" s="117" t="s">
        <v>1842</v>
      </c>
      <c r="E365" s="117" t="s">
        <v>1915</v>
      </c>
      <c r="F365" s="117"/>
      <c r="G365" s="117" t="s">
        <v>45</v>
      </c>
      <c r="H365" s="117" t="s">
        <v>1</v>
      </c>
      <c r="I365"/>
      <c r="J365"/>
      <c r="K365" s="117" t="s">
        <v>105</v>
      </c>
      <c r="L365">
        <v>7</v>
      </c>
      <c r="M365" s="117" t="s">
        <v>120</v>
      </c>
      <c r="N365" s="117" t="s">
        <v>21</v>
      </c>
      <c r="O365" s="117" t="s">
        <v>50</v>
      </c>
      <c r="P365" s="117" t="s">
        <v>40</v>
      </c>
      <c r="Q365" s="139">
        <v>20008711</v>
      </c>
      <c r="R365" s="117" t="s">
        <v>78</v>
      </c>
      <c r="S365" s="117" t="s">
        <v>109</v>
      </c>
      <c r="T365" s="117" t="s">
        <v>109</v>
      </c>
      <c r="U365" s="117" t="s">
        <v>128</v>
      </c>
      <c r="V365" s="12">
        <f>+IFERROR(IF(VLOOKUP(Q365,COMISIONES!$C$2:$K$33,9,0)&gt;=VLOOKUP(TC!Q365,COMISIONES!$C$2:$I$33,7,0),1,0),0)</f>
        <v>0</v>
      </c>
      <c r="W365" s="262">
        <f>+IF(H365="Segunda",VLOOKUP(_xlfn.CONCAT(P365,G365,H365,V365),'PUNTOS 2021'!$E$23:$F$30,2,0),TC!L365)</f>
        <v>7</v>
      </c>
      <c r="X365" s="67">
        <f>+VLOOKUP(Q365,COMISIONES!$C$2:$AO$33,39,0)</f>
        <v>60</v>
      </c>
      <c r="Y365" s="67">
        <f t="shared" si="5"/>
        <v>420</v>
      </c>
      <c r="Z365" s="58" t="s">
        <v>80</v>
      </c>
      <c r="AA365" s="13">
        <f>+VLOOKUP(Q365,COMISIONES!$C$2:$C$33,1,0)</f>
        <v>20008711</v>
      </c>
      <c r="AB365" s="13" t="s">
        <v>269</v>
      </c>
    </row>
    <row r="366" spans="1:28" hidden="1">
      <c r="A366" s="117" t="s">
        <v>821</v>
      </c>
      <c r="B366" s="138">
        <v>45155</v>
      </c>
      <c r="C366" s="117" t="s">
        <v>1916</v>
      </c>
      <c r="D366" s="117" t="s">
        <v>1917</v>
      </c>
      <c r="E366" s="117" t="s">
        <v>1918</v>
      </c>
      <c r="F366" s="117"/>
      <c r="G366" s="117" t="s">
        <v>43</v>
      </c>
      <c r="H366" s="117" t="s">
        <v>1</v>
      </c>
      <c r="I366"/>
      <c r="J366"/>
      <c r="K366" s="117" t="s">
        <v>105</v>
      </c>
      <c r="L366">
        <v>3</v>
      </c>
      <c r="M366" s="117" t="s">
        <v>257</v>
      </c>
      <c r="N366" s="117" t="s">
        <v>15</v>
      </c>
      <c r="O366" s="117" t="s">
        <v>52</v>
      </c>
      <c r="P366" s="117" t="s">
        <v>40</v>
      </c>
      <c r="Q366" s="139">
        <v>20005527</v>
      </c>
      <c r="R366" s="117" t="s">
        <v>78</v>
      </c>
      <c r="S366" s="117" t="s">
        <v>109</v>
      </c>
      <c r="T366" s="117" t="s">
        <v>109</v>
      </c>
      <c r="U366" s="117" t="s">
        <v>128</v>
      </c>
      <c r="V366" s="12">
        <f>+IFERROR(IF(VLOOKUP(Q366,COMISIONES!$C$2:$K$33,9,0)&gt;=VLOOKUP(TC!Q366,COMISIONES!$C$2:$I$33,7,0),1,0),0)</f>
        <v>0</v>
      </c>
      <c r="W366" s="262">
        <f>+IF(H366="Segunda",VLOOKUP(_xlfn.CONCAT(P366,G366,H366,V366),'PUNTOS 2021'!$E$23:$F$30,2,0),TC!L366)</f>
        <v>3</v>
      </c>
      <c r="X366" s="67">
        <f>+VLOOKUP(Q366,COMISIONES!$C$2:$AO$33,39,0)</f>
        <v>40</v>
      </c>
      <c r="Y366" s="67">
        <f t="shared" si="5"/>
        <v>120</v>
      </c>
      <c r="Z366" s="58" t="s">
        <v>80</v>
      </c>
      <c r="AA366" s="13">
        <f>+VLOOKUP(Q366,COMISIONES!$C$2:$C$33,1,0)</f>
        <v>20005527</v>
      </c>
      <c r="AB366" s="13" t="s">
        <v>269</v>
      </c>
    </row>
    <row r="367" spans="1:28" hidden="1">
      <c r="A367" s="117" t="s">
        <v>821</v>
      </c>
      <c r="B367" s="138">
        <v>45155</v>
      </c>
      <c r="C367" s="117" t="s">
        <v>1919</v>
      </c>
      <c r="D367" s="117" t="s">
        <v>1920</v>
      </c>
      <c r="E367" s="117" t="s">
        <v>1921</v>
      </c>
      <c r="F367" s="117"/>
      <c r="G367" s="117" t="s">
        <v>43</v>
      </c>
      <c r="H367" s="117" t="s">
        <v>1</v>
      </c>
      <c r="I367"/>
      <c r="J367"/>
      <c r="K367" s="117" t="s">
        <v>105</v>
      </c>
      <c r="L367">
        <v>3</v>
      </c>
      <c r="M367" s="117" t="s">
        <v>259</v>
      </c>
      <c r="N367" s="117" t="s">
        <v>20</v>
      </c>
      <c r="O367" s="117" t="s">
        <v>50</v>
      </c>
      <c r="P367" s="117" t="s">
        <v>40</v>
      </c>
      <c r="Q367" s="139">
        <v>20008700</v>
      </c>
      <c r="R367" s="117" t="s">
        <v>78</v>
      </c>
      <c r="S367" s="117" t="s">
        <v>109</v>
      </c>
      <c r="T367" s="117" t="s">
        <v>109</v>
      </c>
      <c r="U367" s="117" t="s">
        <v>128</v>
      </c>
      <c r="V367" s="12">
        <f>+IFERROR(IF(VLOOKUP(Q367,COMISIONES!$C$2:$K$33,9,0)&gt;=VLOOKUP(TC!Q367,COMISIONES!$C$2:$I$33,7,0),1,0),0)</f>
        <v>0</v>
      </c>
      <c r="W367" s="262">
        <f>+IF(H367="Segunda",VLOOKUP(_xlfn.CONCAT(P367,G367,H367,V367),'PUNTOS 2021'!$E$23:$F$30,2,0),TC!L367)</f>
        <v>3</v>
      </c>
      <c r="X367" s="67">
        <f>+VLOOKUP(Q367,COMISIONES!$C$2:$AO$33,39,0)</f>
        <v>40</v>
      </c>
      <c r="Y367" s="67">
        <f t="shared" si="5"/>
        <v>120</v>
      </c>
      <c r="Z367" s="58" t="s">
        <v>80</v>
      </c>
      <c r="AA367" s="13">
        <f>+VLOOKUP(Q367,COMISIONES!$C$2:$C$33,1,0)</f>
        <v>20008700</v>
      </c>
      <c r="AB367" s="13" t="s">
        <v>269</v>
      </c>
    </row>
    <row r="368" spans="1:28" hidden="1">
      <c r="A368" s="117" t="s">
        <v>821</v>
      </c>
      <c r="B368" s="138">
        <v>45155</v>
      </c>
      <c r="C368" s="117" t="s">
        <v>1922</v>
      </c>
      <c r="D368" s="117" t="s">
        <v>1923</v>
      </c>
      <c r="E368" s="117" t="s">
        <v>1924</v>
      </c>
      <c r="F368" s="117"/>
      <c r="G368" s="117" t="s">
        <v>43</v>
      </c>
      <c r="H368" s="117" t="s">
        <v>1</v>
      </c>
      <c r="I368"/>
      <c r="J368"/>
      <c r="K368" s="117" t="s">
        <v>105</v>
      </c>
      <c r="L368">
        <v>3</v>
      </c>
      <c r="M368" s="117" t="s">
        <v>159</v>
      </c>
      <c r="N368" s="117" t="s">
        <v>227</v>
      </c>
      <c r="O368" s="117" t="s">
        <v>49</v>
      </c>
      <c r="P368" s="117" t="s">
        <v>40</v>
      </c>
      <c r="Q368" s="139">
        <v>20009690</v>
      </c>
      <c r="R368" s="117" t="s">
        <v>78</v>
      </c>
      <c r="S368" s="117" t="s">
        <v>109</v>
      </c>
      <c r="T368" s="117" t="s">
        <v>109</v>
      </c>
      <c r="U368" s="117" t="s">
        <v>128</v>
      </c>
      <c r="V368" s="12">
        <f>+IFERROR(IF(VLOOKUP(Q368,COMISIONES!$C$2:$K$33,9,0)&gt;=VLOOKUP(TC!Q368,COMISIONES!$C$2:$I$33,7,0),1,0),0)</f>
        <v>0</v>
      </c>
      <c r="W368" s="262">
        <f>+IF(H368="Segunda",VLOOKUP(_xlfn.CONCAT(P368,G368,H368,V368),'PUNTOS 2021'!$E$23:$F$30,2,0),TC!L368)</f>
        <v>3</v>
      </c>
      <c r="X368" s="67">
        <f>+VLOOKUP(Q368,COMISIONES!$C$2:$AO$33,39,0)</f>
        <v>45</v>
      </c>
      <c r="Y368" s="67">
        <f t="shared" si="5"/>
        <v>135</v>
      </c>
      <c r="Z368" s="58" t="s">
        <v>80</v>
      </c>
      <c r="AA368" s="13">
        <f>+VLOOKUP(Q368,COMISIONES!$C$2:$C$33,1,0)</f>
        <v>20009690</v>
      </c>
      <c r="AB368" s="13" t="s">
        <v>269</v>
      </c>
    </row>
    <row r="369" spans="1:28">
      <c r="A369" s="117" t="s">
        <v>821</v>
      </c>
      <c r="B369" s="138">
        <v>45155</v>
      </c>
      <c r="C369" s="117" t="s">
        <v>1925</v>
      </c>
      <c r="D369" s="117" t="s">
        <v>1926</v>
      </c>
      <c r="E369" s="117" t="s">
        <v>1927</v>
      </c>
      <c r="F369" s="117"/>
      <c r="G369" s="117" t="s">
        <v>45</v>
      </c>
      <c r="H369" s="117" t="s">
        <v>2</v>
      </c>
      <c r="I369"/>
      <c r="J369"/>
      <c r="K369" s="117" t="s">
        <v>105</v>
      </c>
      <c r="L369">
        <v>2</v>
      </c>
      <c r="M369" s="117" t="s">
        <v>159</v>
      </c>
      <c r="N369" s="117" t="s">
        <v>227</v>
      </c>
      <c r="O369" s="117" t="s">
        <v>49</v>
      </c>
      <c r="P369" s="117" t="s">
        <v>40</v>
      </c>
      <c r="Q369" s="139">
        <v>20009690</v>
      </c>
      <c r="R369" s="117" t="s">
        <v>78</v>
      </c>
      <c r="S369" s="117" t="s">
        <v>109</v>
      </c>
      <c r="T369" s="117" t="s">
        <v>109</v>
      </c>
      <c r="U369" s="117" t="s">
        <v>128</v>
      </c>
      <c r="V369" s="12">
        <f>+IFERROR(IF(VLOOKUP(Q369,COMISIONES!$C$2:$K$33,9,0)&gt;=VLOOKUP(TC!Q369,COMISIONES!$C$2:$I$33,7,0),1,0),0)</f>
        <v>0</v>
      </c>
      <c r="W369" s="262">
        <f>+IF(H369="Segunda",VLOOKUP(_xlfn.CONCAT(P369,G369,H369,V369),'PUNTOS 2021'!$E$23:$F$30,2,0),TC!L369)</f>
        <v>0.5</v>
      </c>
      <c r="X369" s="67">
        <f>+VLOOKUP(Q369,COMISIONES!$C$2:$AO$33,39,0)</f>
        <v>45</v>
      </c>
      <c r="Y369" s="67">
        <f t="shared" si="5"/>
        <v>22.5</v>
      </c>
      <c r="Z369" s="58" t="s">
        <v>80</v>
      </c>
      <c r="AA369" s="13">
        <f>+VLOOKUP(Q369,COMISIONES!$C$2:$C$33,1,0)</f>
        <v>20009690</v>
      </c>
      <c r="AB369" s="13" t="s">
        <v>269</v>
      </c>
    </row>
    <row r="370" spans="1:28" hidden="1">
      <c r="A370" s="117" t="s">
        <v>821</v>
      </c>
      <c r="B370" s="138">
        <v>45155</v>
      </c>
      <c r="C370" s="117" t="s">
        <v>1928</v>
      </c>
      <c r="D370" s="117" t="s">
        <v>1929</v>
      </c>
      <c r="E370" s="117" t="s">
        <v>1930</v>
      </c>
      <c r="F370" s="117"/>
      <c r="G370" s="117" t="s">
        <v>44</v>
      </c>
      <c r="H370" s="117" t="s">
        <v>1</v>
      </c>
      <c r="I370"/>
      <c r="J370"/>
      <c r="K370" s="117" t="s">
        <v>117</v>
      </c>
      <c r="L370">
        <v>5</v>
      </c>
      <c r="M370" s="117" t="s">
        <v>262</v>
      </c>
      <c r="N370" s="117" t="s">
        <v>7</v>
      </c>
      <c r="O370" s="117" t="s">
        <v>52</v>
      </c>
      <c r="P370" s="117" t="s">
        <v>40</v>
      </c>
      <c r="Q370" s="139">
        <v>20007352</v>
      </c>
      <c r="R370" s="117" t="s">
        <v>78</v>
      </c>
      <c r="S370" s="117" t="s">
        <v>109</v>
      </c>
      <c r="T370" s="117" t="s">
        <v>109</v>
      </c>
      <c r="U370" s="117" t="s">
        <v>128</v>
      </c>
      <c r="V370" s="12">
        <f>+IFERROR(IF(VLOOKUP(Q370,COMISIONES!$C$2:$K$33,9,0)&gt;=VLOOKUP(TC!Q370,COMISIONES!$C$2:$I$33,7,0),1,0),0)</f>
        <v>0</v>
      </c>
      <c r="W370" s="262">
        <f>+IF(H370="Segunda",VLOOKUP(_xlfn.CONCAT(P370,G370,H370,V370),'PUNTOS 2021'!$E$23:$F$30,2,0),TC!L370)</f>
        <v>5</v>
      </c>
      <c r="X370" s="67">
        <f>+VLOOKUP(Q370,COMISIONES!$C$2:$AO$33,39,0)</f>
        <v>30</v>
      </c>
      <c r="Y370" s="67">
        <f t="shared" si="5"/>
        <v>150</v>
      </c>
      <c r="Z370" s="58" t="s">
        <v>80</v>
      </c>
      <c r="AA370" s="13">
        <f>+VLOOKUP(Q370,COMISIONES!$C$2:$C$33,1,0)</f>
        <v>20007352</v>
      </c>
      <c r="AB370" s="13" t="s">
        <v>269</v>
      </c>
    </row>
    <row r="371" spans="1:28">
      <c r="A371" s="117" t="s">
        <v>821</v>
      </c>
      <c r="B371" s="138">
        <v>45155</v>
      </c>
      <c r="C371" s="117" t="s">
        <v>1931</v>
      </c>
      <c r="D371" s="117" t="s">
        <v>1932</v>
      </c>
      <c r="E371" s="117" t="s">
        <v>1933</v>
      </c>
      <c r="F371" s="117"/>
      <c r="G371" s="117" t="s">
        <v>43</v>
      </c>
      <c r="H371" s="117" t="s">
        <v>2</v>
      </c>
      <c r="I371"/>
      <c r="J371"/>
      <c r="K371" s="117" t="s">
        <v>105</v>
      </c>
      <c r="L371">
        <v>1</v>
      </c>
      <c r="M371" s="117" t="s">
        <v>119</v>
      </c>
      <c r="N371" s="117" t="s">
        <v>22</v>
      </c>
      <c r="O371" s="117" t="s">
        <v>52</v>
      </c>
      <c r="P371" s="117" t="s">
        <v>40</v>
      </c>
      <c r="Q371" s="139">
        <v>20009174</v>
      </c>
      <c r="R371" s="117" t="s">
        <v>78</v>
      </c>
      <c r="S371" s="117" t="s">
        <v>109</v>
      </c>
      <c r="T371" s="117" t="s">
        <v>109</v>
      </c>
      <c r="U371" s="117" t="s">
        <v>128</v>
      </c>
      <c r="V371" s="12">
        <f>+IFERROR(IF(VLOOKUP(Q371,COMISIONES!$C$2:$K$33,9,0)&gt;=VLOOKUP(TC!Q371,COMISIONES!$C$2:$I$33,7,0),1,0),0)</f>
        <v>0</v>
      </c>
      <c r="W371" s="262">
        <f>+IF(H371="Segunda",VLOOKUP(_xlfn.CONCAT(P371,G371,H371,V371),'PUNTOS 2021'!$E$23:$F$30,2,0),TC!L371)</f>
        <v>0.5</v>
      </c>
      <c r="X371" s="67">
        <f>+VLOOKUP(Q371,COMISIONES!$C$2:$AO$33,39,0)</f>
        <v>60</v>
      </c>
      <c r="Y371" s="67">
        <f t="shared" si="5"/>
        <v>30</v>
      </c>
      <c r="Z371" s="58" t="s">
        <v>80</v>
      </c>
      <c r="AA371" s="13">
        <f>+VLOOKUP(Q371,COMISIONES!$C$2:$C$33,1,0)</f>
        <v>20009174</v>
      </c>
      <c r="AB371" s="13" t="s">
        <v>269</v>
      </c>
    </row>
    <row r="372" spans="1:28" hidden="1">
      <c r="A372" s="117" t="s">
        <v>821</v>
      </c>
      <c r="B372" s="138">
        <v>45155</v>
      </c>
      <c r="C372" s="117" t="s">
        <v>1934</v>
      </c>
      <c r="D372" s="117" t="s">
        <v>1935</v>
      </c>
      <c r="E372" s="117" t="s">
        <v>1936</v>
      </c>
      <c r="F372" s="117"/>
      <c r="G372" s="117" t="s">
        <v>45</v>
      </c>
      <c r="H372" s="117" t="s">
        <v>1</v>
      </c>
      <c r="I372"/>
      <c r="J372"/>
      <c r="K372" s="117" t="s">
        <v>105</v>
      </c>
      <c r="L372">
        <v>7</v>
      </c>
      <c r="M372" s="117" t="s">
        <v>113</v>
      </c>
      <c r="N372" s="117" t="s">
        <v>12</v>
      </c>
      <c r="O372" s="117" t="s">
        <v>49</v>
      </c>
      <c r="P372" s="117" t="s">
        <v>40</v>
      </c>
      <c r="Q372" s="139">
        <v>20007726</v>
      </c>
      <c r="R372" s="117" t="s">
        <v>78</v>
      </c>
      <c r="S372" s="117" t="s">
        <v>109</v>
      </c>
      <c r="T372" s="117" t="s">
        <v>109</v>
      </c>
      <c r="U372" s="117" t="s">
        <v>128</v>
      </c>
      <c r="V372" s="12">
        <f>+IFERROR(IF(VLOOKUP(Q372,COMISIONES!$C$2:$K$33,9,0)&gt;=VLOOKUP(TC!Q372,COMISIONES!$C$2:$I$33,7,0),1,0),0)</f>
        <v>1</v>
      </c>
      <c r="W372" s="262">
        <f>+IF(H372="Segunda",VLOOKUP(_xlfn.CONCAT(P372,G372,H372,V372),'PUNTOS 2021'!$E$23:$F$30,2,0),TC!L372)</f>
        <v>7</v>
      </c>
      <c r="X372" s="67">
        <f>+VLOOKUP(Q372,COMISIONES!$C$2:$AO$33,39,0)</f>
        <v>65</v>
      </c>
      <c r="Y372" s="67">
        <f t="shared" si="5"/>
        <v>455</v>
      </c>
      <c r="Z372" s="58" t="s">
        <v>80</v>
      </c>
      <c r="AA372" s="13">
        <f>+VLOOKUP(Q372,COMISIONES!$C$2:$C$33,1,0)</f>
        <v>20007726</v>
      </c>
      <c r="AB372" s="13" t="s">
        <v>269</v>
      </c>
    </row>
    <row r="373" spans="1:28" hidden="1">
      <c r="A373" s="117" t="s">
        <v>821</v>
      </c>
      <c r="B373" s="138">
        <v>45155</v>
      </c>
      <c r="C373" s="117" t="s">
        <v>1937</v>
      </c>
      <c r="D373" s="117" t="s">
        <v>1938</v>
      </c>
      <c r="E373" s="117" t="s">
        <v>1939</v>
      </c>
      <c r="F373" s="117"/>
      <c r="G373" s="117" t="s">
        <v>45</v>
      </c>
      <c r="H373" s="117" t="s">
        <v>1</v>
      </c>
      <c r="I373"/>
      <c r="J373"/>
      <c r="K373" s="117" t="s">
        <v>105</v>
      </c>
      <c r="L373">
        <v>7</v>
      </c>
      <c r="M373" s="117" t="s">
        <v>114</v>
      </c>
      <c r="N373" s="117" t="s">
        <v>19</v>
      </c>
      <c r="O373" s="117" t="s">
        <v>49</v>
      </c>
      <c r="P373" s="117" t="s">
        <v>40</v>
      </c>
      <c r="Q373" s="139">
        <v>20008625</v>
      </c>
      <c r="R373" s="117" t="s">
        <v>78</v>
      </c>
      <c r="S373" s="117" t="s">
        <v>109</v>
      </c>
      <c r="T373" s="117" t="s">
        <v>109</v>
      </c>
      <c r="U373" s="117" t="s">
        <v>128</v>
      </c>
      <c r="V373" s="12">
        <f>+IFERROR(IF(VLOOKUP(Q373,COMISIONES!$C$2:$K$33,9,0)&gt;=VLOOKUP(TC!Q373,COMISIONES!$C$2:$I$33,7,0),1,0),0)</f>
        <v>0</v>
      </c>
      <c r="W373" s="262">
        <f>+IF(H373="Segunda",VLOOKUP(_xlfn.CONCAT(P373,G373,H373,V373),'PUNTOS 2021'!$E$23:$F$30,2,0),TC!L373)</f>
        <v>7</v>
      </c>
      <c r="X373" s="67">
        <f>+VLOOKUP(Q373,COMISIONES!$C$2:$AO$33,39,0)</f>
        <v>20</v>
      </c>
      <c r="Y373" s="67">
        <f t="shared" si="5"/>
        <v>140</v>
      </c>
      <c r="Z373" s="58" t="s">
        <v>80</v>
      </c>
      <c r="AA373" s="13">
        <f>+VLOOKUP(Q373,COMISIONES!$C$2:$C$33,1,0)</f>
        <v>20008625</v>
      </c>
      <c r="AB373" s="13" t="s">
        <v>269</v>
      </c>
    </row>
    <row r="374" spans="1:28" hidden="1">
      <c r="A374" s="117" t="s">
        <v>821</v>
      </c>
      <c r="B374" s="138">
        <v>45155</v>
      </c>
      <c r="C374" s="117" t="s">
        <v>1940</v>
      </c>
      <c r="D374" s="117" t="s">
        <v>1941</v>
      </c>
      <c r="E374" s="117" t="s">
        <v>1942</v>
      </c>
      <c r="F374" s="117"/>
      <c r="G374" s="117" t="s">
        <v>44</v>
      </c>
      <c r="H374" s="117" t="s">
        <v>1</v>
      </c>
      <c r="I374"/>
      <c r="J374"/>
      <c r="K374" s="117" t="s">
        <v>105</v>
      </c>
      <c r="L374">
        <v>5</v>
      </c>
      <c r="M374" s="117" t="s">
        <v>106</v>
      </c>
      <c r="N374" s="117" t="s">
        <v>8</v>
      </c>
      <c r="O374" s="117" t="s">
        <v>51</v>
      </c>
      <c r="P374" s="117" t="s">
        <v>40</v>
      </c>
      <c r="Q374" s="139">
        <v>20002636</v>
      </c>
      <c r="R374" s="117" t="s">
        <v>78</v>
      </c>
      <c r="S374" s="117" t="s">
        <v>109</v>
      </c>
      <c r="T374" s="117" t="s">
        <v>109</v>
      </c>
      <c r="U374" s="117" t="s">
        <v>128</v>
      </c>
      <c r="V374" s="12">
        <f>+IFERROR(IF(VLOOKUP(Q374,COMISIONES!$C$2:$K$33,9,0)&gt;=VLOOKUP(TC!Q374,COMISIONES!$C$2:$I$33,7,0),1,0),0)</f>
        <v>0</v>
      </c>
      <c r="W374" s="262">
        <f>+IF(H374="Segunda",VLOOKUP(_xlfn.CONCAT(P374,G374,H374,V374),'PUNTOS 2021'!$E$23:$F$30,2,0),TC!L374)</f>
        <v>5</v>
      </c>
      <c r="X374" s="67">
        <f>+VLOOKUP(Q374,COMISIONES!$C$2:$AO$33,39,0)</f>
        <v>40</v>
      </c>
      <c r="Y374" s="67">
        <f t="shared" si="5"/>
        <v>200</v>
      </c>
      <c r="Z374" s="58" t="s">
        <v>80</v>
      </c>
      <c r="AA374" s="13">
        <f>+VLOOKUP(Q374,COMISIONES!$C$2:$C$33,1,0)</f>
        <v>20002636</v>
      </c>
      <c r="AB374" s="13" t="s">
        <v>269</v>
      </c>
    </row>
    <row r="375" spans="1:28" hidden="1">
      <c r="A375" s="117" t="s">
        <v>821</v>
      </c>
      <c r="B375" s="138">
        <v>45155</v>
      </c>
      <c r="C375" s="117" t="s">
        <v>1943</v>
      </c>
      <c r="D375" s="117" t="s">
        <v>1944</v>
      </c>
      <c r="E375" s="117" t="s">
        <v>1945</v>
      </c>
      <c r="F375" s="117"/>
      <c r="G375" s="117" t="s">
        <v>45</v>
      </c>
      <c r="H375" s="117" t="s">
        <v>1</v>
      </c>
      <c r="I375"/>
      <c r="J375"/>
      <c r="K375" s="117" t="s">
        <v>105</v>
      </c>
      <c r="L375">
        <v>7</v>
      </c>
      <c r="M375" s="117" t="s">
        <v>1946</v>
      </c>
      <c r="N375" s="117" t="s">
        <v>1947</v>
      </c>
      <c r="O375" s="117" t="s">
        <v>51</v>
      </c>
      <c r="P375" s="117" t="s">
        <v>40</v>
      </c>
      <c r="Q375" s="139">
        <v>20010766</v>
      </c>
      <c r="R375" s="117" t="s">
        <v>78</v>
      </c>
      <c r="S375" s="117" t="s">
        <v>109</v>
      </c>
      <c r="T375" s="117" t="s">
        <v>109</v>
      </c>
      <c r="U375" s="117" t="s">
        <v>128</v>
      </c>
      <c r="V375" s="12">
        <f>+IFERROR(IF(VLOOKUP(Q375,COMISIONES!$C$2:$K$33,9,0)&gt;=VLOOKUP(TC!Q375,COMISIONES!$C$2:$I$33,7,0),1,0),0)</f>
        <v>0</v>
      </c>
      <c r="W375" s="262">
        <f>+IF(H375="Segunda",VLOOKUP(_xlfn.CONCAT(P375,G375,H375,V375),'PUNTOS 2021'!$E$23:$F$30,2,0),TC!L375)</f>
        <v>7</v>
      </c>
      <c r="X375" s="67">
        <f>+VLOOKUP(Q375,COMISIONES!$C$2:$AO$33,39,0)</f>
        <v>20</v>
      </c>
      <c r="Y375" s="67">
        <f t="shared" si="5"/>
        <v>140</v>
      </c>
      <c r="Z375" s="58" t="s">
        <v>80</v>
      </c>
      <c r="AA375" s="13">
        <f>+VLOOKUP(Q375,COMISIONES!$C$2:$C$33,1,0)</f>
        <v>20010766</v>
      </c>
      <c r="AB375" s="13" t="s">
        <v>269</v>
      </c>
    </row>
    <row r="376" spans="1:28">
      <c r="A376" s="117" t="s">
        <v>821</v>
      </c>
      <c r="B376" s="138">
        <v>45155</v>
      </c>
      <c r="C376" s="117" t="s">
        <v>1948</v>
      </c>
      <c r="D376" s="117" t="s">
        <v>1949</v>
      </c>
      <c r="E376" s="117" t="s">
        <v>1950</v>
      </c>
      <c r="F376" s="117"/>
      <c r="G376" s="117" t="s">
        <v>45</v>
      </c>
      <c r="H376" s="117" t="s">
        <v>2</v>
      </c>
      <c r="I376"/>
      <c r="J376"/>
      <c r="K376" s="117" t="s">
        <v>105</v>
      </c>
      <c r="L376">
        <v>2</v>
      </c>
      <c r="M376" s="117" t="s">
        <v>126</v>
      </c>
      <c r="N376" s="117" t="s">
        <v>11</v>
      </c>
      <c r="O376" s="117" t="s">
        <v>49</v>
      </c>
      <c r="P376" s="117" t="s">
        <v>40</v>
      </c>
      <c r="Q376" s="139">
        <v>20004235</v>
      </c>
      <c r="R376" s="117" t="s">
        <v>78</v>
      </c>
      <c r="S376" s="117" t="s">
        <v>109</v>
      </c>
      <c r="T376" s="117" t="s">
        <v>109</v>
      </c>
      <c r="U376" s="117" t="s">
        <v>128</v>
      </c>
      <c r="V376" s="12">
        <f>+IFERROR(IF(VLOOKUP(Q376,COMISIONES!$C$2:$K$33,9,0)&gt;=VLOOKUP(TC!Q376,COMISIONES!$C$2:$I$33,7,0),1,0),0)</f>
        <v>0</v>
      </c>
      <c r="W376" s="262">
        <f>+IF(H376="Segunda",VLOOKUP(_xlfn.CONCAT(P376,G376,H376,V376),'PUNTOS 2021'!$E$23:$F$30,2,0),TC!L376)</f>
        <v>0.5</v>
      </c>
      <c r="X376" s="67">
        <f>+VLOOKUP(Q376,COMISIONES!$C$2:$AO$33,39,0)</f>
        <v>40</v>
      </c>
      <c r="Y376" s="67">
        <f t="shared" ref="Y376:Y438" si="6">X376*W376</f>
        <v>20</v>
      </c>
      <c r="Z376" s="58" t="s">
        <v>80</v>
      </c>
      <c r="AA376" s="13">
        <f>+VLOOKUP(Q376,COMISIONES!$C$2:$C$33,1,0)</f>
        <v>20004235</v>
      </c>
      <c r="AB376" s="13" t="s">
        <v>269</v>
      </c>
    </row>
    <row r="377" spans="1:28" hidden="1">
      <c r="A377" s="117" t="s">
        <v>821</v>
      </c>
      <c r="B377" s="138">
        <v>45155</v>
      </c>
      <c r="C377" s="117" t="s">
        <v>1951</v>
      </c>
      <c r="D377" s="117" t="s">
        <v>1952</v>
      </c>
      <c r="E377" s="117" t="s">
        <v>1953</v>
      </c>
      <c r="F377" s="117"/>
      <c r="G377" s="117" t="s">
        <v>45</v>
      </c>
      <c r="H377" s="117" t="s">
        <v>1</v>
      </c>
      <c r="I377"/>
      <c r="J377"/>
      <c r="K377" s="117" t="s">
        <v>105</v>
      </c>
      <c r="L377">
        <v>7</v>
      </c>
      <c r="M377" s="117" t="s">
        <v>161</v>
      </c>
      <c r="N377" s="117" t="s">
        <v>158</v>
      </c>
      <c r="O377" s="117" t="s">
        <v>50</v>
      </c>
      <c r="P377" s="117" t="s">
        <v>40</v>
      </c>
      <c r="Q377" s="139">
        <v>20006162</v>
      </c>
      <c r="R377" s="117" t="s">
        <v>78</v>
      </c>
      <c r="S377" s="117" t="s">
        <v>109</v>
      </c>
      <c r="T377" s="117" t="s">
        <v>109</v>
      </c>
      <c r="U377" s="117" t="s">
        <v>128</v>
      </c>
      <c r="V377" s="12">
        <f>+IFERROR(IF(VLOOKUP(Q377,COMISIONES!$C$2:$K$33,9,0)&gt;=VLOOKUP(TC!Q377,COMISIONES!$C$2:$I$33,7,0),1,0),0)</f>
        <v>0</v>
      </c>
      <c r="W377" s="262">
        <f>+IF(H377="Segunda",VLOOKUP(_xlfn.CONCAT(P377,G377,H377,V377),'PUNTOS 2021'!$E$23:$F$30,2,0),TC!L377)</f>
        <v>7</v>
      </c>
      <c r="X377" s="67">
        <f>+VLOOKUP(Q377,COMISIONES!$C$2:$AO$33,39,0)</f>
        <v>60</v>
      </c>
      <c r="Y377" s="67">
        <f t="shared" si="6"/>
        <v>420</v>
      </c>
      <c r="Z377" s="58" t="s">
        <v>80</v>
      </c>
      <c r="AA377" s="13">
        <f>+VLOOKUP(Q377,COMISIONES!$C$2:$C$33,1,0)</f>
        <v>20006162</v>
      </c>
      <c r="AB377" s="13" t="s">
        <v>269</v>
      </c>
    </row>
    <row r="378" spans="1:28" hidden="1">
      <c r="A378" s="117" t="s">
        <v>821</v>
      </c>
      <c r="B378" s="138">
        <v>45155</v>
      </c>
      <c r="C378" s="117" t="s">
        <v>1954</v>
      </c>
      <c r="D378" s="117" t="s">
        <v>1955</v>
      </c>
      <c r="E378" s="117" t="s">
        <v>1956</v>
      </c>
      <c r="F378" s="117"/>
      <c r="G378" s="117" t="s">
        <v>44</v>
      </c>
      <c r="H378" s="117" t="s">
        <v>1</v>
      </c>
      <c r="I378"/>
      <c r="J378"/>
      <c r="K378" s="117" t="s">
        <v>105</v>
      </c>
      <c r="L378">
        <v>5</v>
      </c>
      <c r="M378" s="117" t="s">
        <v>258</v>
      </c>
      <c r="N378" s="117" t="s">
        <v>237</v>
      </c>
      <c r="O378" s="117" t="s">
        <v>51</v>
      </c>
      <c r="P378" s="117" t="s">
        <v>40</v>
      </c>
      <c r="Q378" s="139">
        <v>20006893</v>
      </c>
      <c r="R378" s="117" t="s">
        <v>78</v>
      </c>
      <c r="S378" s="117" t="s">
        <v>109</v>
      </c>
      <c r="T378" s="117" t="s">
        <v>109</v>
      </c>
      <c r="U378" s="117" t="s">
        <v>128</v>
      </c>
      <c r="V378" s="12">
        <f>+IFERROR(IF(VLOOKUP(Q378,COMISIONES!$C$2:$K$33,9,0)&gt;=VLOOKUP(TC!Q378,COMISIONES!$C$2:$I$33,7,0),1,0),0)</f>
        <v>0</v>
      </c>
      <c r="W378" s="262">
        <f>+IF(H378="Segunda",VLOOKUP(_xlfn.CONCAT(P378,G378,H378,V378),'PUNTOS 2021'!$E$23:$F$30,2,0),TC!L378)</f>
        <v>5</v>
      </c>
      <c r="X378" s="67">
        <f>+VLOOKUP(Q378,COMISIONES!$C$2:$AO$33,39,0)</f>
        <v>40</v>
      </c>
      <c r="Y378" s="67">
        <f t="shared" si="6"/>
        <v>200</v>
      </c>
      <c r="Z378" s="58" t="s">
        <v>80</v>
      </c>
      <c r="AA378" s="13">
        <f>+VLOOKUP(Q378,COMISIONES!$C$2:$C$33,1,0)</f>
        <v>20006893</v>
      </c>
      <c r="AB378" s="13" t="s">
        <v>269</v>
      </c>
    </row>
    <row r="379" spans="1:28" hidden="1">
      <c r="A379" s="117" t="s">
        <v>821</v>
      </c>
      <c r="B379" s="138">
        <v>45155</v>
      </c>
      <c r="C379" s="117" t="s">
        <v>1957</v>
      </c>
      <c r="D379" s="117" t="s">
        <v>1958</v>
      </c>
      <c r="E379" s="117" t="s">
        <v>1959</v>
      </c>
      <c r="F379" s="117"/>
      <c r="G379" s="117" t="s">
        <v>44</v>
      </c>
      <c r="H379" s="117" t="s">
        <v>1</v>
      </c>
      <c r="I379"/>
      <c r="J379"/>
      <c r="K379" s="117" t="s">
        <v>105</v>
      </c>
      <c r="L379">
        <v>5</v>
      </c>
      <c r="M379" s="117" t="s">
        <v>115</v>
      </c>
      <c r="N379" s="117" t="s">
        <v>6</v>
      </c>
      <c r="O379" s="117" t="s">
        <v>51</v>
      </c>
      <c r="P379" s="117" t="s">
        <v>40</v>
      </c>
      <c r="Q379" s="139">
        <v>20001487</v>
      </c>
      <c r="R379" s="117" t="s">
        <v>78</v>
      </c>
      <c r="S379" s="117" t="s">
        <v>109</v>
      </c>
      <c r="T379" s="117" t="s">
        <v>109</v>
      </c>
      <c r="U379" s="117" t="s">
        <v>128</v>
      </c>
      <c r="V379" s="12">
        <f>+IFERROR(IF(VLOOKUP(Q379,COMISIONES!$C$2:$K$33,9,0)&gt;=VLOOKUP(TC!Q379,COMISIONES!$C$2:$I$33,7,0),1,0),0)</f>
        <v>1</v>
      </c>
      <c r="W379" s="262">
        <f>+IF(H379="Segunda",VLOOKUP(_xlfn.CONCAT(P379,G379,H379,V379),'PUNTOS 2021'!$E$23:$F$30,2,0),TC!L379)</f>
        <v>5</v>
      </c>
      <c r="X379" s="67">
        <f>+VLOOKUP(Q379,COMISIONES!$C$2:$AO$33,39,0)</f>
        <v>65</v>
      </c>
      <c r="Y379" s="67">
        <f t="shared" si="6"/>
        <v>325</v>
      </c>
      <c r="Z379" s="58" t="s">
        <v>80</v>
      </c>
      <c r="AA379" s="13">
        <f>+VLOOKUP(Q379,COMISIONES!$C$2:$C$33,1,0)</f>
        <v>20001487</v>
      </c>
      <c r="AB379" s="13" t="s">
        <v>269</v>
      </c>
    </row>
    <row r="380" spans="1:28" hidden="1">
      <c r="A380" s="117" t="s">
        <v>821</v>
      </c>
      <c r="B380" s="138">
        <v>45155</v>
      </c>
      <c r="C380" s="117" t="s">
        <v>1960</v>
      </c>
      <c r="D380" s="117" t="s">
        <v>1961</v>
      </c>
      <c r="E380" s="117" t="s">
        <v>1962</v>
      </c>
      <c r="F380" s="117"/>
      <c r="G380" s="117" t="s">
        <v>43</v>
      </c>
      <c r="H380" s="117" t="s">
        <v>1</v>
      </c>
      <c r="I380"/>
      <c r="J380"/>
      <c r="K380" s="117" t="s">
        <v>105</v>
      </c>
      <c r="L380">
        <v>3</v>
      </c>
      <c r="M380" s="117" t="s">
        <v>127</v>
      </c>
      <c r="N380" s="117" t="s">
        <v>16</v>
      </c>
      <c r="O380" s="117" t="s">
        <v>49</v>
      </c>
      <c r="P380" s="117" t="s">
        <v>40</v>
      </c>
      <c r="Q380" s="139">
        <v>20002708</v>
      </c>
      <c r="R380" s="117" t="s">
        <v>78</v>
      </c>
      <c r="S380" s="117" t="s">
        <v>109</v>
      </c>
      <c r="T380" s="117" t="s">
        <v>109</v>
      </c>
      <c r="U380" s="117" t="s">
        <v>128</v>
      </c>
      <c r="V380" s="12">
        <f>+IFERROR(IF(VLOOKUP(Q380,COMISIONES!$C$2:$K$33,9,0)&gt;=VLOOKUP(TC!Q380,COMISIONES!$C$2:$I$33,7,0),1,0),0)</f>
        <v>0</v>
      </c>
      <c r="W380" s="262">
        <f>+IF(H380="Segunda",VLOOKUP(_xlfn.CONCAT(P380,G380,H380,V380),'PUNTOS 2021'!$E$23:$F$30,2,0),TC!L380)</f>
        <v>3</v>
      </c>
      <c r="X380" s="67">
        <f>+VLOOKUP(Q380,COMISIONES!$C$2:$AO$33,39,0)</f>
        <v>60</v>
      </c>
      <c r="Y380" s="67">
        <f t="shared" si="6"/>
        <v>180</v>
      </c>
      <c r="Z380" s="58" t="s">
        <v>80</v>
      </c>
      <c r="AA380" s="13">
        <f>+VLOOKUP(Q380,COMISIONES!$C$2:$C$33,1,0)</f>
        <v>20002708</v>
      </c>
      <c r="AB380" s="13" t="s">
        <v>269</v>
      </c>
    </row>
    <row r="381" spans="1:28">
      <c r="A381" s="117" t="s">
        <v>821</v>
      </c>
      <c r="B381" s="138">
        <v>45156</v>
      </c>
      <c r="C381" s="117" t="s">
        <v>1963</v>
      </c>
      <c r="D381" s="117" t="s">
        <v>1964</v>
      </c>
      <c r="E381" s="117" t="s">
        <v>1965</v>
      </c>
      <c r="F381" s="117"/>
      <c r="G381" s="117" t="s">
        <v>44</v>
      </c>
      <c r="H381" s="117" t="s">
        <v>2</v>
      </c>
      <c r="I381"/>
      <c r="J381"/>
      <c r="K381" s="117" t="s">
        <v>105</v>
      </c>
      <c r="L381">
        <v>1</v>
      </c>
      <c r="M381" s="117" t="s">
        <v>115</v>
      </c>
      <c r="N381" s="117" t="s">
        <v>6</v>
      </c>
      <c r="O381" s="117" t="s">
        <v>51</v>
      </c>
      <c r="P381" s="117" t="s">
        <v>40</v>
      </c>
      <c r="Q381" s="139">
        <v>20001487</v>
      </c>
      <c r="R381" s="117" t="s">
        <v>78</v>
      </c>
      <c r="S381" s="117" t="s">
        <v>109</v>
      </c>
      <c r="T381" s="117" t="s">
        <v>109</v>
      </c>
      <c r="U381" s="117" t="s">
        <v>128</v>
      </c>
      <c r="V381" s="12">
        <f>+IFERROR(IF(VLOOKUP(Q381,COMISIONES!$C$2:$K$33,9,0)&gt;=VLOOKUP(TC!Q381,COMISIONES!$C$2:$I$33,7,0),1,0),0)</f>
        <v>1</v>
      </c>
      <c r="W381" s="262">
        <f>+IF(H381="Segunda",VLOOKUP(_xlfn.CONCAT(P381,G381,H381,V381),'PUNTOS 2021'!$E$23:$F$30,2,0),TC!L381)</f>
        <v>1</v>
      </c>
      <c r="X381" s="67">
        <f>+VLOOKUP(Q381,COMISIONES!$C$2:$AO$33,39,0)</f>
        <v>65</v>
      </c>
      <c r="Y381" s="67">
        <f t="shared" si="6"/>
        <v>65</v>
      </c>
      <c r="Z381" s="58" t="s">
        <v>80</v>
      </c>
      <c r="AA381" s="13">
        <f>+VLOOKUP(Q381,COMISIONES!$C$2:$C$33,1,0)</f>
        <v>20001487</v>
      </c>
      <c r="AB381" s="13" t="s">
        <v>269</v>
      </c>
    </row>
    <row r="382" spans="1:28" hidden="1">
      <c r="A382" s="117" t="s">
        <v>821</v>
      </c>
      <c r="B382" s="138">
        <v>45156</v>
      </c>
      <c r="C382" s="117" t="s">
        <v>1966</v>
      </c>
      <c r="D382" s="117" t="s">
        <v>1967</v>
      </c>
      <c r="E382" s="117" t="s">
        <v>1968</v>
      </c>
      <c r="F382" s="117"/>
      <c r="G382" s="117" t="s">
        <v>43</v>
      </c>
      <c r="H382" s="117" t="s">
        <v>1</v>
      </c>
      <c r="I382"/>
      <c r="J382"/>
      <c r="K382" s="117" t="s">
        <v>130</v>
      </c>
      <c r="L382">
        <v>3</v>
      </c>
      <c r="M382" s="117" t="s">
        <v>270</v>
      </c>
      <c r="N382" s="117" t="s">
        <v>271</v>
      </c>
      <c r="O382" s="117" t="s">
        <v>52</v>
      </c>
      <c r="P382" s="117" t="s">
        <v>40</v>
      </c>
      <c r="Q382" s="139">
        <v>20009592</v>
      </c>
      <c r="R382" s="117" t="s">
        <v>78</v>
      </c>
      <c r="S382" s="117" t="s">
        <v>109</v>
      </c>
      <c r="T382" s="117" t="s">
        <v>109</v>
      </c>
      <c r="U382" s="117" t="s">
        <v>128</v>
      </c>
      <c r="V382" s="12">
        <f>+IFERROR(IF(VLOOKUP(Q382,COMISIONES!$C$2:$K$33,9,0)&gt;=VLOOKUP(TC!Q382,COMISIONES!$C$2:$I$33,7,0),1,0),0)</f>
        <v>1</v>
      </c>
      <c r="W382" s="262">
        <f>+IF(H382="Segunda",VLOOKUP(_xlfn.CONCAT(P382,G382,H382,V382),'PUNTOS 2021'!$E$23:$F$30,2,0),TC!L382)</f>
        <v>3</v>
      </c>
      <c r="X382" s="67">
        <f>+VLOOKUP(Q382,COMISIONES!$C$2:$AO$33,39,0)</f>
        <v>60</v>
      </c>
      <c r="Y382" s="67">
        <f t="shared" si="6"/>
        <v>180</v>
      </c>
      <c r="Z382" s="58" t="s">
        <v>80</v>
      </c>
      <c r="AA382" s="13">
        <f>+VLOOKUP(Q382,COMISIONES!$C$2:$C$33,1,0)</f>
        <v>20009592</v>
      </c>
      <c r="AB382" s="13" t="s">
        <v>269</v>
      </c>
    </row>
    <row r="383" spans="1:28">
      <c r="A383" s="117" t="s">
        <v>821</v>
      </c>
      <c r="B383" s="138">
        <v>45156</v>
      </c>
      <c r="C383" s="117" t="s">
        <v>1969</v>
      </c>
      <c r="D383" s="117" t="s">
        <v>1970</v>
      </c>
      <c r="E383" s="117" t="s">
        <v>1971</v>
      </c>
      <c r="F383" s="117"/>
      <c r="G383" s="117" t="s">
        <v>44</v>
      </c>
      <c r="H383" s="117" t="s">
        <v>2</v>
      </c>
      <c r="I383"/>
      <c r="J383"/>
      <c r="K383" s="117" t="s">
        <v>105</v>
      </c>
      <c r="L383">
        <v>1</v>
      </c>
      <c r="M383" s="117" t="s">
        <v>256</v>
      </c>
      <c r="N383" s="117" t="s">
        <v>236</v>
      </c>
      <c r="O383" s="117" t="s">
        <v>49</v>
      </c>
      <c r="P383" s="117" t="s">
        <v>40</v>
      </c>
      <c r="Q383" s="139">
        <v>20010101</v>
      </c>
      <c r="R383" s="117" t="s">
        <v>78</v>
      </c>
      <c r="S383" s="117" t="s">
        <v>109</v>
      </c>
      <c r="T383" s="117" t="s">
        <v>109</v>
      </c>
      <c r="U383" s="117" t="s">
        <v>128</v>
      </c>
      <c r="V383" s="12">
        <f>+IFERROR(IF(VLOOKUP(Q383,COMISIONES!$C$2:$K$33,9,0)&gt;=VLOOKUP(TC!Q383,COMISIONES!$C$2:$I$33,7,0),1,0),0)</f>
        <v>0</v>
      </c>
      <c r="W383" s="262">
        <f>+IF(H383="Segunda",VLOOKUP(_xlfn.CONCAT(P383,G383,H383,V383),'PUNTOS 2021'!$E$23:$F$30,2,0),TC!L383)</f>
        <v>0.5</v>
      </c>
      <c r="X383" s="67">
        <f>+VLOOKUP(Q383,COMISIONES!$C$2:$AO$33,39,0)</f>
        <v>65</v>
      </c>
      <c r="Y383" s="67">
        <f t="shared" si="6"/>
        <v>32.5</v>
      </c>
      <c r="Z383" s="58" t="s">
        <v>80</v>
      </c>
      <c r="AA383" s="13">
        <f>+VLOOKUP(Q383,COMISIONES!$C$2:$C$33,1,0)</f>
        <v>20010101</v>
      </c>
      <c r="AB383" s="13" t="s">
        <v>269</v>
      </c>
    </row>
    <row r="384" spans="1:28" hidden="1">
      <c r="A384" s="117" t="s">
        <v>821</v>
      </c>
      <c r="B384" s="138">
        <v>45156</v>
      </c>
      <c r="C384" s="117" t="s">
        <v>1972</v>
      </c>
      <c r="D384" s="117" t="s">
        <v>1973</v>
      </c>
      <c r="E384" s="117" t="s">
        <v>1974</v>
      </c>
      <c r="F384" s="117"/>
      <c r="G384" s="117" t="s">
        <v>44</v>
      </c>
      <c r="H384" s="117" t="s">
        <v>1</v>
      </c>
      <c r="I384"/>
      <c r="J384"/>
      <c r="K384" s="117" t="s">
        <v>105</v>
      </c>
      <c r="L384">
        <v>5</v>
      </c>
      <c r="M384" s="117" t="s">
        <v>110</v>
      </c>
      <c r="N384" s="117" t="s">
        <v>10</v>
      </c>
      <c r="O384" s="117" t="s">
        <v>51</v>
      </c>
      <c r="P384" s="117" t="s">
        <v>40</v>
      </c>
      <c r="Q384" s="139">
        <v>20000661</v>
      </c>
      <c r="R384" s="117" t="s">
        <v>78</v>
      </c>
      <c r="S384" s="117" t="s">
        <v>109</v>
      </c>
      <c r="T384" s="117" t="s">
        <v>109</v>
      </c>
      <c r="U384" s="117" t="s">
        <v>128</v>
      </c>
      <c r="V384" s="12">
        <f>+IFERROR(IF(VLOOKUP(Q384,COMISIONES!$C$2:$K$33,9,0)&gt;=VLOOKUP(TC!Q384,COMISIONES!$C$2:$I$33,7,0),1,0),0)</f>
        <v>1</v>
      </c>
      <c r="W384" s="262">
        <f>+IF(H384="Segunda",VLOOKUP(_xlfn.CONCAT(P384,G384,H384,V384),'PUNTOS 2021'!$E$23:$F$30,2,0),TC!L384)</f>
        <v>5</v>
      </c>
      <c r="X384" s="67">
        <f>+VLOOKUP(Q384,COMISIONES!$C$2:$AO$33,39,0)</f>
        <v>60</v>
      </c>
      <c r="Y384" s="67">
        <f t="shared" si="6"/>
        <v>300</v>
      </c>
      <c r="Z384" s="58" t="s">
        <v>80</v>
      </c>
      <c r="AA384" s="13">
        <f>+VLOOKUP(Q384,COMISIONES!$C$2:$C$33,1,0)</f>
        <v>20000661</v>
      </c>
      <c r="AB384" s="13" t="s">
        <v>269</v>
      </c>
    </row>
    <row r="385" spans="1:28">
      <c r="A385" s="117" t="s">
        <v>821</v>
      </c>
      <c r="B385" s="138">
        <v>45156</v>
      </c>
      <c r="C385" s="117" t="s">
        <v>1975</v>
      </c>
      <c r="D385" s="117" t="s">
        <v>1976</v>
      </c>
      <c r="E385" s="117" t="s">
        <v>1977</v>
      </c>
      <c r="F385" s="117"/>
      <c r="G385" s="117" t="s">
        <v>45</v>
      </c>
      <c r="H385" s="117" t="s">
        <v>2</v>
      </c>
      <c r="I385"/>
      <c r="J385"/>
      <c r="K385" s="117" t="s">
        <v>105</v>
      </c>
      <c r="L385">
        <v>2</v>
      </c>
      <c r="M385" s="117" t="s">
        <v>115</v>
      </c>
      <c r="N385" s="117" t="s">
        <v>6</v>
      </c>
      <c r="O385" s="117" t="s">
        <v>51</v>
      </c>
      <c r="P385" s="117" t="s">
        <v>40</v>
      </c>
      <c r="Q385" s="139">
        <v>20001487</v>
      </c>
      <c r="R385" s="117" t="s">
        <v>78</v>
      </c>
      <c r="S385" s="117" t="s">
        <v>109</v>
      </c>
      <c r="T385" s="117" t="s">
        <v>109</v>
      </c>
      <c r="U385" s="117" t="s">
        <v>128</v>
      </c>
      <c r="V385" s="12">
        <f>+IFERROR(IF(VLOOKUP(Q385,COMISIONES!$C$2:$K$33,9,0)&gt;=VLOOKUP(TC!Q385,COMISIONES!$C$2:$I$33,7,0),1,0),0)</f>
        <v>1</v>
      </c>
      <c r="W385" s="262">
        <f>+IF(H385="Segunda",VLOOKUP(_xlfn.CONCAT(P385,G385,H385,V385),'PUNTOS 2021'!$E$23:$F$30,2,0),TC!L385)</f>
        <v>2</v>
      </c>
      <c r="X385" s="67">
        <f>+VLOOKUP(Q385,COMISIONES!$C$2:$AO$33,39,0)</f>
        <v>65</v>
      </c>
      <c r="Y385" s="67">
        <f t="shared" si="6"/>
        <v>130</v>
      </c>
      <c r="Z385" s="58" t="s">
        <v>80</v>
      </c>
      <c r="AA385" s="13">
        <f>+VLOOKUP(Q385,COMISIONES!$C$2:$C$33,1,0)</f>
        <v>20001487</v>
      </c>
      <c r="AB385" s="13" t="s">
        <v>269</v>
      </c>
    </row>
    <row r="386" spans="1:28">
      <c r="A386" s="117" t="s">
        <v>821</v>
      </c>
      <c r="B386" s="138">
        <v>45156</v>
      </c>
      <c r="C386" s="117" t="s">
        <v>1978</v>
      </c>
      <c r="D386" s="117" t="s">
        <v>1979</v>
      </c>
      <c r="E386" s="117" t="s">
        <v>1980</v>
      </c>
      <c r="F386" s="117"/>
      <c r="G386" s="117" t="s">
        <v>45</v>
      </c>
      <c r="H386" s="117" t="s">
        <v>2</v>
      </c>
      <c r="I386"/>
      <c r="J386"/>
      <c r="K386" s="117" t="s">
        <v>105</v>
      </c>
      <c r="L386">
        <v>2</v>
      </c>
      <c r="M386" s="117" t="s">
        <v>1946</v>
      </c>
      <c r="N386" s="117" t="s">
        <v>1947</v>
      </c>
      <c r="O386" s="117" t="s">
        <v>51</v>
      </c>
      <c r="P386" s="117" t="s">
        <v>40</v>
      </c>
      <c r="Q386" s="139">
        <v>20010766</v>
      </c>
      <c r="R386" s="117" t="s">
        <v>78</v>
      </c>
      <c r="S386" s="117" t="s">
        <v>109</v>
      </c>
      <c r="T386" s="117" t="s">
        <v>109</v>
      </c>
      <c r="U386" s="117" t="s">
        <v>128</v>
      </c>
      <c r="V386" s="12">
        <f>+IFERROR(IF(VLOOKUP(Q386,COMISIONES!$C$2:$K$33,9,0)&gt;=VLOOKUP(TC!Q386,COMISIONES!$C$2:$I$33,7,0),1,0),0)</f>
        <v>0</v>
      </c>
      <c r="W386" s="262">
        <f>+IF(H386="Segunda",VLOOKUP(_xlfn.CONCAT(P386,G386,H386,V386),'PUNTOS 2021'!$E$23:$F$30,2,0),TC!L386)</f>
        <v>0.5</v>
      </c>
      <c r="X386" s="67">
        <f>+VLOOKUP(Q386,COMISIONES!$C$2:$AO$33,39,0)</f>
        <v>20</v>
      </c>
      <c r="Y386" s="67">
        <f t="shared" si="6"/>
        <v>10</v>
      </c>
      <c r="Z386" s="58" t="s">
        <v>80</v>
      </c>
      <c r="AA386" s="13">
        <f>+VLOOKUP(Q386,COMISIONES!$C$2:$C$33,1,0)</f>
        <v>20010766</v>
      </c>
      <c r="AB386" s="13" t="s">
        <v>269</v>
      </c>
    </row>
    <row r="387" spans="1:28" hidden="1">
      <c r="A387" s="117" t="s">
        <v>821</v>
      </c>
      <c r="B387" s="138">
        <v>45156</v>
      </c>
      <c r="C387" s="117" t="s">
        <v>1981</v>
      </c>
      <c r="D387" s="117" t="s">
        <v>1982</v>
      </c>
      <c r="E387" s="117" t="s">
        <v>1983</v>
      </c>
      <c r="F387" s="117"/>
      <c r="G387" s="117" t="s">
        <v>44</v>
      </c>
      <c r="H387" s="117" t="s">
        <v>1</v>
      </c>
      <c r="I387"/>
      <c r="J387"/>
      <c r="K387" s="117" t="s">
        <v>105</v>
      </c>
      <c r="L387">
        <v>5</v>
      </c>
      <c r="M387" s="117" t="s">
        <v>413</v>
      </c>
      <c r="N387" s="117" t="s">
        <v>390</v>
      </c>
      <c r="O387" s="117" t="s">
        <v>49</v>
      </c>
      <c r="P387" s="117" t="s">
        <v>40</v>
      </c>
      <c r="Q387" s="139">
        <v>20010617</v>
      </c>
      <c r="R387" s="117" t="s">
        <v>78</v>
      </c>
      <c r="S387" s="117" t="s">
        <v>109</v>
      </c>
      <c r="T387" s="117" t="s">
        <v>109</v>
      </c>
      <c r="U387" s="117" t="s">
        <v>128</v>
      </c>
      <c r="V387" s="12">
        <f>+IFERROR(IF(VLOOKUP(Q387,COMISIONES!$C$2:$K$33,9,0)&gt;=VLOOKUP(TC!Q387,COMISIONES!$C$2:$I$33,7,0),1,0),0)</f>
        <v>0</v>
      </c>
      <c r="W387" s="262">
        <f>+IF(H387="Segunda",VLOOKUP(_xlfn.CONCAT(P387,G387,H387,V387),'PUNTOS 2021'!$E$23:$F$30,2,0),TC!L387)</f>
        <v>5</v>
      </c>
      <c r="X387" s="67">
        <f>+VLOOKUP(Q387,COMISIONES!$C$2:$AO$33,39,0)</f>
        <v>18</v>
      </c>
      <c r="Y387" s="67">
        <f t="shared" si="6"/>
        <v>90</v>
      </c>
      <c r="Z387" s="58" t="s">
        <v>80</v>
      </c>
      <c r="AA387" s="13">
        <f>+VLOOKUP(Q387,COMISIONES!$C$2:$C$33,1,0)</f>
        <v>20010617</v>
      </c>
      <c r="AB387" s="13" t="s">
        <v>269</v>
      </c>
    </row>
    <row r="388" spans="1:28" hidden="1">
      <c r="A388" s="117" t="s">
        <v>821</v>
      </c>
      <c r="B388" s="138">
        <v>45156</v>
      </c>
      <c r="C388" s="117" t="s">
        <v>1984</v>
      </c>
      <c r="D388" s="117" t="s">
        <v>1985</v>
      </c>
      <c r="E388" s="117" t="s">
        <v>1986</v>
      </c>
      <c r="F388" s="117"/>
      <c r="G388" s="117" t="s">
        <v>45</v>
      </c>
      <c r="H388" s="117" t="s">
        <v>1</v>
      </c>
      <c r="I388"/>
      <c r="J388"/>
      <c r="K388" s="117" t="s">
        <v>105</v>
      </c>
      <c r="L388">
        <v>7</v>
      </c>
      <c r="M388" s="117" t="s">
        <v>126</v>
      </c>
      <c r="N388" s="117" t="s">
        <v>11</v>
      </c>
      <c r="O388" s="117" t="s">
        <v>49</v>
      </c>
      <c r="P388" s="117" t="s">
        <v>40</v>
      </c>
      <c r="Q388" s="139">
        <v>20004235</v>
      </c>
      <c r="R388" s="117" t="s">
        <v>78</v>
      </c>
      <c r="S388" s="117" t="s">
        <v>109</v>
      </c>
      <c r="T388" s="117" t="s">
        <v>109</v>
      </c>
      <c r="U388" s="117" t="s">
        <v>128</v>
      </c>
      <c r="V388" s="12">
        <f>+IFERROR(IF(VLOOKUP(Q388,COMISIONES!$C$2:$K$33,9,0)&gt;=VLOOKUP(TC!Q388,COMISIONES!$C$2:$I$33,7,0),1,0),0)</f>
        <v>0</v>
      </c>
      <c r="W388" s="262">
        <f>+IF(H388="Segunda",VLOOKUP(_xlfn.CONCAT(P388,G388,H388,V388),'PUNTOS 2021'!$E$23:$F$30,2,0),TC!L388)</f>
        <v>7</v>
      </c>
      <c r="X388" s="67">
        <f>+VLOOKUP(Q388,COMISIONES!$C$2:$AO$33,39,0)</f>
        <v>40</v>
      </c>
      <c r="Y388" s="67">
        <f t="shared" si="6"/>
        <v>280</v>
      </c>
      <c r="Z388" s="58" t="s">
        <v>80</v>
      </c>
      <c r="AA388" s="13">
        <f>+VLOOKUP(Q388,COMISIONES!$C$2:$C$33,1,0)</f>
        <v>20004235</v>
      </c>
      <c r="AB388" s="13" t="s">
        <v>269</v>
      </c>
    </row>
    <row r="389" spans="1:28" hidden="1">
      <c r="A389" s="117" t="s">
        <v>821</v>
      </c>
      <c r="B389" s="138">
        <v>45156</v>
      </c>
      <c r="C389" s="117" t="s">
        <v>1987</v>
      </c>
      <c r="D389" s="117" t="s">
        <v>1988</v>
      </c>
      <c r="E389" s="117" t="s">
        <v>1989</v>
      </c>
      <c r="F389" s="117"/>
      <c r="G389" s="117" t="s">
        <v>44</v>
      </c>
      <c r="H389" s="117" t="s">
        <v>1</v>
      </c>
      <c r="I389"/>
      <c r="J389"/>
      <c r="K389" s="117" t="s">
        <v>105</v>
      </c>
      <c r="L389">
        <v>5</v>
      </c>
      <c r="M389" s="117" t="s">
        <v>111</v>
      </c>
      <c r="N389" s="117" t="s">
        <v>14</v>
      </c>
      <c r="O389" s="117" t="s">
        <v>50</v>
      </c>
      <c r="P389" s="117" t="s">
        <v>40</v>
      </c>
      <c r="Q389" s="139">
        <v>20006360</v>
      </c>
      <c r="R389" s="117" t="s">
        <v>78</v>
      </c>
      <c r="S389" s="117" t="s">
        <v>109</v>
      </c>
      <c r="T389" s="117" t="s">
        <v>109</v>
      </c>
      <c r="U389" s="117" t="s">
        <v>128</v>
      </c>
      <c r="V389" s="12">
        <f>+IFERROR(IF(VLOOKUP(Q389,COMISIONES!$C$2:$K$33,9,0)&gt;=VLOOKUP(TC!Q389,COMISIONES!$C$2:$I$33,7,0),1,0),0)</f>
        <v>0</v>
      </c>
      <c r="W389" s="262">
        <f>+IF(H389="Segunda",VLOOKUP(_xlfn.CONCAT(P389,G389,H389,V389),'PUNTOS 2021'!$E$23:$F$30,2,0),TC!L389)</f>
        <v>5</v>
      </c>
      <c r="X389" s="67">
        <f>+VLOOKUP(Q389,COMISIONES!$C$2:$AO$33,39,0)</f>
        <v>40</v>
      </c>
      <c r="Y389" s="67">
        <f t="shared" si="6"/>
        <v>200</v>
      </c>
      <c r="Z389" s="58" t="s">
        <v>80</v>
      </c>
      <c r="AA389" s="13">
        <f>+VLOOKUP(Q389,COMISIONES!$C$2:$C$33,1,0)</f>
        <v>20006360</v>
      </c>
      <c r="AB389" s="13" t="s">
        <v>269</v>
      </c>
    </row>
    <row r="390" spans="1:28" hidden="1">
      <c r="A390" s="117" t="s">
        <v>821</v>
      </c>
      <c r="B390" s="138">
        <v>45156</v>
      </c>
      <c r="C390" s="117" t="s">
        <v>1990</v>
      </c>
      <c r="D390" s="117" t="s">
        <v>1991</v>
      </c>
      <c r="E390" s="117" t="s">
        <v>1992</v>
      </c>
      <c r="F390" s="117"/>
      <c r="G390" s="117" t="s">
        <v>43</v>
      </c>
      <c r="H390" s="117" t="s">
        <v>1</v>
      </c>
      <c r="I390"/>
      <c r="J390"/>
      <c r="K390" s="117" t="s">
        <v>105</v>
      </c>
      <c r="L390">
        <v>3</v>
      </c>
      <c r="M390" s="117" t="s">
        <v>127</v>
      </c>
      <c r="N390" s="117" t="s">
        <v>16</v>
      </c>
      <c r="O390" s="117" t="s">
        <v>49</v>
      </c>
      <c r="P390" s="117" t="s">
        <v>40</v>
      </c>
      <c r="Q390" s="139">
        <v>20002708</v>
      </c>
      <c r="R390" s="117" t="s">
        <v>78</v>
      </c>
      <c r="S390" s="117" t="s">
        <v>109</v>
      </c>
      <c r="T390" s="117" t="s">
        <v>109</v>
      </c>
      <c r="U390" s="117" t="s">
        <v>128</v>
      </c>
      <c r="V390" s="12">
        <f>+IFERROR(IF(VLOOKUP(Q390,COMISIONES!$C$2:$K$33,9,0)&gt;=VLOOKUP(TC!Q390,COMISIONES!$C$2:$I$33,7,0),1,0),0)</f>
        <v>0</v>
      </c>
      <c r="W390" s="262">
        <f>+IF(H390="Segunda",VLOOKUP(_xlfn.CONCAT(P390,G390,H390,V390),'PUNTOS 2021'!$E$23:$F$30,2,0),TC!L390)</f>
        <v>3</v>
      </c>
      <c r="X390" s="67">
        <f>+VLOOKUP(Q390,COMISIONES!$C$2:$AO$33,39,0)</f>
        <v>60</v>
      </c>
      <c r="Y390" s="67">
        <f t="shared" si="6"/>
        <v>180</v>
      </c>
      <c r="Z390" s="58" t="s">
        <v>80</v>
      </c>
      <c r="AA390" s="13">
        <f>+VLOOKUP(Q390,COMISIONES!$C$2:$C$33,1,0)</f>
        <v>20002708</v>
      </c>
      <c r="AB390" s="13" t="s">
        <v>269</v>
      </c>
    </row>
    <row r="391" spans="1:28" hidden="1">
      <c r="A391" s="117" t="s">
        <v>821</v>
      </c>
      <c r="B391" s="138">
        <v>45156</v>
      </c>
      <c r="C391" s="117" t="s">
        <v>1993</v>
      </c>
      <c r="D391" s="117" t="s">
        <v>1994</v>
      </c>
      <c r="E391" s="117" t="s">
        <v>1995</v>
      </c>
      <c r="F391" s="117"/>
      <c r="G391" s="117" t="s">
        <v>43</v>
      </c>
      <c r="H391" s="117" t="s">
        <v>1</v>
      </c>
      <c r="I391"/>
      <c r="J391"/>
      <c r="K391" s="117" t="s">
        <v>105</v>
      </c>
      <c r="L391">
        <v>3</v>
      </c>
      <c r="M391" s="117" t="s">
        <v>121</v>
      </c>
      <c r="N391" s="117" t="s">
        <v>3</v>
      </c>
      <c r="O391" s="117" t="s">
        <v>49</v>
      </c>
      <c r="P391" s="117" t="s">
        <v>40</v>
      </c>
      <c r="Q391" s="139">
        <v>20004161</v>
      </c>
      <c r="R391" s="117" t="s">
        <v>78</v>
      </c>
      <c r="S391" s="117" t="s">
        <v>109</v>
      </c>
      <c r="T391" s="117" t="s">
        <v>109</v>
      </c>
      <c r="U391" s="117" t="s">
        <v>128</v>
      </c>
      <c r="V391" s="12">
        <f>+IFERROR(IF(VLOOKUP(Q391,COMISIONES!$C$2:$K$33,9,0)&gt;=VLOOKUP(TC!Q391,COMISIONES!$C$2:$I$33,7,0),1,0),0)</f>
        <v>1</v>
      </c>
      <c r="W391" s="262">
        <f>+IF(H391="Segunda",VLOOKUP(_xlfn.CONCAT(P391,G391,H391,V391),'PUNTOS 2021'!$E$23:$F$30,2,0),TC!L391)</f>
        <v>3</v>
      </c>
      <c r="X391" s="67">
        <f>+VLOOKUP(Q391,COMISIONES!$C$2:$AO$33,39,0)</f>
        <v>65</v>
      </c>
      <c r="Y391" s="67">
        <f t="shared" si="6"/>
        <v>195</v>
      </c>
      <c r="Z391" s="58" t="s">
        <v>80</v>
      </c>
      <c r="AA391" s="13">
        <f>+VLOOKUP(Q391,COMISIONES!$C$2:$C$33,1,0)</f>
        <v>20004161</v>
      </c>
      <c r="AB391" s="13" t="s">
        <v>269</v>
      </c>
    </row>
    <row r="392" spans="1:28" hidden="1">
      <c r="A392" s="117" t="s">
        <v>821</v>
      </c>
      <c r="B392" s="138">
        <v>45156</v>
      </c>
      <c r="C392" s="117" t="s">
        <v>1996</v>
      </c>
      <c r="D392" s="117" t="s">
        <v>1997</v>
      </c>
      <c r="E392" s="117" t="s">
        <v>1998</v>
      </c>
      <c r="F392" s="117"/>
      <c r="G392" s="117" t="s">
        <v>45</v>
      </c>
      <c r="H392" s="117" t="s">
        <v>1</v>
      </c>
      <c r="I392"/>
      <c r="J392"/>
      <c r="K392" s="117" t="s">
        <v>105</v>
      </c>
      <c r="L392">
        <v>7</v>
      </c>
      <c r="M392" s="117" t="s">
        <v>125</v>
      </c>
      <c r="N392" s="117" t="s">
        <v>18</v>
      </c>
      <c r="O392" s="117" t="s">
        <v>50</v>
      </c>
      <c r="P392" s="117" t="s">
        <v>40</v>
      </c>
      <c r="Q392" s="139">
        <v>20008439</v>
      </c>
      <c r="R392" s="117" t="s">
        <v>78</v>
      </c>
      <c r="S392" s="117" t="s">
        <v>109</v>
      </c>
      <c r="T392" s="117" t="s">
        <v>109</v>
      </c>
      <c r="U392" s="117" t="s">
        <v>128</v>
      </c>
      <c r="V392" s="12">
        <f>+IFERROR(IF(VLOOKUP(Q392,COMISIONES!$C$2:$K$33,9,0)&gt;=VLOOKUP(TC!Q392,COMISIONES!$C$2:$I$33,7,0),1,0),0)</f>
        <v>1</v>
      </c>
      <c r="W392" s="262">
        <f>+IF(H392="Segunda",VLOOKUP(_xlfn.CONCAT(P392,G392,H392,V392),'PUNTOS 2021'!$E$23:$F$30,2,0),TC!L392)</f>
        <v>7</v>
      </c>
      <c r="X392" s="67">
        <f>+VLOOKUP(Q392,COMISIONES!$C$2:$AO$33,39,0)</f>
        <v>60</v>
      </c>
      <c r="Y392" s="67">
        <f t="shared" si="6"/>
        <v>420</v>
      </c>
      <c r="Z392" s="58" t="s">
        <v>80</v>
      </c>
      <c r="AA392" s="13">
        <f>+VLOOKUP(Q392,COMISIONES!$C$2:$C$33,1,0)</f>
        <v>20008439</v>
      </c>
      <c r="AB392" s="13" t="s">
        <v>269</v>
      </c>
    </row>
    <row r="393" spans="1:28">
      <c r="A393" s="117" t="s">
        <v>821</v>
      </c>
      <c r="B393" s="138">
        <v>45156</v>
      </c>
      <c r="C393" s="117" t="s">
        <v>1999</v>
      </c>
      <c r="D393" s="117" t="s">
        <v>2000</v>
      </c>
      <c r="E393" s="117" t="s">
        <v>2001</v>
      </c>
      <c r="F393" s="117"/>
      <c r="G393" s="117" t="s">
        <v>45</v>
      </c>
      <c r="H393" s="117" t="s">
        <v>2</v>
      </c>
      <c r="I393"/>
      <c r="J393"/>
      <c r="K393" s="117" t="s">
        <v>105</v>
      </c>
      <c r="L393">
        <v>2</v>
      </c>
      <c r="M393" s="117" t="s">
        <v>122</v>
      </c>
      <c r="N393" s="117" t="s">
        <v>5</v>
      </c>
      <c r="O393" s="117" t="s">
        <v>50</v>
      </c>
      <c r="P393" s="117" t="s">
        <v>40</v>
      </c>
      <c r="Q393" s="139">
        <v>20004566</v>
      </c>
      <c r="R393" s="117" t="s">
        <v>78</v>
      </c>
      <c r="S393" s="117" t="s">
        <v>109</v>
      </c>
      <c r="T393" s="117" t="s">
        <v>109</v>
      </c>
      <c r="U393" s="117" t="s">
        <v>128</v>
      </c>
      <c r="V393" s="12">
        <f>+IFERROR(IF(VLOOKUP(Q393,COMISIONES!$C$2:$K$33,9,0)&gt;=VLOOKUP(TC!Q393,COMISIONES!$C$2:$I$33,7,0),1,0),0)</f>
        <v>1</v>
      </c>
      <c r="W393" s="262">
        <f>+IF(H393="Segunda",VLOOKUP(_xlfn.CONCAT(P393,G393,H393,V393),'PUNTOS 2021'!$E$23:$F$30,2,0),TC!L393)</f>
        <v>2</v>
      </c>
      <c r="X393" s="67">
        <f>+VLOOKUP(Q393,COMISIONES!$C$2:$AO$33,39,0)</f>
        <v>60</v>
      </c>
      <c r="Y393" s="67">
        <f t="shared" si="6"/>
        <v>120</v>
      </c>
      <c r="Z393" s="58" t="s">
        <v>80</v>
      </c>
      <c r="AA393" s="13">
        <f>+VLOOKUP(Q393,COMISIONES!$C$2:$C$33,1,0)</f>
        <v>20004566</v>
      </c>
      <c r="AB393" s="13" t="s">
        <v>269</v>
      </c>
    </row>
    <row r="394" spans="1:28">
      <c r="A394" s="117" t="s">
        <v>821</v>
      </c>
      <c r="B394" s="138">
        <v>45156</v>
      </c>
      <c r="C394" s="117" t="s">
        <v>2002</v>
      </c>
      <c r="D394" s="117" t="s">
        <v>2003</v>
      </c>
      <c r="E394" s="117" t="s">
        <v>2004</v>
      </c>
      <c r="F394" s="117"/>
      <c r="G394" s="117" t="s">
        <v>45</v>
      </c>
      <c r="H394" s="117" t="s">
        <v>2</v>
      </c>
      <c r="I394"/>
      <c r="J394"/>
      <c r="K394" s="117" t="s">
        <v>105</v>
      </c>
      <c r="L394">
        <v>2</v>
      </c>
      <c r="M394" s="117" t="s">
        <v>127</v>
      </c>
      <c r="N394" s="117" t="s">
        <v>16</v>
      </c>
      <c r="O394" s="117" t="s">
        <v>49</v>
      </c>
      <c r="P394" s="117" t="s">
        <v>40</v>
      </c>
      <c r="Q394" s="139">
        <v>20002708</v>
      </c>
      <c r="R394" s="117" t="s">
        <v>78</v>
      </c>
      <c r="S394" s="117" t="s">
        <v>109</v>
      </c>
      <c r="T394" s="117" t="s">
        <v>109</v>
      </c>
      <c r="U394" s="117" t="s">
        <v>128</v>
      </c>
      <c r="V394" s="12">
        <f>+IFERROR(IF(VLOOKUP(Q394,COMISIONES!$C$2:$K$33,9,0)&gt;=VLOOKUP(TC!Q394,COMISIONES!$C$2:$I$33,7,0),1,0),0)</f>
        <v>0</v>
      </c>
      <c r="W394" s="262">
        <f>+IF(H394="Segunda",VLOOKUP(_xlfn.CONCAT(P394,G394,H394,V394),'PUNTOS 2021'!$E$23:$F$30,2,0),TC!L394)</f>
        <v>0.5</v>
      </c>
      <c r="X394" s="67">
        <f>+VLOOKUP(Q394,COMISIONES!$C$2:$AO$33,39,0)</f>
        <v>60</v>
      </c>
      <c r="Y394" s="67">
        <f t="shared" si="6"/>
        <v>30</v>
      </c>
      <c r="Z394" s="58" t="s">
        <v>80</v>
      </c>
      <c r="AA394" s="13">
        <f>+VLOOKUP(Q394,COMISIONES!$C$2:$C$33,1,0)</f>
        <v>20002708</v>
      </c>
      <c r="AB394" s="13" t="s">
        <v>269</v>
      </c>
    </row>
    <row r="395" spans="1:28">
      <c r="A395" s="117" t="s">
        <v>821</v>
      </c>
      <c r="B395" s="138">
        <v>45156</v>
      </c>
      <c r="C395" s="117" t="s">
        <v>2005</v>
      </c>
      <c r="D395" s="117" t="s">
        <v>2006</v>
      </c>
      <c r="E395" s="117" t="s">
        <v>2007</v>
      </c>
      <c r="F395" s="117"/>
      <c r="G395" s="117" t="s">
        <v>44</v>
      </c>
      <c r="H395" s="117" t="s">
        <v>2</v>
      </c>
      <c r="I395"/>
      <c r="J395"/>
      <c r="K395" s="117" t="s">
        <v>105</v>
      </c>
      <c r="L395">
        <v>1</v>
      </c>
      <c r="M395" s="117" t="s">
        <v>116</v>
      </c>
      <c r="N395" s="117" t="s">
        <v>13</v>
      </c>
      <c r="O395" s="117" t="s">
        <v>50</v>
      </c>
      <c r="P395" s="117" t="s">
        <v>40</v>
      </c>
      <c r="Q395" s="139">
        <v>20007020</v>
      </c>
      <c r="R395" s="117" t="s">
        <v>78</v>
      </c>
      <c r="S395" s="117" t="s">
        <v>109</v>
      </c>
      <c r="T395" s="117" t="s">
        <v>109</v>
      </c>
      <c r="U395" s="117" t="s">
        <v>128</v>
      </c>
      <c r="V395" s="12">
        <f>+IFERROR(IF(VLOOKUP(Q395,COMISIONES!$C$2:$K$33,9,0)&gt;=VLOOKUP(TC!Q395,COMISIONES!$C$2:$I$33,7,0),1,0),0)</f>
        <v>0</v>
      </c>
      <c r="W395" s="262">
        <f>+IF(H395="Segunda",VLOOKUP(_xlfn.CONCAT(P395,G395,H395,V395),'PUNTOS 2021'!$E$23:$F$30,2,0),TC!L395)</f>
        <v>0.5</v>
      </c>
      <c r="X395" s="67">
        <f>+VLOOKUP(Q395,COMISIONES!$C$2:$AO$33,39,0)</f>
        <v>40</v>
      </c>
      <c r="Y395" s="67">
        <f t="shared" si="6"/>
        <v>20</v>
      </c>
      <c r="Z395" s="58" t="s">
        <v>80</v>
      </c>
      <c r="AA395" s="13">
        <f>+VLOOKUP(Q395,COMISIONES!$C$2:$C$33,1,0)</f>
        <v>20007020</v>
      </c>
      <c r="AB395" s="13" t="s">
        <v>269</v>
      </c>
    </row>
    <row r="396" spans="1:28" hidden="1">
      <c r="A396" s="117" t="s">
        <v>821</v>
      </c>
      <c r="B396" s="138">
        <v>45156</v>
      </c>
      <c r="C396" s="117" t="s">
        <v>2008</v>
      </c>
      <c r="D396" s="117" t="s">
        <v>2009</v>
      </c>
      <c r="E396" s="117" t="s">
        <v>2010</v>
      </c>
      <c r="F396" s="117"/>
      <c r="G396" s="117" t="s">
        <v>44</v>
      </c>
      <c r="H396" s="117" t="s">
        <v>1</v>
      </c>
      <c r="I396"/>
      <c r="J396"/>
      <c r="K396" s="117" t="s">
        <v>105</v>
      </c>
      <c r="L396">
        <v>5</v>
      </c>
      <c r="M396" s="117" t="s">
        <v>111</v>
      </c>
      <c r="N396" s="117" t="s">
        <v>14</v>
      </c>
      <c r="O396" s="117" t="s">
        <v>50</v>
      </c>
      <c r="P396" s="117" t="s">
        <v>40</v>
      </c>
      <c r="Q396" s="139">
        <v>20006360</v>
      </c>
      <c r="R396" s="117" t="s">
        <v>78</v>
      </c>
      <c r="S396" s="117" t="s">
        <v>109</v>
      </c>
      <c r="T396" s="117" t="s">
        <v>109</v>
      </c>
      <c r="U396" s="117" t="s">
        <v>128</v>
      </c>
      <c r="V396" s="12">
        <f>+IFERROR(IF(VLOOKUP(Q396,COMISIONES!$C$2:$K$33,9,0)&gt;=VLOOKUP(TC!Q396,COMISIONES!$C$2:$I$33,7,0),1,0),0)</f>
        <v>0</v>
      </c>
      <c r="W396" s="262">
        <f>+IF(H396="Segunda",VLOOKUP(_xlfn.CONCAT(P396,G396,H396,V396),'PUNTOS 2021'!$E$23:$F$30,2,0),TC!L396)</f>
        <v>5</v>
      </c>
      <c r="X396" s="67">
        <f>+VLOOKUP(Q396,COMISIONES!$C$2:$AO$33,39,0)</f>
        <v>40</v>
      </c>
      <c r="Y396" s="67">
        <f t="shared" si="6"/>
        <v>200</v>
      </c>
      <c r="Z396" s="58" t="s">
        <v>80</v>
      </c>
      <c r="AA396" s="13">
        <f>+VLOOKUP(Q396,COMISIONES!$C$2:$C$33,1,0)</f>
        <v>20006360</v>
      </c>
      <c r="AB396" s="13" t="s">
        <v>269</v>
      </c>
    </row>
    <row r="397" spans="1:28" hidden="1">
      <c r="A397" s="117" t="s">
        <v>821</v>
      </c>
      <c r="B397" s="138">
        <v>45156</v>
      </c>
      <c r="C397" s="117" t="s">
        <v>2011</v>
      </c>
      <c r="D397" s="117" t="s">
        <v>2012</v>
      </c>
      <c r="E397" s="117" t="s">
        <v>2013</v>
      </c>
      <c r="F397" s="117"/>
      <c r="G397" s="117" t="s">
        <v>45</v>
      </c>
      <c r="H397" s="117" t="s">
        <v>1</v>
      </c>
      <c r="I397"/>
      <c r="J397"/>
      <c r="K397" s="117" t="s">
        <v>105</v>
      </c>
      <c r="L397">
        <v>7</v>
      </c>
      <c r="M397" s="117" t="s">
        <v>115</v>
      </c>
      <c r="N397" s="117" t="s">
        <v>6</v>
      </c>
      <c r="O397" s="117" t="s">
        <v>51</v>
      </c>
      <c r="P397" s="117" t="s">
        <v>40</v>
      </c>
      <c r="Q397" s="139">
        <v>20001487</v>
      </c>
      <c r="R397" s="117" t="s">
        <v>78</v>
      </c>
      <c r="S397" s="117" t="s">
        <v>109</v>
      </c>
      <c r="T397" s="117" t="s">
        <v>109</v>
      </c>
      <c r="U397" s="117" t="s">
        <v>128</v>
      </c>
      <c r="V397" s="12">
        <f>+IFERROR(IF(VLOOKUP(Q397,COMISIONES!$C$2:$K$33,9,0)&gt;=VLOOKUP(TC!Q397,COMISIONES!$C$2:$I$33,7,0),1,0),0)</f>
        <v>1</v>
      </c>
      <c r="W397" s="262">
        <f>+IF(H397="Segunda",VLOOKUP(_xlfn.CONCAT(P397,G397,H397,V397),'PUNTOS 2021'!$E$23:$F$30,2,0),TC!L397)</f>
        <v>7</v>
      </c>
      <c r="X397" s="67">
        <f>+VLOOKUP(Q397,COMISIONES!$C$2:$AO$33,39,0)</f>
        <v>65</v>
      </c>
      <c r="Y397" s="67">
        <f t="shared" si="6"/>
        <v>455</v>
      </c>
      <c r="Z397" s="58" t="s">
        <v>80</v>
      </c>
      <c r="AA397" s="13">
        <f>+VLOOKUP(Q397,COMISIONES!$C$2:$C$33,1,0)</f>
        <v>20001487</v>
      </c>
      <c r="AB397" s="13" t="s">
        <v>269</v>
      </c>
    </row>
    <row r="398" spans="1:28" hidden="1">
      <c r="A398" s="117" t="s">
        <v>821</v>
      </c>
      <c r="B398" s="138">
        <v>45157</v>
      </c>
      <c r="C398" s="117" t="s">
        <v>2014</v>
      </c>
      <c r="D398" s="117" t="s">
        <v>2015</v>
      </c>
      <c r="E398" s="117" t="s">
        <v>2016</v>
      </c>
      <c r="F398" s="117"/>
      <c r="G398" s="117" t="s">
        <v>45</v>
      </c>
      <c r="H398" s="117" t="s">
        <v>1</v>
      </c>
      <c r="I398"/>
      <c r="J398"/>
      <c r="K398" s="117" t="s">
        <v>105</v>
      </c>
      <c r="L398">
        <v>7</v>
      </c>
      <c r="M398" s="117" t="s">
        <v>123</v>
      </c>
      <c r="N398" s="117" t="s">
        <v>23</v>
      </c>
      <c r="O398" s="117" t="s">
        <v>49</v>
      </c>
      <c r="P398" s="117" t="s">
        <v>40</v>
      </c>
      <c r="Q398" s="139">
        <v>20009269</v>
      </c>
      <c r="R398" s="117" t="s">
        <v>78</v>
      </c>
      <c r="S398" s="117" t="s">
        <v>109</v>
      </c>
      <c r="T398" s="117" t="s">
        <v>109</v>
      </c>
      <c r="U398" s="117" t="s">
        <v>128</v>
      </c>
      <c r="V398" s="12">
        <f>+IFERROR(IF(VLOOKUP(Q398,COMISIONES!$C$2:$K$33,9,0)&gt;=VLOOKUP(TC!Q398,COMISIONES!$C$2:$I$33,7,0),1,0),0)</f>
        <v>1</v>
      </c>
      <c r="W398" s="262">
        <f>+IF(H398="Segunda",VLOOKUP(_xlfn.CONCAT(P398,G398,H398,V398),'PUNTOS 2021'!$E$23:$F$30,2,0),TC!L398)</f>
        <v>7</v>
      </c>
      <c r="X398" s="67">
        <f>+VLOOKUP(Q398,COMISIONES!$C$2:$AO$33,39,0)</f>
        <v>65</v>
      </c>
      <c r="Y398" s="67">
        <f t="shared" si="6"/>
        <v>455</v>
      </c>
      <c r="Z398" s="58" t="s">
        <v>80</v>
      </c>
      <c r="AA398" s="13">
        <f>+VLOOKUP(Q398,COMISIONES!$C$2:$C$33,1,0)</f>
        <v>20009269</v>
      </c>
      <c r="AB398" s="13" t="s">
        <v>269</v>
      </c>
    </row>
    <row r="399" spans="1:28">
      <c r="A399" s="117" t="s">
        <v>821</v>
      </c>
      <c r="B399" s="138">
        <v>45157</v>
      </c>
      <c r="C399" s="117" t="s">
        <v>2017</v>
      </c>
      <c r="D399" s="117" t="s">
        <v>2018</v>
      </c>
      <c r="E399" s="117" t="s">
        <v>2019</v>
      </c>
      <c r="F399" s="117"/>
      <c r="G399" s="117" t="s">
        <v>43</v>
      </c>
      <c r="H399" s="117" t="s">
        <v>2</v>
      </c>
      <c r="I399"/>
      <c r="J399"/>
      <c r="K399" s="117" t="s">
        <v>105</v>
      </c>
      <c r="L399">
        <v>1</v>
      </c>
      <c r="M399" s="117" t="s">
        <v>114</v>
      </c>
      <c r="N399" s="117" t="s">
        <v>19</v>
      </c>
      <c r="O399" s="117" t="s">
        <v>49</v>
      </c>
      <c r="P399" s="117" t="s">
        <v>40</v>
      </c>
      <c r="Q399" s="139">
        <v>20008625</v>
      </c>
      <c r="R399" s="117" t="s">
        <v>78</v>
      </c>
      <c r="S399" s="117" t="s">
        <v>109</v>
      </c>
      <c r="T399" s="117" t="s">
        <v>109</v>
      </c>
      <c r="U399" s="117" t="s">
        <v>128</v>
      </c>
      <c r="V399" s="12">
        <f>+IFERROR(IF(VLOOKUP(Q399,COMISIONES!$C$2:$K$33,9,0)&gt;=VLOOKUP(TC!Q399,COMISIONES!$C$2:$I$33,7,0),1,0),0)</f>
        <v>0</v>
      </c>
      <c r="W399" s="262">
        <f>+IF(H399="Segunda",VLOOKUP(_xlfn.CONCAT(P399,G399,H399,V399),'PUNTOS 2021'!$E$23:$F$30,2,0),TC!L399)</f>
        <v>0.5</v>
      </c>
      <c r="X399" s="67">
        <f>+VLOOKUP(Q399,COMISIONES!$C$2:$AO$33,39,0)</f>
        <v>20</v>
      </c>
      <c r="Y399" s="67">
        <f t="shared" si="6"/>
        <v>10</v>
      </c>
      <c r="Z399" s="58" t="s">
        <v>80</v>
      </c>
      <c r="AA399" s="13">
        <f>+VLOOKUP(Q399,COMISIONES!$C$2:$C$33,1,0)</f>
        <v>20008625</v>
      </c>
      <c r="AB399" s="13" t="s">
        <v>269</v>
      </c>
    </row>
    <row r="400" spans="1:28" hidden="1">
      <c r="A400" s="117" t="s">
        <v>821</v>
      </c>
      <c r="B400" s="138">
        <v>45157</v>
      </c>
      <c r="C400" s="117" t="s">
        <v>2020</v>
      </c>
      <c r="D400" s="117" t="s">
        <v>2021</v>
      </c>
      <c r="E400" s="117" t="s">
        <v>2022</v>
      </c>
      <c r="F400" s="117"/>
      <c r="G400" s="117" t="s">
        <v>44</v>
      </c>
      <c r="H400" s="117" t="s">
        <v>1</v>
      </c>
      <c r="I400"/>
      <c r="J400"/>
      <c r="K400" s="117" t="s">
        <v>105</v>
      </c>
      <c r="L400">
        <v>5</v>
      </c>
      <c r="M400" s="117" t="s">
        <v>114</v>
      </c>
      <c r="N400" s="117" t="s">
        <v>19</v>
      </c>
      <c r="O400" s="117" t="s">
        <v>49</v>
      </c>
      <c r="P400" s="117" t="s">
        <v>40</v>
      </c>
      <c r="Q400" s="139">
        <v>20008625</v>
      </c>
      <c r="R400" s="117" t="s">
        <v>78</v>
      </c>
      <c r="S400" s="117" t="s">
        <v>109</v>
      </c>
      <c r="T400" s="117" t="s">
        <v>109</v>
      </c>
      <c r="U400" s="117" t="s">
        <v>128</v>
      </c>
      <c r="V400" s="12">
        <f>+IFERROR(IF(VLOOKUP(Q400,COMISIONES!$C$2:$K$33,9,0)&gt;=VLOOKUP(TC!Q400,COMISIONES!$C$2:$I$33,7,0),1,0),0)</f>
        <v>0</v>
      </c>
      <c r="W400" s="262">
        <f>+IF(H400="Segunda",VLOOKUP(_xlfn.CONCAT(P400,G400,H400,V400),'PUNTOS 2021'!$E$23:$F$30,2,0),TC!L400)</f>
        <v>5</v>
      </c>
      <c r="X400" s="67">
        <f>+VLOOKUP(Q400,COMISIONES!$C$2:$AO$33,39,0)</f>
        <v>20</v>
      </c>
      <c r="Y400" s="67">
        <f t="shared" si="6"/>
        <v>100</v>
      </c>
      <c r="Z400" s="58" t="s">
        <v>80</v>
      </c>
      <c r="AA400" s="13">
        <f>+VLOOKUP(Q400,COMISIONES!$C$2:$C$33,1,0)</f>
        <v>20008625</v>
      </c>
      <c r="AB400" s="13" t="s">
        <v>269</v>
      </c>
    </row>
    <row r="401" spans="1:28" hidden="1">
      <c r="A401" s="117" t="s">
        <v>821</v>
      </c>
      <c r="B401" s="138">
        <v>45157</v>
      </c>
      <c r="C401" s="117" t="s">
        <v>2023</v>
      </c>
      <c r="D401" s="117" t="s">
        <v>2024</v>
      </c>
      <c r="E401" s="117" t="s">
        <v>2025</v>
      </c>
      <c r="F401" s="117"/>
      <c r="G401" s="117" t="s">
        <v>45</v>
      </c>
      <c r="H401" s="117" t="s">
        <v>1</v>
      </c>
      <c r="I401"/>
      <c r="J401"/>
      <c r="K401" s="117" t="s">
        <v>105</v>
      </c>
      <c r="L401">
        <v>7</v>
      </c>
      <c r="M401" s="117" t="s">
        <v>112</v>
      </c>
      <c r="N401" s="117" t="s">
        <v>9</v>
      </c>
      <c r="O401" s="117" t="s">
        <v>51</v>
      </c>
      <c r="P401" s="117" t="s">
        <v>40</v>
      </c>
      <c r="Q401" s="139">
        <v>20004638</v>
      </c>
      <c r="R401" s="117" t="s">
        <v>78</v>
      </c>
      <c r="S401" s="117" t="s">
        <v>109</v>
      </c>
      <c r="T401" s="117" t="s">
        <v>109</v>
      </c>
      <c r="U401" s="117" t="s">
        <v>128</v>
      </c>
      <c r="V401" s="12">
        <f>+IFERROR(IF(VLOOKUP(Q401,COMISIONES!$C$2:$K$33,9,0)&gt;=VLOOKUP(TC!Q401,COMISIONES!$C$2:$I$33,7,0),1,0),0)</f>
        <v>0</v>
      </c>
      <c r="W401" s="262">
        <f>+IF(H401="Segunda",VLOOKUP(_xlfn.CONCAT(P401,G401,H401,V401),'PUNTOS 2021'!$E$23:$F$30,2,0),TC!L401)</f>
        <v>7</v>
      </c>
      <c r="X401" s="67">
        <f>+VLOOKUP(Q401,COMISIONES!$C$2:$AO$33,39,0)</f>
        <v>60</v>
      </c>
      <c r="Y401" s="67">
        <f t="shared" si="6"/>
        <v>420</v>
      </c>
      <c r="Z401" s="58" t="s">
        <v>80</v>
      </c>
      <c r="AA401" s="13">
        <f>+VLOOKUP(Q401,COMISIONES!$C$2:$C$33,1,0)</f>
        <v>20004638</v>
      </c>
      <c r="AB401" s="13" t="s">
        <v>269</v>
      </c>
    </row>
    <row r="402" spans="1:28" hidden="1">
      <c r="A402" s="117" t="s">
        <v>821</v>
      </c>
      <c r="B402" s="138">
        <v>45157</v>
      </c>
      <c r="C402" s="117" t="s">
        <v>2026</v>
      </c>
      <c r="D402" s="117" t="s">
        <v>2027</v>
      </c>
      <c r="E402" s="117" t="s">
        <v>2028</v>
      </c>
      <c r="F402" s="117"/>
      <c r="G402" s="117" t="s">
        <v>43</v>
      </c>
      <c r="H402" s="117" t="s">
        <v>1</v>
      </c>
      <c r="I402"/>
      <c r="J402"/>
      <c r="K402" s="117" t="s">
        <v>105</v>
      </c>
      <c r="L402">
        <v>3</v>
      </c>
      <c r="M402" s="117" t="s">
        <v>1946</v>
      </c>
      <c r="N402" s="117" t="s">
        <v>1947</v>
      </c>
      <c r="O402" s="117" t="s">
        <v>51</v>
      </c>
      <c r="P402" s="117" t="s">
        <v>40</v>
      </c>
      <c r="Q402" s="139">
        <v>20010766</v>
      </c>
      <c r="R402" s="117" t="s">
        <v>78</v>
      </c>
      <c r="S402" s="117" t="s">
        <v>109</v>
      </c>
      <c r="T402" s="117" t="s">
        <v>109</v>
      </c>
      <c r="U402" s="117" t="s">
        <v>128</v>
      </c>
      <c r="V402" s="12">
        <f>+IFERROR(IF(VLOOKUP(Q402,COMISIONES!$C$2:$K$33,9,0)&gt;=VLOOKUP(TC!Q402,COMISIONES!$C$2:$I$33,7,0),1,0),0)</f>
        <v>0</v>
      </c>
      <c r="W402" s="262">
        <f>+IF(H402="Segunda",VLOOKUP(_xlfn.CONCAT(P402,G402,H402,V402),'PUNTOS 2021'!$E$23:$F$30,2,0),TC!L402)</f>
        <v>3</v>
      </c>
      <c r="X402" s="67">
        <f>+VLOOKUP(Q402,COMISIONES!$C$2:$AO$33,39,0)</f>
        <v>20</v>
      </c>
      <c r="Y402" s="67">
        <f t="shared" si="6"/>
        <v>60</v>
      </c>
      <c r="Z402" s="58" t="s">
        <v>80</v>
      </c>
      <c r="AA402" s="13">
        <f>+VLOOKUP(Q402,COMISIONES!$C$2:$C$33,1,0)</f>
        <v>20010766</v>
      </c>
      <c r="AB402" s="13" t="s">
        <v>269</v>
      </c>
    </row>
    <row r="403" spans="1:28" hidden="1">
      <c r="A403" s="117" t="s">
        <v>821</v>
      </c>
      <c r="B403" s="138">
        <v>45157</v>
      </c>
      <c r="C403" s="117" t="s">
        <v>2029</v>
      </c>
      <c r="D403" s="117" t="s">
        <v>2030</v>
      </c>
      <c r="E403" s="117" t="s">
        <v>2031</v>
      </c>
      <c r="F403" s="117"/>
      <c r="G403" s="117" t="s">
        <v>45</v>
      </c>
      <c r="H403" s="117" t="s">
        <v>1</v>
      </c>
      <c r="I403"/>
      <c r="J403"/>
      <c r="K403" s="117" t="s">
        <v>105</v>
      </c>
      <c r="L403">
        <v>7</v>
      </c>
      <c r="M403" s="117" t="s">
        <v>113</v>
      </c>
      <c r="N403" s="117" t="s">
        <v>12</v>
      </c>
      <c r="O403" s="117" t="s">
        <v>49</v>
      </c>
      <c r="P403" s="117" t="s">
        <v>40</v>
      </c>
      <c r="Q403" s="139">
        <v>20007726</v>
      </c>
      <c r="R403" s="117" t="s">
        <v>78</v>
      </c>
      <c r="S403" s="117" t="s">
        <v>109</v>
      </c>
      <c r="T403" s="117" t="s">
        <v>109</v>
      </c>
      <c r="U403" s="117" t="s">
        <v>128</v>
      </c>
      <c r="V403" s="12">
        <f>+IFERROR(IF(VLOOKUP(Q403,COMISIONES!$C$2:$K$33,9,0)&gt;=VLOOKUP(TC!Q403,COMISIONES!$C$2:$I$33,7,0),1,0),0)</f>
        <v>1</v>
      </c>
      <c r="W403" s="262">
        <f>+IF(H403="Segunda",VLOOKUP(_xlfn.CONCAT(P403,G403,H403,V403),'PUNTOS 2021'!$E$23:$F$30,2,0),TC!L403)</f>
        <v>7</v>
      </c>
      <c r="X403" s="67">
        <f>+VLOOKUP(Q403,COMISIONES!$C$2:$AO$33,39,0)</f>
        <v>65</v>
      </c>
      <c r="Y403" s="67">
        <f t="shared" si="6"/>
        <v>455</v>
      </c>
      <c r="Z403" s="58" t="s">
        <v>80</v>
      </c>
      <c r="AA403" s="13">
        <f>+VLOOKUP(Q403,COMISIONES!$C$2:$C$33,1,0)</f>
        <v>20007726</v>
      </c>
      <c r="AB403" s="13" t="s">
        <v>269</v>
      </c>
    </row>
    <row r="404" spans="1:28" hidden="1">
      <c r="A404" s="117" t="s">
        <v>821</v>
      </c>
      <c r="B404" s="138">
        <v>45157</v>
      </c>
      <c r="C404" s="117" t="s">
        <v>2032</v>
      </c>
      <c r="D404" s="117" t="s">
        <v>2033</v>
      </c>
      <c r="E404" s="117" t="s">
        <v>2034</v>
      </c>
      <c r="F404" s="117"/>
      <c r="G404" s="117" t="s">
        <v>45</v>
      </c>
      <c r="H404" s="117" t="s">
        <v>1</v>
      </c>
      <c r="I404"/>
      <c r="J404"/>
      <c r="K404" s="117" t="s">
        <v>105</v>
      </c>
      <c r="L404">
        <v>7</v>
      </c>
      <c r="M404" s="117" t="s">
        <v>124</v>
      </c>
      <c r="N404" s="117" t="s">
        <v>17</v>
      </c>
      <c r="O404" s="117" t="s">
        <v>52</v>
      </c>
      <c r="P404" s="117" t="s">
        <v>40</v>
      </c>
      <c r="Q404" s="139">
        <v>20006233</v>
      </c>
      <c r="R404" s="117" t="s">
        <v>78</v>
      </c>
      <c r="S404" s="117" t="s">
        <v>109</v>
      </c>
      <c r="T404" s="117" t="s">
        <v>109</v>
      </c>
      <c r="U404" s="117" t="s">
        <v>128</v>
      </c>
      <c r="V404" s="12">
        <f>+IFERROR(IF(VLOOKUP(Q404,COMISIONES!$C$2:$K$33,9,0)&gt;=VLOOKUP(TC!Q404,COMISIONES!$C$2:$I$33,7,0),1,0),0)</f>
        <v>0</v>
      </c>
      <c r="W404" s="262">
        <f>+IF(H404="Segunda",VLOOKUP(_xlfn.CONCAT(P404,G404,H404,V404),'PUNTOS 2021'!$E$23:$F$30,2,0),TC!L404)</f>
        <v>7</v>
      </c>
      <c r="X404" s="67">
        <f>+VLOOKUP(Q404,COMISIONES!$C$2:$AO$33,39,0)</f>
        <v>40</v>
      </c>
      <c r="Y404" s="67">
        <f t="shared" si="6"/>
        <v>280</v>
      </c>
      <c r="Z404" s="58" t="s">
        <v>80</v>
      </c>
      <c r="AA404" s="13">
        <f>+VLOOKUP(Q404,COMISIONES!$C$2:$C$33,1,0)</f>
        <v>20006233</v>
      </c>
      <c r="AB404" s="13" t="s">
        <v>269</v>
      </c>
    </row>
    <row r="405" spans="1:28">
      <c r="A405" s="117" t="s">
        <v>821</v>
      </c>
      <c r="B405" s="138">
        <v>45157</v>
      </c>
      <c r="C405" s="117" t="s">
        <v>2035</v>
      </c>
      <c r="D405" s="117" t="s">
        <v>2036</v>
      </c>
      <c r="E405" s="117" t="s">
        <v>2037</v>
      </c>
      <c r="F405" s="117"/>
      <c r="G405" s="117" t="s">
        <v>45</v>
      </c>
      <c r="H405" s="117" t="s">
        <v>2</v>
      </c>
      <c r="I405"/>
      <c r="J405"/>
      <c r="K405" s="117" t="s">
        <v>105</v>
      </c>
      <c r="L405">
        <v>2</v>
      </c>
      <c r="M405" s="117" t="s">
        <v>413</v>
      </c>
      <c r="N405" s="117" t="s">
        <v>390</v>
      </c>
      <c r="O405" s="117" t="s">
        <v>49</v>
      </c>
      <c r="P405" s="117" t="s">
        <v>40</v>
      </c>
      <c r="Q405" s="139">
        <v>20010617</v>
      </c>
      <c r="R405" s="117" t="s">
        <v>78</v>
      </c>
      <c r="S405" s="117" t="s">
        <v>109</v>
      </c>
      <c r="T405" s="117" t="s">
        <v>109</v>
      </c>
      <c r="U405" s="117" t="s">
        <v>128</v>
      </c>
      <c r="V405" s="12">
        <f>+IFERROR(IF(VLOOKUP(Q405,COMISIONES!$C$2:$K$33,9,0)&gt;=VLOOKUP(TC!Q405,COMISIONES!$C$2:$I$33,7,0),1,0),0)</f>
        <v>0</v>
      </c>
      <c r="W405" s="262">
        <f>+IF(H405="Segunda",VLOOKUP(_xlfn.CONCAT(P405,G405,H405,V405),'PUNTOS 2021'!$E$23:$F$30,2,0),TC!L405)</f>
        <v>0.5</v>
      </c>
      <c r="X405" s="67">
        <f>+VLOOKUP(Q405,COMISIONES!$C$2:$AO$33,39,0)</f>
        <v>18</v>
      </c>
      <c r="Y405" s="67">
        <f t="shared" si="6"/>
        <v>9</v>
      </c>
      <c r="Z405" s="58" t="s">
        <v>80</v>
      </c>
      <c r="AA405" s="13">
        <f>+VLOOKUP(Q405,COMISIONES!$C$2:$C$33,1,0)</f>
        <v>20010617</v>
      </c>
      <c r="AB405" s="13" t="s">
        <v>269</v>
      </c>
    </row>
    <row r="406" spans="1:28" hidden="1">
      <c r="A406" s="117" t="s">
        <v>821</v>
      </c>
      <c r="B406" s="138">
        <v>45157</v>
      </c>
      <c r="C406" s="117" t="s">
        <v>2038</v>
      </c>
      <c r="D406" s="117" t="s">
        <v>2039</v>
      </c>
      <c r="E406" s="117" t="s">
        <v>2040</v>
      </c>
      <c r="F406" s="117"/>
      <c r="G406" s="117" t="s">
        <v>43</v>
      </c>
      <c r="H406" s="117" t="s">
        <v>1</v>
      </c>
      <c r="I406"/>
      <c r="J406"/>
      <c r="K406" s="117" t="s">
        <v>105</v>
      </c>
      <c r="L406">
        <v>3</v>
      </c>
      <c r="M406" s="117" t="s">
        <v>255</v>
      </c>
      <c r="N406" s="117" t="s">
        <v>4</v>
      </c>
      <c r="O406" s="117" t="s">
        <v>51</v>
      </c>
      <c r="P406" s="117" t="s">
        <v>40</v>
      </c>
      <c r="Q406" s="139">
        <v>20000033</v>
      </c>
      <c r="R406" s="117" t="s">
        <v>78</v>
      </c>
      <c r="S406" s="117" t="s">
        <v>109</v>
      </c>
      <c r="T406" s="117" t="s">
        <v>109</v>
      </c>
      <c r="U406" s="117" t="s">
        <v>128</v>
      </c>
      <c r="V406" s="12">
        <f>+IFERROR(IF(VLOOKUP(Q406,COMISIONES!$C$2:$K$33,9,0)&gt;=VLOOKUP(TC!Q406,COMISIONES!$C$2:$I$33,7,0),1,0),0)</f>
        <v>1</v>
      </c>
      <c r="W406" s="262">
        <f>+IF(H406="Segunda",VLOOKUP(_xlfn.CONCAT(P406,G406,H406,V406),'PUNTOS 2021'!$E$23:$F$30,2,0),TC!L406)</f>
        <v>3</v>
      </c>
      <c r="X406" s="67">
        <f>+VLOOKUP(Q406,COMISIONES!$C$2:$AO$33,39,0)</f>
        <v>60</v>
      </c>
      <c r="Y406" s="67">
        <f t="shared" si="6"/>
        <v>180</v>
      </c>
      <c r="Z406" s="58" t="s">
        <v>80</v>
      </c>
      <c r="AA406" s="13">
        <f>+VLOOKUP(Q406,COMISIONES!$C$2:$C$33,1,0)</f>
        <v>20000033</v>
      </c>
      <c r="AB406" s="13" t="s">
        <v>269</v>
      </c>
    </row>
    <row r="407" spans="1:28" hidden="1">
      <c r="A407" s="117" t="s">
        <v>821</v>
      </c>
      <c r="B407" s="138">
        <v>45157</v>
      </c>
      <c r="C407" s="117" t="s">
        <v>2041</v>
      </c>
      <c r="D407" s="117" t="s">
        <v>2042</v>
      </c>
      <c r="E407" s="117" t="s">
        <v>2043</v>
      </c>
      <c r="F407" s="117"/>
      <c r="G407" s="117" t="s">
        <v>45</v>
      </c>
      <c r="H407" s="117" t="s">
        <v>1</v>
      </c>
      <c r="I407"/>
      <c r="J407"/>
      <c r="K407" s="117" t="s">
        <v>105</v>
      </c>
      <c r="L407">
        <v>7</v>
      </c>
      <c r="M407" s="117" t="s">
        <v>125</v>
      </c>
      <c r="N407" s="117" t="s">
        <v>18</v>
      </c>
      <c r="O407" s="117" t="s">
        <v>50</v>
      </c>
      <c r="P407" s="117" t="s">
        <v>40</v>
      </c>
      <c r="Q407" s="139">
        <v>20008439</v>
      </c>
      <c r="R407" s="117" t="s">
        <v>78</v>
      </c>
      <c r="S407" s="117" t="s">
        <v>109</v>
      </c>
      <c r="T407" s="117" t="s">
        <v>109</v>
      </c>
      <c r="U407" s="117" t="s">
        <v>128</v>
      </c>
      <c r="V407" s="12">
        <f>+IFERROR(IF(VLOOKUP(Q407,COMISIONES!$C$2:$K$33,9,0)&gt;=VLOOKUP(TC!Q407,COMISIONES!$C$2:$I$33,7,0),1,0),0)</f>
        <v>1</v>
      </c>
      <c r="W407" s="262">
        <f>+IF(H407="Segunda",VLOOKUP(_xlfn.CONCAT(P407,G407,H407,V407),'PUNTOS 2021'!$E$23:$F$30,2,0),TC!L407)</f>
        <v>7</v>
      </c>
      <c r="X407" s="67">
        <f>+VLOOKUP(Q407,COMISIONES!$C$2:$AO$33,39,0)</f>
        <v>60</v>
      </c>
      <c r="Y407" s="67">
        <f t="shared" si="6"/>
        <v>420</v>
      </c>
      <c r="Z407" s="58" t="s">
        <v>80</v>
      </c>
      <c r="AA407" s="13">
        <f>+VLOOKUP(Q407,COMISIONES!$C$2:$C$33,1,0)</f>
        <v>20008439</v>
      </c>
      <c r="AB407" s="13" t="s">
        <v>269</v>
      </c>
    </row>
    <row r="408" spans="1:28">
      <c r="A408" s="117" t="s">
        <v>821</v>
      </c>
      <c r="B408" s="138">
        <v>45157</v>
      </c>
      <c r="C408" s="117" t="s">
        <v>2044</v>
      </c>
      <c r="D408" s="117" t="s">
        <v>2045</v>
      </c>
      <c r="E408" s="117" t="s">
        <v>2046</v>
      </c>
      <c r="F408" s="117"/>
      <c r="G408" s="117" t="s">
        <v>45</v>
      </c>
      <c r="H408" s="117" t="s">
        <v>2</v>
      </c>
      <c r="I408"/>
      <c r="J408"/>
      <c r="K408" s="117" t="s">
        <v>105</v>
      </c>
      <c r="L408">
        <v>2</v>
      </c>
      <c r="M408" s="117" t="s">
        <v>123</v>
      </c>
      <c r="N408" s="117" t="s">
        <v>23</v>
      </c>
      <c r="O408" s="117" t="s">
        <v>49</v>
      </c>
      <c r="P408" s="117" t="s">
        <v>40</v>
      </c>
      <c r="Q408" s="139">
        <v>20009269</v>
      </c>
      <c r="R408" s="117" t="s">
        <v>78</v>
      </c>
      <c r="S408" s="117" t="s">
        <v>109</v>
      </c>
      <c r="T408" s="117" t="s">
        <v>109</v>
      </c>
      <c r="U408" s="117" t="s">
        <v>128</v>
      </c>
      <c r="V408" s="12">
        <f>+IFERROR(IF(VLOOKUP(Q408,COMISIONES!$C$2:$K$33,9,0)&gt;=VLOOKUP(TC!Q408,COMISIONES!$C$2:$I$33,7,0),1,0),0)</f>
        <v>1</v>
      </c>
      <c r="W408" s="262">
        <f>+IF(H408="Segunda",VLOOKUP(_xlfn.CONCAT(P408,G408,H408,V408),'PUNTOS 2021'!$E$23:$F$30,2,0),TC!L408)</f>
        <v>2</v>
      </c>
      <c r="X408" s="67">
        <f>+VLOOKUP(Q408,COMISIONES!$C$2:$AO$33,39,0)</f>
        <v>65</v>
      </c>
      <c r="Y408" s="67">
        <f t="shared" si="6"/>
        <v>130</v>
      </c>
      <c r="Z408" s="58" t="s">
        <v>80</v>
      </c>
      <c r="AA408" s="13">
        <f>+VLOOKUP(Q408,COMISIONES!$C$2:$C$33,1,0)</f>
        <v>20009269</v>
      </c>
      <c r="AB408" s="13" t="s">
        <v>269</v>
      </c>
    </row>
    <row r="409" spans="1:28" hidden="1">
      <c r="A409" s="117" t="s">
        <v>821</v>
      </c>
      <c r="B409" s="138">
        <v>45157</v>
      </c>
      <c r="C409" s="117" t="s">
        <v>2047</v>
      </c>
      <c r="D409" s="117" t="s">
        <v>2048</v>
      </c>
      <c r="E409" s="117" t="s">
        <v>2049</v>
      </c>
      <c r="F409" s="117"/>
      <c r="G409" s="117" t="s">
        <v>44</v>
      </c>
      <c r="H409" s="117" t="s">
        <v>1</v>
      </c>
      <c r="I409"/>
      <c r="J409"/>
      <c r="K409" s="117" t="s">
        <v>105</v>
      </c>
      <c r="L409">
        <v>5</v>
      </c>
      <c r="M409" s="117" t="s">
        <v>122</v>
      </c>
      <c r="N409" s="117" t="s">
        <v>5</v>
      </c>
      <c r="O409" s="117" t="s">
        <v>50</v>
      </c>
      <c r="P409" s="117" t="s">
        <v>40</v>
      </c>
      <c r="Q409" s="139">
        <v>20004566</v>
      </c>
      <c r="R409" s="117" t="s">
        <v>78</v>
      </c>
      <c r="S409" s="117" t="s">
        <v>109</v>
      </c>
      <c r="T409" s="117" t="s">
        <v>109</v>
      </c>
      <c r="U409" s="117" t="s">
        <v>128</v>
      </c>
      <c r="V409" s="12">
        <f>+IFERROR(IF(VLOOKUP(Q409,COMISIONES!$C$2:$K$33,9,0)&gt;=VLOOKUP(TC!Q409,COMISIONES!$C$2:$I$33,7,0),1,0),0)</f>
        <v>1</v>
      </c>
      <c r="W409" s="262">
        <f>+IF(H409="Segunda",VLOOKUP(_xlfn.CONCAT(P409,G409,H409,V409),'PUNTOS 2021'!$E$23:$F$30,2,0),TC!L409)</f>
        <v>5</v>
      </c>
      <c r="X409" s="67">
        <f>+VLOOKUP(Q409,COMISIONES!$C$2:$AO$33,39,0)</f>
        <v>60</v>
      </c>
      <c r="Y409" s="67">
        <f t="shared" si="6"/>
        <v>300</v>
      </c>
      <c r="Z409" s="58" t="s">
        <v>80</v>
      </c>
      <c r="AA409" s="13">
        <f>+VLOOKUP(Q409,COMISIONES!$C$2:$C$33,1,0)</f>
        <v>20004566</v>
      </c>
      <c r="AB409" s="13" t="s">
        <v>269</v>
      </c>
    </row>
    <row r="410" spans="1:28" hidden="1">
      <c r="A410" s="117" t="s">
        <v>821</v>
      </c>
      <c r="B410" s="138">
        <v>45157</v>
      </c>
      <c r="C410" s="117" t="s">
        <v>2050</v>
      </c>
      <c r="D410" s="117" t="s">
        <v>2051</v>
      </c>
      <c r="E410" s="117" t="s">
        <v>2052</v>
      </c>
      <c r="F410" s="117"/>
      <c r="G410" s="117" t="s">
        <v>45</v>
      </c>
      <c r="H410" s="117" t="s">
        <v>1</v>
      </c>
      <c r="I410"/>
      <c r="J410"/>
      <c r="K410" s="117" t="s">
        <v>105</v>
      </c>
      <c r="L410">
        <v>7</v>
      </c>
      <c r="M410" s="117" t="s">
        <v>120</v>
      </c>
      <c r="N410" s="117" t="s">
        <v>21</v>
      </c>
      <c r="O410" s="117" t="s">
        <v>50</v>
      </c>
      <c r="P410" s="117" t="s">
        <v>40</v>
      </c>
      <c r="Q410" s="139">
        <v>20008711</v>
      </c>
      <c r="R410" s="117" t="s">
        <v>78</v>
      </c>
      <c r="S410" s="117" t="s">
        <v>109</v>
      </c>
      <c r="T410" s="117" t="s">
        <v>109</v>
      </c>
      <c r="U410" s="117" t="s">
        <v>128</v>
      </c>
      <c r="V410" s="12">
        <f>+IFERROR(IF(VLOOKUP(Q410,COMISIONES!$C$2:$K$33,9,0)&gt;=VLOOKUP(TC!Q410,COMISIONES!$C$2:$I$33,7,0),1,0),0)</f>
        <v>0</v>
      </c>
      <c r="W410" s="262">
        <f>+IF(H410="Segunda",VLOOKUP(_xlfn.CONCAT(P410,G410,H410,V410),'PUNTOS 2021'!$E$23:$F$30,2,0),TC!L410)</f>
        <v>7</v>
      </c>
      <c r="X410" s="67">
        <f>+VLOOKUP(Q410,COMISIONES!$C$2:$AO$33,39,0)</f>
        <v>60</v>
      </c>
      <c r="Y410" s="67">
        <f t="shared" si="6"/>
        <v>420</v>
      </c>
      <c r="Z410" s="58" t="s">
        <v>80</v>
      </c>
      <c r="AA410" s="13">
        <f>+VLOOKUP(Q410,COMISIONES!$C$2:$C$33,1,0)</f>
        <v>20008711</v>
      </c>
      <c r="AB410" s="13" t="s">
        <v>269</v>
      </c>
    </row>
    <row r="411" spans="1:28" hidden="1">
      <c r="A411" s="117" t="s">
        <v>821</v>
      </c>
      <c r="B411" s="138">
        <v>45157</v>
      </c>
      <c r="C411" s="117" t="s">
        <v>2053</v>
      </c>
      <c r="D411" s="117" t="s">
        <v>2054</v>
      </c>
      <c r="E411" s="117" t="s">
        <v>2055</v>
      </c>
      <c r="F411" s="117"/>
      <c r="G411" s="117" t="s">
        <v>44</v>
      </c>
      <c r="H411" s="117" t="s">
        <v>1</v>
      </c>
      <c r="I411"/>
      <c r="J411"/>
      <c r="K411" s="117" t="s">
        <v>105</v>
      </c>
      <c r="L411">
        <v>5</v>
      </c>
      <c r="M411" s="117" t="s">
        <v>257</v>
      </c>
      <c r="N411" s="117" t="s">
        <v>15</v>
      </c>
      <c r="O411" s="117" t="s">
        <v>52</v>
      </c>
      <c r="P411" s="117" t="s">
        <v>40</v>
      </c>
      <c r="Q411" s="139">
        <v>20005527</v>
      </c>
      <c r="R411" s="117" t="s">
        <v>78</v>
      </c>
      <c r="S411" s="117" t="s">
        <v>109</v>
      </c>
      <c r="T411" s="117" t="s">
        <v>109</v>
      </c>
      <c r="U411" s="117" t="s">
        <v>128</v>
      </c>
      <c r="V411" s="12">
        <f>+IFERROR(IF(VLOOKUP(Q411,COMISIONES!$C$2:$K$33,9,0)&gt;=VLOOKUP(TC!Q411,COMISIONES!$C$2:$I$33,7,0),1,0),0)</f>
        <v>0</v>
      </c>
      <c r="W411" s="262">
        <f>+IF(H411="Segunda",VLOOKUP(_xlfn.CONCAT(P411,G411,H411,V411),'PUNTOS 2021'!$E$23:$F$30,2,0),TC!L411)</f>
        <v>5</v>
      </c>
      <c r="X411" s="67">
        <f>+VLOOKUP(Q411,COMISIONES!$C$2:$AO$33,39,0)</f>
        <v>40</v>
      </c>
      <c r="Y411" s="67">
        <f t="shared" si="6"/>
        <v>200</v>
      </c>
      <c r="Z411" s="58" t="s">
        <v>80</v>
      </c>
      <c r="AA411" s="13">
        <f>+VLOOKUP(Q411,COMISIONES!$C$2:$C$33,1,0)</f>
        <v>20005527</v>
      </c>
      <c r="AB411" s="13" t="s">
        <v>269</v>
      </c>
    </row>
    <row r="412" spans="1:28">
      <c r="A412" s="117" t="s">
        <v>821</v>
      </c>
      <c r="B412" s="138">
        <v>45157</v>
      </c>
      <c r="C412" s="117" t="s">
        <v>2056</v>
      </c>
      <c r="D412" s="117" t="s">
        <v>2057</v>
      </c>
      <c r="E412" s="117" t="s">
        <v>2058</v>
      </c>
      <c r="F412" s="117"/>
      <c r="G412" s="117" t="s">
        <v>45</v>
      </c>
      <c r="H412" s="117" t="s">
        <v>2</v>
      </c>
      <c r="I412"/>
      <c r="J412"/>
      <c r="K412" s="117" t="s">
        <v>105</v>
      </c>
      <c r="L412">
        <v>2</v>
      </c>
      <c r="M412" s="117" t="s">
        <v>120</v>
      </c>
      <c r="N412" s="117" t="s">
        <v>21</v>
      </c>
      <c r="O412" s="117" t="s">
        <v>50</v>
      </c>
      <c r="P412" s="117" t="s">
        <v>40</v>
      </c>
      <c r="Q412" s="139">
        <v>20008711</v>
      </c>
      <c r="R412" s="117" t="s">
        <v>78</v>
      </c>
      <c r="S412" s="117" t="s">
        <v>109</v>
      </c>
      <c r="T412" s="117" t="s">
        <v>109</v>
      </c>
      <c r="U412" s="117" t="s">
        <v>128</v>
      </c>
      <c r="V412" s="12">
        <f>+IFERROR(IF(VLOOKUP(Q412,COMISIONES!$C$2:$K$33,9,0)&gt;=VLOOKUP(TC!Q412,COMISIONES!$C$2:$I$33,7,0),1,0),0)</f>
        <v>0</v>
      </c>
      <c r="W412" s="262">
        <f>+IF(H412="Segunda",VLOOKUP(_xlfn.CONCAT(P412,G412,H412,V412),'PUNTOS 2021'!$E$23:$F$30,2,0),TC!L412)</f>
        <v>0.5</v>
      </c>
      <c r="X412" s="67">
        <f>+VLOOKUP(Q412,COMISIONES!$C$2:$AO$33,39,0)</f>
        <v>60</v>
      </c>
      <c r="Y412" s="67">
        <f t="shared" si="6"/>
        <v>30</v>
      </c>
      <c r="Z412" s="58" t="s">
        <v>80</v>
      </c>
      <c r="AA412" s="13">
        <f>+VLOOKUP(Q412,COMISIONES!$C$2:$C$33,1,0)</f>
        <v>20008711</v>
      </c>
      <c r="AB412" s="13" t="s">
        <v>269</v>
      </c>
    </row>
    <row r="413" spans="1:28" hidden="1">
      <c r="A413" s="117" t="s">
        <v>821</v>
      </c>
      <c r="B413" s="138">
        <v>45157</v>
      </c>
      <c r="C413" s="117" t="s">
        <v>2059</v>
      </c>
      <c r="D413" s="117" t="s">
        <v>2060</v>
      </c>
      <c r="E413" s="117" t="s">
        <v>2061</v>
      </c>
      <c r="F413" s="117"/>
      <c r="G413" s="117" t="s">
        <v>43</v>
      </c>
      <c r="H413" s="117" t="s">
        <v>1</v>
      </c>
      <c r="I413"/>
      <c r="J413"/>
      <c r="K413" s="117" t="s">
        <v>105</v>
      </c>
      <c r="L413">
        <v>3</v>
      </c>
      <c r="M413" s="117" t="s">
        <v>121</v>
      </c>
      <c r="N413" s="117" t="s">
        <v>3</v>
      </c>
      <c r="O413" s="117" t="s">
        <v>49</v>
      </c>
      <c r="P413" s="117" t="s">
        <v>40</v>
      </c>
      <c r="Q413" s="139">
        <v>20004161</v>
      </c>
      <c r="R413" s="117" t="s">
        <v>78</v>
      </c>
      <c r="S413" s="117" t="s">
        <v>109</v>
      </c>
      <c r="T413" s="117" t="s">
        <v>109</v>
      </c>
      <c r="U413" s="117" t="s">
        <v>128</v>
      </c>
      <c r="V413" s="12">
        <f>+IFERROR(IF(VLOOKUP(Q413,COMISIONES!$C$2:$K$33,9,0)&gt;=VLOOKUP(TC!Q413,COMISIONES!$C$2:$I$33,7,0),1,0),0)</f>
        <v>1</v>
      </c>
      <c r="W413" s="262">
        <f>+IF(H413="Segunda",VLOOKUP(_xlfn.CONCAT(P413,G413,H413,V413),'PUNTOS 2021'!$E$23:$F$30,2,0),TC!L413)</f>
        <v>3</v>
      </c>
      <c r="X413" s="67">
        <f>+VLOOKUP(Q413,COMISIONES!$C$2:$AO$33,39,0)</f>
        <v>65</v>
      </c>
      <c r="Y413" s="67">
        <f t="shared" si="6"/>
        <v>195</v>
      </c>
      <c r="Z413" s="58" t="s">
        <v>80</v>
      </c>
      <c r="AA413" s="13">
        <f>+VLOOKUP(Q413,COMISIONES!$C$2:$C$33,1,0)</f>
        <v>20004161</v>
      </c>
      <c r="AB413" s="13" t="s">
        <v>269</v>
      </c>
    </row>
    <row r="414" spans="1:28">
      <c r="A414" s="117" t="s">
        <v>821</v>
      </c>
      <c r="B414" s="138">
        <v>45157</v>
      </c>
      <c r="C414" s="117" t="s">
        <v>2062</v>
      </c>
      <c r="D414" s="117" t="s">
        <v>2063</v>
      </c>
      <c r="E414" s="117" t="s">
        <v>2064</v>
      </c>
      <c r="F414" s="117"/>
      <c r="G414" s="117" t="s">
        <v>45</v>
      </c>
      <c r="H414" s="117" t="s">
        <v>2</v>
      </c>
      <c r="I414"/>
      <c r="J414"/>
      <c r="K414" s="117" t="s">
        <v>105</v>
      </c>
      <c r="L414">
        <v>2</v>
      </c>
      <c r="M414" s="117" t="s">
        <v>106</v>
      </c>
      <c r="N414" s="117" t="s">
        <v>8</v>
      </c>
      <c r="O414" s="117" t="s">
        <v>51</v>
      </c>
      <c r="P414" s="117" t="s">
        <v>40</v>
      </c>
      <c r="Q414" s="139">
        <v>20002636</v>
      </c>
      <c r="R414" s="117" t="s">
        <v>78</v>
      </c>
      <c r="S414" s="117" t="s">
        <v>109</v>
      </c>
      <c r="T414" s="117" t="s">
        <v>109</v>
      </c>
      <c r="U414" s="117" t="s">
        <v>128</v>
      </c>
      <c r="V414" s="12">
        <f>+IFERROR(IF(VLOOKUP(Q414,COMISIONES!$C$2:$K$33,9,0)&gt;=VLOOKUP(TC!Q414,COMISIONES!$C$2:$I$33,7,0),1,0),0)</f>
        <v>0</v>
      </c>
      <c r="W414" s="262">
        <f>+IF(H414="Segunda",VLOOKUP(_xlfn.CONCAT(P414,G414,H414,V414),'PUNTOS 2021'!$E$23:$F$30,2,0),TC!L414)</f>
        <v>0.5</v>
      </c>
      <c r="X414" s="67">
        <f>+VLOOKUP(Q414,COMISIONES!$C$2:$AO$33,39,0)</f>
        <v>40</v>
      </c>
      <c r="Y414" s="67">
        <f t="shared" si="6"/>
        <v>20</v>
      </c>
      <c r="Z414" s="58" t="s">
        <v>80</v>
      </c>
      <c r="AA414" s="13">
        <f>+VLOOKUP(Q414,COMISIONES!$C$2:$C$33,1,0)</f>
        <v>20002636</v>
      </c>
      <c r="AB414" s="13" t="s">
        <v>269</v>
      </c>
    </row>
    <row r="415" spans="1:28" hidden="1">
      <c r="A415" s="117" t="s">
        <v>821</v>
      </c>
      <c r="B415" s="138">
        <v>45157</v>
      </c>
      <c r="C415" s="117" t="s">
        <v>2065</v>
      </c>
      <c r="D415" s="117" t="s">
        <v>2066</v>
      </c>
      <c r="E415" s="117" t="s">
        <v>2067</v>
      </c>
      <c r="F415" s="117"/>
      <c r="G415" s="117" t="s">
        <v>44</v>
      </c>
      <c r="H415" s="117" t="s">
        <v>1</v>
      </c>
      <c r="I415"/>
      <c r="J415"/>
      <c r="K415" s="117" t="s">
        <v>105</v>
      </c>
      <c r="L415">
        <v>5</v>
      </c>
      <c r="M415" s="117" t="s">
        <v>256</v>
      </c>
      <c r="N415" s="117" t="s">
        <v>236</v>
      </c>
      <c r="O415" s="117" t="s">
        <v>49</v>
      </c>
      <c r="P415" s="117" t="s">
        <v>40</v>
      </c>
      <c r="Q415" s="139">
        <v>20010101</v>
      </c>
      <c r="R415" s="117" t="s">
        <v>78</v>
      </c>
      <c r="S415" s="117" t="s">
        <v>109</v>
      </c>
      <c r="T415" s="117" t="s">
        <v>109</v>
      </c>
      <c r="U415" s="117" t="s">
        <v>128</v>
      </c>
      <c r="V415" s="12">
        <f>+IFERROR(IF(VLOOKUP(Q415,COMISIONES!$C$2:$K$33,9,0)&gt;=VLOOKUP(TC!Q415,COMISIONES!$C$2:$I$33,7,0),1,0),0)</f>
        <v>0</v>
      </c>
      <c r="W415" s="262">
        <f>+IF(H415="Segunda",VLOOKUP(_xlfn.CONCAT(P415,G415,H415,V415),'PUNTOS 2021'!$E$23:$F$30,2,0),TC!L415)</f>
        <v>5</v>
      </c>
      <c r="X415" s="67">
        <f>+VLOOKUP(Q415,COMISIONES!$C$2:$AO$33,39,0)</f>
        <v>65</v>
      </c>
      <c r="Y415" s="67">
        <f t="shared" si="6"/>
        <v>325</v>
      </c>
      <c r="Z415" s="58" t="s">
        <v>80</v>
      </c>
      <c r="AA415" s="13">
        <f>+VLOOKUP(Q415,COMISIONES!$C$2:$C$33,1,0)</f>
        <v>20010101</v>
      </c>
      <c r="AB415" s="13" t="s">
        <v>269</v>
      </c>
    </row>
    <row r="416" spans="1:28" hidden="1">
      <c r="A416" s="117" t="s">
        <v>821</v>
      </c>
      <c r="B416" s="138">
        <v>45157</v>
      </c>
      <c r="C416" s="117" t="s">
        <v>2068</v>
      </c>
      <c r="D416" s="117" t="s">
        <v>2069</v>
      </c>
      <c r="E416" s="117" t="s">
        <v>2070</v>
      </c>
      <c r="F416" s="117"/>
      <c r="G416" s="117" t="s">
        <v>45</v>
      </c>
      <c r="H416" s="117" t="s">
        <v>1</v>
      </c>
      <c r="I416"/>
      <c r="J416"/>
      <c r="K416" s="117" t="s">
        <v>105</v>
      </c>
      <c r="L416">
        <v>7</v>
      </c>
      <c r="M416" s="117" t="s">
        <v>115</v>
      </c>
      <c r="N416" s="117" t="s">
        <v>6</v>
      </c>
      <c r="O416" s="117" t="s">
        <v>51</v>
      </c>
      <c r="P416" s="117" t="s">
        <v>40</v>
      </c>
      <c r="Q416" s="139">
        <v>20001487</v>
      </c>
      <c r="R416" s="117" t="s">
        <v>78</v>
      </c>
      <c r="S416" s="117" t="s">
        <v>109</v>
      </c>
      <c r="T416" s="117" t="s">
        <v>109</v>
      </c>
      <c r="U416" s="117" t="s">
        <v>128</v>
      </c>
      <c r="V416" s="12">
        <f>+IFERROR(IF(VLOOKUP(Q416,COMISIONES!$C$2:$K$33,9,0)&gt;=VLOOKUP(TC!Q416,COMISIONES!$C$2:$I$33,7,0),1,0),0)</f>
        <v>1</v>
      </c>
      <c r="W416" s="262">
        <f>+IF(H416="Segunda",VLOOKUP(_xlfn.CONCAT(P416,G416,H416,V416),'PUNTOS 2021'!$E$23:$F$30,2,0),TC!L416)</f>
        <v>7</v>
      </c>
      <c r="X416" s="67">
        <f>+VLOOKUP(Q416,COMISIONES!$C$2:$AO$33,39,0)</f>
        <v>65</v>
      </c>
      <c r="Y416" s="67">
        <f t="shared" si="6"/>
        <v>455</v>
      </c>
      <c r="Z416" s="58" t="s">
        <v>80</v>
      </c>
      <c r="AA416" s="13">
        <f>+VLOOKUP(Q416,COMISIONES!$C$2:$C$33,1,0)</f>
        <v>20001487</v>
      </c>
      <c r="AB416" s="13" t="s">
        <v>269</v>
      </c>
    </row>
    <row r="417" spans="1:28" hidden="1">
      <c r="A417" s="117" t="s">
        <v>821</v>
      </c>
      <c r="B417" s="138">
        <v>45157</v>
      </c>
      <c r="C417" s="117" t="s">
        <v>2071</v>
      </c>
      <c r="D417" s="117" t="s">
        <v>2072</v>
      </c>
      <c r="E417" s="117" t="s">
        <v>2073</v>
      </c>
      <c r="F417" s="117"/>
      <c r="G417" s="117" t="s">
        <v>44</v>
      </c>
      <c r="H417" s="117" t="s">
        <v>1</v>
      </c>
      <c r="I417"/>
      <c r="J417"/>
      <c r="K417" s="117" t="s">
        <v>105</v>
      </c>
      <c r="L417">
        <v>5</v>
      </c>
      <c r="M417" s="117" t="s">
        <v>106</v>
      </c>
      <c r="N417" s="117" t="s">
        <v>8</v>
      </c>
      <c r="O417" s="117" t="s">
        <v>51</v>
      </c>
      <c r="P417" s="117" t="s">
        <v>40</v>
      </c>
      <c r="Q417" s="139">
        <v>20002636</v>
      </c>
      <c r="R417" s="117" t="s">
        <v>78</v>
      </c>
      <c r="S417" s="117" t="s">
        <v>109</v>
      </c>
      <c r="T417" s="117" t="s">
        <v>109</v>
      </c>
      <c r="U417" s="117" t="s">
        <v>128</v>
      </c>
      <c r="V417" s="12">
        <f>+IFERROR(IF(VLOOKUP(Q417,COMISIONES!$C$2:$K$33,9,0)&gt;=VLOOKUP(TC!Q417,COMISIONES!$C$2:$I$33,7,0),1,0),0)</f>
        <v>0</v>
      </c>
      <c r="W417" s="262">
        <f>+IF(H417="Segunda",VLOOKUP(_xlfn.CONCAT(P417,G417,H417,V417),'PUNTOS 2021'!$E$23:$F$30,2,0),TC!L417)</f>
        <v>5</v>
      </c>
      <c r="X417" s="67">
        <f>+VLOOKUP(Q417,COMISIONES!$C$2:$AO$33,39,0)</f>
        <v>40</v>
      </c>
      <c r="Y417" s="67">
        <f t="shared" si="6"/>
        <v>200</v>
      </c>
      <c r="Z417" s="58" t="s">
        <v>80</v>
      </c>
      <c r="AA417" s="13">
        <f>+VLOOKUP(Q417,COMISIONES!$C$2:$C$33,1,0)</f>
        <v>20002636</v>
      </c>
      <c r="AB417" s="13" t="s">
        <v>269</v>
      </c>
    </row>
    <row r="418" spans="1:28">
      <c r="A418" s="117" t="s">
        <v>821</v>
      </c>
      <c r="B418" s="138">
        <v>45157</v>
      </c>
      <c r="C418" s="117" t="s">
        <v>2074</v>
      </c>
      <c r="D418" s="117" t="s">
        <v>2075</v>
      </c>
      <c r="E418" s="117" t="s">
        <v>2076</v>
      </c>
      <c r="F418" s="117"/>
      <c r="G418" s="117" t="s">
        <v>45</v>
      </c>
      <c r="H418" s="117" t="s">
        <v>2</v>
      </c>
      <c r="I418"/>
      <c r="J418"/>
      <c r="K418" s="117" t="s">
        <v>105</v>
      </c>
      <c r="L418">
        <v>2</v>
      </c>
      <c r="M418" s="117" t="s">
        <v>260</v>
      </c>
      <c r="N418" s="117" t="s">
        <v>261</v>
      </c>
      <c r="O418" s="117" t="s">
        <v>52</v>
      </c>
      <c r="P418" s="117" t="s">
        <v>40</v>
      </c>
      <c r="Q418" s="139">
        <v>20010262</v>
      </c>
      <c r="R418" s="117" t="s">
        <v>78</v>
      </c>
      <c r="S418" s="117" t="s">
        <v>109</v>
      </c>
      <c r="T418" s="117" t="s">
        <v>109</v>
      </c>
      <c r="U418" s="117" t="s">
        <v>128</v>
      </c>
      <c r="V418" s="12">
        <f>+IFERROR(IF(VLOOKUP(Q418,COMISIONES!$C$2:$K$33,9,0)&gt;=VLOOKUP(TC!Q418,COMISIONES!$C$2:$I$33,7,0),1,0),0)</f>
        <v>0</v>
      </c>
      <c r="W418" s="262">
        <f>+IF(H418="Segunda",VLOOKUP(_xlfn.CONCAT(P418,G418,H418,V418),'PUNTOS 2021'!$E$23:$F$30,2,0),TC!L418)</f>
        <v>0.5</v>
      </c>
      <c r="X418" s="67">
        <f>+VLOOKUP(Q418,COMISIONES!$C$2:$AO$33,39,0)</f>
        <v>60</v>
      </c>
      <c r="Y418" s="67">
        <f t="shared" si="6"/>
        <v>30</v>
      </c>
      <c r="Z418" s="58" t="s">
        <v>80</v>
      </c>
      <c r="AA418" s="13">
        <f>+VLOOKUP(Q418,COMISIONES!$C$2:$C$33,1,0)</f>
        <v>20010262</v>
      </c>
      <c r="AB418" s="13" t="s">
        <v>269</v>
      </c>
    </row>
    <row r="419" spans="1:28" hidden="1">
      <c r="A419" s="117" t="s">
        <v>821</v>
      </c>
      <c r="B419" s="138">
        <v>45157</v>
      </c>
      <c r="C419" s="117" t="s">
        <v>2077</v>
      </c>
      <c r="D419" s="117" t="s">
        <v>2078</v>
      </c>
      <c r="E419" s="117" t="s">
        <v>2079</v>
      </c>
      <c r="F419" s="117"/>
      <c r="G419" s="117" t="s">
        <v>44</v>
      </c>
      <c r="H419" s="117" t="s">
        <v>1</v>
      </c>
      <c r="I419"/>
      <c r="J419"/>
      <c r="K419" s="117" t="s">
        <v>105</v>
      </c>
      <c r="L419">
        <v>5</v>
      </c>
      <c r="M419" s="117" t="s">
        <v>272</v>
      </c>
      <c r="N419" s="117" t="s">
        <v>275</v>
      </c>
      <c r="O419" s="117" t="s">
        <v>52</v>
      </c>
      <c r="P419" s="117" t="s">
        <v>40</v>
      </c>
      <c r="Q419" s="139">
        <v>20009688</v>
      </c>
      <c r="R419" s="117" t="s">
        <v>78</v>
      </c>
      <c r="S419" s="117" t="s">
        <v>109</v>
      </c>
      <c r="T419" s="117" t="s">
        <v>109</v>
      </c>
      <c r="U419" s="117" t="s">
        <v>128</v>
      </c>
      <c r="V419" s="12">
        <f>+IFERROR(IF(VLOOKUP(Q419,COMISIONES!$C$2:$K$33,9,0)&gt;=VLOOKUP(TC!Q419,COMISIONES!$C$2:$I$33,7,0),1,0),0)</f>
        <v>0</v>
      </c>
      <c r="W419" s="262">
        <f>+IF(H419="Segunda",VLOOKUP(_xlfn.CONCAT(P419,G419,H419,V419),'PUNTOS 2021'!$E$23:$F$30,2,0),TC!L419)</f>
        <v>5</v>
      </c>
      <c r="X419" s="67">
        <f>+VLOOKUP(Q419,COMISIONES!$C$2:$AO$33,39,0)</f>
        <v>30</v>
      </c>
      <c r="Y419" s="67">
        <f t="shared" si="6"/>
        <v>150</v>
      </c>
      <c r="Z419" s="58" t="s">
        <v>80</v>
      </c>
      <c r="AA419" s="13">
        <f>+VLOOKUP(Q419,COMISIONES!$C$2:$C$33,1,0)</f>
        <v>20009688</v>
      </c>
      <c r="AB419" s="13" t="s">
        <v>269</v>
      </c>
    </row>
    <row r="420" spans="1:28">
      <c r="A420" s="117" t="s">
        <v>821</v>
      </c>
      <c r="B420" s="138">
        <v>45157</v>
      </c>
      <c r="C420" s="117" t="s">
        <v>2080</v>
      </c>
      <c r="D420" s="117" t="s">
        <v>2081</v>
      </c>
      <c r="E420" s="117" t="s">
        <v>2082</v>
      </c>
      <c r="F420" s="117"/>
      <c r="G420" s="117" t="s">
        <v>43</v>
      </c>
      <c r="H420" s="117" t="s">
        <v>2</v>
      </c>
      <c r="I420"/>
      <c r="J420"/>
      <c r="K420" s="117" t="s">
        <v>105</v>
      </c>
      <c r="L420">
        <v>1</v>
      </c>
      <c r="M420" s="117" t="s">
        <v>257</v>
      </c>
      <c r="N420" s="117" t="s">
        <v>15</v>
      </c>
      <c r="O420" s="117" t="s">
        <v>52</v>
      </c>
      <c r="P420" s="117" t="s">
        <v>40</v>
      </c>
      <c r="Q420" s="139">
        <v>20005527</v>
      </c>
      <c r="R420" s="117" t="s">
        <v>78</v>
      </c>
      <c r="S420" s="117" t="s">
        <v>109</v>
      </c>
      <c r="T420" s="117" t="s">
        <v>109</v>
      </c>
      <c r="U420" s="117" t="s">
        <v>128</v>
      </c>
      <c r="V420" s="12">
        <f>+IFERROR(IF(VLOOKUP(Q420,COMISIONES!$C$2:$K$33,9,0)&gt;=VLOOKUP(TC!Q420,COMISIONES!$C$2:$I$33,7,0),1,0),0)</f>
        <v>0</v>
      </c>
      <c r="W420" s="262">
        <f>+IF(H420="Segunda",VLOOKUP(_xlfn.CONCAT(P420,G420,H420,V420),'PUNTOS 2021'!$E$23:$F$30,2,0),TC!L420)</f>
        <v>0.5</v>
      </c>
      <c r="X420" s="67">
        <f>+VLOOKUP(Q420,COMISIONES!$C$2:$AO$33,39,0)</f>
        <v>40</v>
      </c>
      <c r="Y420" s="67">
        <f t="shared" si="6"/>
        <v>20</v>
      </c>
      <c r="Z420" s="58" t="s">
        <v>80</v>
      </c>
      <c r="AA420" s="13">
        <f>+VLOOKUP(Q420,COMISIONES!$C$2:$C$33,1,0)</f>
        <v>20005527</v>
      </c>
      <c r="AB420" s="13" t="s">
        <v>269</v>
      </c>
    </row>
    <row r="421" spans="1:28" hidden="1">
      <c r="A421" s="117" t="s">
        <v>821</v>
      </c>
      <c r="B421" s="138">
        <v>45157</v>
      </c>
      <c r="C421" s="117" t="s">
        <v>2083</v>
      </c>
      <c r="D421" s="117" t="s">
        <v>2084</v>
      </c>
      <c r="E421" s="117" t="s">
        <v>2085</v>
      </c>
      <c r="F421" s="117"/>
      <c r="G421" s="117" t="s">
        <v>44</v>
      </c>
      <c r="H421" s="117" t="s">
        <v>1</v>
      </c>
      <c r="I421"/>
      <c r="J421"/>
      <c r="K421" s="117" t="s">
        <v>105</v>
      </c>
      <c r="L421">
        <v>5</v>
      </c>
      <c r="M421" s="117" t="s">
        <v>1946</v>
      </c>
      <c r="N421" s="117" t="s">
        <v>1947</v>
      </c>
      <c r="O421" s="117" t="s">
        <v>51</v>
      </c>
      <c r="P421" s="117" t="s">
        <v>40</v>
      </c>
      <c r="Q421" s="139">
        <v>20010766</v>
      </c>
      <c r="R421" s="117" t="s">
        <v>78</v>
      </c>
      <c r="S421" s="117" t="s">
        <v>109</v>
      </c>
      <c r="T421" s="117" t="s">
        <v>109</v>
      </c>
      <c r="U421" s="117" t="s">
        <v>128</v>
      </c>
      <c r="V421" s="12">
        <f>+IFERROR(IF(VLOOKUP(Q421,COMISIONES!$C$2:$K$33,9,0)&gt;=VLOOKUP(TC!Q421,COMISIONES!$C$2:$I$33,7,0),1,0),0)</f>
        <v>0</v>
      </c>
      <c r="W421" s="262">
        <f>+IF(H421="Segunda",VLOOKUP(_xlfn.CONCAT(P421,G421,H421,V421),'PUNTOS 2021'!$E$23:$F$30,2,0),TC!L421)</f>
        <v>5</v>
      </c>
      <c r="X421" s="67">
        <f>+VLOOKUP(Q421,COMISIONES!$C$2:$AO$33,39,0)</f>
        <v>20</v>
      </c>
      <c r="Y421" s="67">
        <f t="shared" si="6"/>
        <v>100</v>
      </c>
      <c r="Z421" s="58" t="s">
        <v>80</v>
      </c>
      <c r="AA421" s="13">
        <f>+VLOOKUP(Q421,COMISIONES!$C$2:$C$33,1,0)</f>
        <v>20010766</v>
      </c>
      <c r="AB421" s="13" t="s">
        <v>269</v>
      </c>
    </row>
    <row r="422" spans="1:28" hidden="1">
      <c r="A422" s="117" t="s">
        <v>821</v>
      </c>
      <c r="B422" s="138">
        <v>45157</v>
      </c>
      <c r="C422" s="117" t="s">
        <v>2086</v>
      </c>
      <c r="D422" s="117" t="s">
        <v>2087</v>
      </c>
      <c r="E422" s="117" t="s">
        <v>2088</v>
      </c>
      <c r="F422" s="117"/>
      <c r="G422" s="117" t="s">
        <v>45</v>
      </c>
      <c r="H422" s="117" t="s">
        <v>1</v>
      </c>
      <c r="I422"/>
      <c r="J422"/>
      <c r="K422" s="117" t="s">
        <v>105</v>
      </c>
      <c r="L422">
        <v>7</v>
      </c>
      <c r="M422" s="117" t="s">
        <v>110</v>
      </c>
      <c r="N422" s="117" t="s">
        <v>10</v>
      </c>
      <c r="O422" s="117" t="s">
        <v>51</v>
      </c>
      <c r="P422" s="117" t="s">
        <v>40</v>
      </c>
      <c r="Q422" s="139">
        <v>20000661</v>
      </c>
      <c r="R422" s="117" t="s">
        <v>78</v>
      </c>
      <c r="S422" s="117" t="s">
        <v>109</v>
      </c>
      <c r="T422" s="117" t="s">
        <v>109</v>
      </c>
      <c r="U422" s="117" t="s">
        <v>128</v>
      </c>
      <c r="V422" s="12">
        <f>+IFERROR(IF(VLOOKUP(Q422,COMISIONES!$C$2:$K$33,9,0)&gt;=VLOOKUP(TC!Q422,COMISIONES!$C$2:$I$33,7,0),1,0),0)</f>
        <v>1</v>
      </c>
      <c r="W422" s="262">
        <f>+IF(H422="Segunda",VLOOKUP(_xlfn.CONCAT(P422,G422,H422,V422),'PUNTOS 2021'!$E$23:$F$30,2,0),TC!L422)</f>
        <v>7</v>
      </c>
      <c r="X422" s="67">
        <f>+VLOOKUP(Q422,COMISIONES!$C$2:$AO$33,39,0)</f>
        <v>60</v>
      </c>
      <c r="Y422" s="67">
        <f t="shared" si="6"/>
        <v>420</v>
      </c>
      <c r="Z422" s="58" t="s">
        <v>80</v>
      </c>
      <c r="AA422" s="13">
        <f>+VLOOKUP(Q422,COMISIONES!$C$2:$C$33,1,0)</f>
        <v>20000661</v>
      </c>
      <c r="AB422" s="13" t="s">
        <v>269</v>
      </c>
    </row>
    <row r="423" spans="1:28" hidden="1">
      <c r="A423" s="117" t="s">
        <v>821</v>
      </c>
      <c r="B423" s="138">
        <v>45157</v>
      </c>
      <c r="C423" s="117" t="s">
        <v>2089</v>
      </c>
      <c r="D423" s="117" t="s">
        <v>2090</v>
      </c>
      <c r="E423" s="117" t="s">
        <v>2091</v>
      </c>
      <c r="F423" s="117"/>
      <c r="G423" s="117" t="s">
        <v>44</v>
      </c>
      <c r="H423" s="117" t="s">
        <v>1</v>
      </c>
      <c r="I423"/>
      <c r="J423"/>
      <c r="K423" s="117" t="s">
        <v>105</v>
      </c>
      <c r="L423">
        <v>5</v>
      </c>
      <c r="M423" s="117" t="s">
        <v>120</v>
      </c>
      <c r="N423" s="117" t="s">
        <v>21</v>
      </c>
      <c r="O423" s="117" t="s">
        <v>50</v>
      </c>
      <c r="P423" s="117" t="s">
        <v>40</v>
      </c>
      <c r="Q423" s="139">
        <v>20008711</v>
      </c>
      <c r="R423" s="117" t="s">
        <v>78</v>
      </c>
      <c r="S423" s="117" t="s">
        <v>109</v>
      </c>
      <c r="T423" s="117" t="s">
        <v>109</v>
      </c>
      <c r="U423" s="117" t="s">
        <v>128</v>
      </c>
      <c r="V423" s="12">
        <f>+IFERROR(IF(VLOOKUP(Q423,COMISIONES!$C$2:$K$33,9,0)&gt;=VLOOKUP(TC!Q423,COMISIONES!$C$2:$I$33,7,0),1,0),0)</f>
        <v>0</v>
      </c>
      <c r="W423" s="262">
        <f>+IF(H423="Segunda",VLOOKUP(_xlfn.CONCAT(P423,G423,H423,V423),'PUNTOS 2021'!$E$23:$F$30,2,0),TC!L423)</f>
        <v>5</v>
      </c>
      <c r="X423" s="67">
        <f>+VLOOKUP(Q423,COMISIONES!$C$2:$AO$33,39,0)</f>
        <v>60</v>
      </c>
      <c r="Y423" s="67">
        <f t="shared" si="6"/>
        <v>300</v>
      </c>
      <c r="Z423" s="58" t="s">
        <v>80</v>
      </c>
      <c r="AA423" s="13">
        <f>+VLOOKUP(Q423,COMISIONES!$C$2:$C$33,1,0)</f>
        <v>20008711</v>
      </c>
      <c r="AB423" s="13" t="s">
        <v>269</v>
      </c>
    </row>
    <row r="424" spans="1:28" hidden="1">
      <c r="A424" s="117" t="s">
        <v>821</v>
      </c>
      <c r="B424" s="138">
        <v>45157</v>
      </c>
      <c r="C424" s="117" t="s">
        <v>2092</v>
      </c>
      <c r="D424" s="117" t="s">
        <v>2093</v>
      </c>
      <c r="E424" s="117" t="s">
        <v>2094</v>
      </c>
      <c r="F424" s="117"/>
      <c r="G424" s="117" t="s">
        <v>44</v>
      </c>
      <c r="H424" s="117" t="s">
        <v>1</v>
      </c>
      <c r="I424"/>
      <c r="J424"/>
      <c r="K424" s="117" t="s">
        <v>105</v>
      </c>
      <c r="L424">
        <v>5</v>
      </c>
      <c r="M424" s="117" t="s">
        <v>273</v>
      </c>
      <c r="N424" s="117" t="s">
        <v>292</v>
      </c>
      <c r="O424" s="117" t="s">
        <v>51</v>
      </c>
      <c r="P424" s="117" t="s">
        <v>40</v>
      </c>
      <c r="Q424" s="139">
        <v>20007943</v>
      </c>
      <c r="R424" s="117" t="s">
        <v>78</v>
      </c>
      <c r="S424" s="117" t="s">
        <v>109</v>
      </c>
      <c r="T424" s="117" t="s">
        <v>109</v>
      </c>
      <c r="U424" s="117" t="s">
        <v>128</v>
      </c>
      <c r="V424" s="12">
        <f>+IFERROR(IF(VLOOKUP(Q424,COMISIONES!$C$2:$K$33,9,0)&gt;=VLOOKUP(TC!Q424,COMISIONES!$C$2:$I$33,7,0),1,0),0)</f>
        <v>0</v>
      </c>
      <c r="W424" s="262">
        <f>+IF(H424="Segunda",VLOOKUP(_xlfn.CONCAT(P424,G424,H424,V424),'PUNTOS 2021'!$E$23:$F$30,2,0),TC!L424)</f>
        <v>5</v>
      </c>
      <c r="X424" s="67">
        <f>+VLOOKUP(Q424,COMISIONES!$C$2:$AO$33,39,0)</f>
        <v>20</v>
      </c>
      <c r="Y424" s="67">
        <f t="shared" si="6"/>
        <v>100</v>
      </c>
      <c r="Z424" s="58" t="s">
        <v>80</v>
      </c>
      <c r="AA424" s="13">
        <f>+VLOOKUP(Q424,COMISIONES!$C$2:$C$33,1,0)</f>
        <v>20007943</v>
      </c>
      <c r="AB424" s="13" t="s">
        <v>269</v>
      </c>
    </row>
    <row r="425" spans="1:28" hidden="1">
      <c r="A425" s="117" t="s">
        <v>821</v>
      </c>
      <c r="B425" s="138">
        <v>45157</v>
      </c>
      <c r="C425" s="117" t="s">
        <v>2095</v>
      </c>
      <c r="D425" s="117" t="s">
        <v>2096</v>
      </c>
      <c r="E425" s="117" t="s">
        <v>2097</v>
      </c>
      <c r="F425" s="117"/>
      <c r="G425" s="117" t="s">
        <v>44</v>
      </c>
      <c r="H425" s="117" t="s">
        <v>1</v>
      </c>
      <c r="I425"/>
      <c r="J425"/>
      <c r="K425" s="117" t="s">
        <v>105</v>
      </c>
      <c r="L425">
        <v>5</v>
      </c>
      <c r="M425" s="117" t="s">
        <v>255</v>
      </c>
      <c r="N425" s="117" t="s">
        <v>4</v>
      </c>
      <c r="O425" s="117" t="s">
        <v>51</v>
      </c>
      <c r="P425" s="117" t="s">
        <v>40</v>
      </c>
      <c r="Q425" s="139">
        <v>20000033</v>
      </c>
      <c r="R425" s="117" t="s">
        <v>78</v>
      </c>
      <c r="S425" s="117" t="s">
        <v>109</v>
      </c>
      <c r="T425" s="117" t="s">
        <v>109</v>
      </c>
      <c r="U425" s="117" t="s">
        <v>128</v>
      </c>
      <c r="V425" s="12">
        <f>+IFERROR(IF(VLOOKUP(Q425,COMISIONES!$C$2:$K$33,9,0)&gt;=VLOOKUP(TC!Q425,COMISIONES!$C$2:$I$33,7,0),1,0),0)</f>
        <v>1</v>
      </c>
      <c r="W425" s="262">
        <f>+IF(H425="Segunda",VLOOKUP(_xlfn.CONCAT(P425,G425,H425,V425),'PUNTOS 2021'!$E$23:$F$30,2,0),TC!L425)</f>
        <v>5</v>
      </c>
      <c r="X425" s="67">
        <f>+VLOOKUP(Q425,COMISIONES!$C$2:$AO$33,39,0)</f>
        <v>60</v>
      </c>
      <c r="Y425" s="67">
        <f t="shared" si="6"/>
        <v>300</v>
      </c>
      <c r="Z425" s="58" t="s">
        <v>80</v>
      </c>
      <c r="AA425" s="13">
        <f>+VLOOKUP(Q425,COMISIONES!$C$2:$C$33,1,0)</f>
        <v>20000033</v>
      </c>
      <c r="AB425" s="13" t="s">
        <v>269</v>
      </c>
    </row>
    <row r="426" spans="1:28" hidden="1">
      <c r="A426" s="117" t="s">
        <v>821</v>
      </c>
      <c r="B426" s="138">
        <v>45157</v>
      </c>
      <c r="C426" s="117" t="s">
        <v>2098</v>
      </c>
      <c r="D426" s="117" t="s">
        <v>2099</v>
      </c>
      <c r="E426" s="117" t="s">
        <v>2100</v>
      </c>
      <c r="F426" s="117"/>
      <c r="G426" s="117" t="s">
        <v>43</v>
      </c>
      <c r="H426" s="117" t="s">
        <v>1</v>
      </c>
      <c r="I426"/>
      <c r="J426"/>
      <c r="K426" s="117" t="s">
        <v>105</v>
      </c>
      <c r="L426">
        <v>3</v>
      </c>
      <c r="M426" s="117" t="s">
        <v>270</v>
      </c>
      <c r="N426" s="117" t="s">
        <v>271</v>
      </c>
      <c r="O426" s="117" t="s">
        <v>52</v>
      </c>
      <c r="P426" s="117" t="s">
        <v>40</v>
      </c>
      <c r="Q426" s="139">
        <v>20009592</v>
      </c>
      <c r="R426" s="117" t="s">
        <v>78</v>
      </c>
      <c r="S426" s="117" t="s">
        <v>109</v>
      </c>
      <c r="T426" s="117" t="s">
        <v>109</v>
      </c>
      <c r="U426" s="117" t="s">
        <v>128</v>
      </c>
      <c r="V426" s="12">
        <f>+IFERROR(IF(VLOOKUP(Q426,COMISIONES!$C$2:$K$33,9,0)&gt;=VLOOKUP(TC!Q426,COMISIONES!$C$2:$I$33,7,0),1,0),0)</f>
        <v>1</v>
      </c>
      <c r="W426" s="262">
        <f>+IF(H426="Segunda",VLOOKUP(_xlfn.CONCAT(P426,G426,H426,V426),'PUNTOS 2021'!$E$23:$F$30,2,0),TC!L426)</f>
        <v>3</v>
      </c>
      <c r="X426" s="67">
        <f>+VLOOKUP(Q426,COMISIONES!$C$2:$AO$33,39,0)</f>
        <v>60</v>
      </c>
      <c r="Y426" s="67">
        <f t="shared" si="6"/>
        <v>180</v>
      </c>
      <c r="Z426" s="58" t="s">
        <v>80</v>
      </c>
      <c r="AA426" s="13">
        <f>+VLOOKUP(Q426,COMISIONES!$C$2:$C$33,1,0)</f>
        <v>20009592</v>
      </c>
      <c r="AB426" s="13" t="s">
        <v>269</v>
      </c>
    </row>
    <row r="427" spans="1:28" hidden="1">
      <c r="A427" s="117" t="s">
        <v>821</v>
      </c>
      <c r="B427" s="138">
        <v>45157</v>
      </c>
      <c r="C427" s="117" t="s">
        <v>2101</v>
      </c>
      <c r="D427" s="117" t="s">
        <v>2102</v>
      </c>
      <c r="E427" s="117" t="s">
        <v>2103</v>
      </c>
      <c r="F427" s="117"/>
      <c r="G427" s="117" t="s">
        <v>43</v>
      </c>
      <c r="H427" s="117" t="s">
        <v>1</v>
      </c>
      <c r="I427"/>
      <c r="J427"/>
      <c r="K427" s="117" t="s">
        <v>105</v>
      </c>
      <c r="L427">
        <v>3</v>
      </c>
      <c r="M427" s="117" t="s">
        <v>121</v>
      </c>
      <c r="N427" s="117" t="s">
        <v>3</v>
      </c>
      <c r="O427" s="117" t="s">
        <v>49</v>
      </c>
      <c r="P427" s="117" t="s">
        <v>40</v>
      </c>
      <c r="Q427" s="139">
        <v>20004161</v>
      </c>
      <c r="R427" s="117" t="s">
        <v>78</v>
      </c>
      <c r="S427" s="117" t="s">
        <v>109</v>
      </c>
      <c r="T427" s="117" t="s">
        <v>109</v>
      </c>
      <c r="U427" s="117" t="s">
        <v>128</v>
      </c>
      <c r="V427" s="12">
        <f>+IFERROR(IF(VLOOKUP(Q427,COMISIONES!$C$2:$K$33,9,0)&gt;=VLOOKUP(TC!Q427,COMISIONES!$C$2:$I$33,7,0),1,0),0)</f>
        <v>1</v>
      </c>
      <c r="W427" s="262">
        <f>+IF(H427="Segunda",VLOOKUP(_xlfn.CONCAT(P427,G427,H427,V427),'PUNTOS 2021'!$E$23:$F$30,2,0),TC!L427)</f>
        <v>3</v>
      </c>
      <c r="X427" s="67">
        <f>+VLOOKUP(Q427,COMISIONES!$C$2:$AO$33,39,0)</f>
        <v>65</v>
      </c>
      <c r="Y427" s="67">
        <f t="shared" si="6"/>
        <v>195</v>
      </c>
      <c r="Z427" s="58" t="s">
        <v>80</v>
      </c>
      <c r="AA427" s="13">
        <f>+VLOOKUP(Q427,COMISIONES!$C$2:$C$33,1,0)</f>
        <v>20004161</v>
      </c>
      <c r="AB427" s="13" t="s">
        <v>269</v>
      </c>
    </row>
    <row r="428" spans="1:28" hidden="1">
      <c r="A428" s="117" t="s">
        <v>821</v>
      </c>
      <c r="B428" s="138">
        <v>45157</v>
      </c>
      <c r="C428" s="117" t="s">
        <v>2104</v>
      </c>
      <c r="D428" s="117" t="s">
        <v>2105</v>
      </c>
      <c r="E428" s="117" t="s">
        <v>2106</v>
      </c>
      <c r="F428" s="117"/>
      <c r="G428" s="117" t="s">
        <v>43</v>
      </c>
      <c r="H428" s="117" t="s">
        <v>1</v>
      </c>
      <c r="I428"/>
      <c r="J428"/>
      <c r="K428" s="117" t="s">
        <v>105</v>
      </c>
      <c r="L428">
        <v>3</v>
      </c>
      <c r="M428" s="117" t="s">
        <v>161</v>
      </c>
      <c r="N428" s="117" t="s">
        <v>158</v>
      </c>
      <c r="O428" s="117" t="s">
        <v>50</v>
      </c>
      <c r="P428" s="117" t="s">
        <v>40</v>
      </c>
      <c r="Q428" s="139">
        <v>20006162</v>
      </c>
      <c r="R428" s="117" t="s">
        <v>78</v>
      </c>
      <c r="S428" s="117" t="s">
        <v>109</v>
      </c>
      <c r="T428" s="117" t="s">
        <v>109</v>
      </c>
      <c r="U428" s="117" t="s">
        <v>128</v>
      </c>
      <c r="V428" s="12">
        <f>+IFERROR(IF(VLOOKUP(Q428,COMISIONES!$C$2:$K$33,9,0)&gt;=VLOOKUP(TC!Q428,COMISIONES!$C$2:$I$33,7,0),1,0),0)</f>
        <v>0</v>
      </c>
      <c r="W428" s="262">
        <f>+IF(H428="Segunda",VLOOKUP(_xlfn.CONCAT(P428,G428,H428,V428),'PUNTOS 2021'!$E$23:$F$30,2,0),TC!L428)</f>
        <v>3</v>
      </c>
      <c r="X428" s="67">
        <f>+VLOOKUP(Q428,COMISIONES!$C$2:$AO$33,39,0)</f>
        <v>60</v>
      </c>
      <c r="Y428" s="67">
        <f t="shared" si="6"/>
        <v>180</v>
      </c>
      <c r="Z428" s="58" t="s">
        <v>80</v>
      </c>
      <c r="AA428" s="13">
        <f>+VLOOKUP(Q428,COMISIONES!$C$2:$C$33,1,0)</f>
        <v>20006162</v>
      </c>
      <c r="AB428" s="13" t="s">
        <v>269</v>
      </c>
    </row>
    <row r="429" spans="1:28" hidden="1">
      <c r="A429" s="117" t="s">
        <v>821</v>
      </c>
      <c r="B429" s="138">
        <v>45157</v>
      </c>
      <c r="C429" s="117" t="s">
        <v>2107</v>
      </c>
      <c r="D429" s="117" t="s">
        <v>2108</v>
      </c>
      <c r="E429" s="117" t="s">
        <v>2109</v>
      </c>
      <c r="F429" s="117"/>
      <c r="G429" s="117" t="s">
        <v>45</v>
      </c>
      <c r="H429" s="117" t="s">
        <v>1</v>
      </c>
      <c r="I429"/>
      <c r="J429"/>
      <c r="K429" s="117" t="s">
        <v>105</v>
      </c>
      <c r="L429">
        <v>7</v>
      </c>
      <c r="M429" s="117" t="s">
        <v>256</v>
      </c>
      <c r="N429" s="117" t="s">
        <v>236</v>
      </c>
      <c r="O429" s="117" t="s">
        <v>49</v>
      </c>
      <c r="P429" s="117" t="s">
        <v>40</v>
      </c>
      <c r="Q429" s="139">
        <v>20010101</v>
      </c>
      <c r="R429" s="117" t="s">
        <v>78</v>
      </c>
      <c r="S429" s="117" t="s">
        <v>109</v>
      </c>
      <c r="T429" s="117" t="s">
        <v>109</v>
      </c>
      <c r="U429" s="117" t="s">
        <v>128</v>
      </c>
      <c r="V429" s="12">
        <f>+IFERROR(IF(VLOOKUP(Q429,COMISIONES!$C$2:$K$33,9,0)&gt;=VLOOKUP(TC!Q429,COMISIONES!$C$2:$I$33,7,0),1,0),0)</f>
        <v>0</v>
      </c>
      <c r="W429" s="262">
        <f>+IF(H429="Segunda",VLOOKUP(_xlfn.CONCAT(P429,G429,H429,V429),'PUNTOS 2021'!$E$23:$F$30,2,0),TC!L429)</f>
        <v>7</v>
      </c>
      <c r="X429" s="67">
        <f>+VLOOKUP(Q429,COMISIONES!$C$2:$AO$33,39,0)</f>
        <v>65</v>
      </c>
      <c r="Y429" s="67">
        <f t="shared" si="6"/>
        <v>455</v>
      </c>
      <c r="Z429" s="58" t="s">
        <v>80</v>
      </c>
      <c r="AA429" s="13">
        <f>+VLOOKUP(Q429,COMISIONES!$C$2:$C$33,1,0)</f>
        <v>20010101</v>
      </c>
      <c r="AB429" s="13" t="s">
        <v>269</v>
      </c>
    </row>
    <row r="430" spans="1:28">
      <c r="A430" s="117" t="s">
        <v>821</v>
      </c>
      <c r="B430" s="138">
        <v>45157</v>
      </c>
      <c r="C430" s="117" t="s">
        <v>2110</v>
      </c>
      <c r="D430" s="117" t="s">
        <v>2111</v>
      </c>
      <c r="E430" s="117" t="s">
        <v>2112</v>
      </c>
      <c r="F430" s="117"/>
      <c r="G430" s="117" t="s">
        <v>43</v>
      </c>
      <c r="H430" s="117" t="s">
        <v>2</v>
      </c>
      <c r="I430"/>
      <c r="J430"/>
      <c r="K430" s="117" t="s">
        <v>105</v>
      </c>
      <c r="L430">
        <v>1</v>
      </c>
      <c r="M430" s="117" t="s">
        <v>119</v>
      </c>
      <c r="N430" s="117" t="s">
        <v>22</v>
      </c>
      <c r="O430" s="117" t="s">
        <v>52</v>
      </c>
      <c r="P430" s="117" t="s">
        <v>40</v>
      </c>
      <c r="Q430" s="139">
        <v>20009174</v>
      </c>
      <c r="R430" s="117" t="s">
        <v>78</v>
      </c>
      <c r="S430" s="117" t="s">
        <v>109</v>
      </c>
      <c r="T430" s="117" t="s">
        <v>109</v>
      </c>
      <c r="U430" s="117" t="s">
        <v>128</v>
      </c>
      <c r="V430" s="12">
        <f>+IFERROR(IF(VLOOKUP(Q430,COMISIONES!$C$2:$K$33,9,0)&gt;=VLOOKUP(TC!Q430,COMISIONES!$C$2:$I$33,7,0),1,0),0)</f>
        <v>0</v>
      </c>
      <c r="W430" s="262">
        <f>+IF(H430="Segunda",VLOOKUP(_xlfn.CONCAT(P430,G430,H430,V430),'PUNTOS 2021'!$E$23:$F$30,2,0),TC!L430)</f>
        <v>0.5</v>
      </c>
      <c r="X430" s="67">
        <f>+VLOOKUP(Q430,COMISIONES!$C$2:$AO$33,39,0)</f>
        <v>60</v>
      </c>
      <c r="Y430" s="67">
        <f t="shared" si="6"/>
        <v>30</v>
      </c>
      <c r="Z430" s="58" t="s">
        <v>80</v>
      </c>
      <c r="AA430" s="13">
        <f>+VLOOKUP(Q430,COMISIONES!$C$2:$C$33,1,0)</f>
        <v>20009174</v>
      </c>
      <c r="AB430" s="13" t="s">
        <v>269</v>
      </c>
    </row>
    <row r="431" spans="1:28">
      <c r="A431" s="117" t="s">
        <v>821</v>
      </c>
      <c r="B431" s="138">
        <v>45157</v>
      </c>
      <c r="C431" s="117" t="s">
        <v>2113</v>
      </c>
      <c r="D431" s="117" t="s">
        <v>2114</v>
      </c>
      <c r="E431" s="117" t="s">
        <v>2115</v>
      </c>
      <c r="F431" s="117"/>
      <c r="G431" s="117" t="s">
        <v>45</v>
      </c>
      <c r="H431" s="117" t="s">
        <v>2</v>
      </c>
      <c r="I431"/>
      <c r="J431"/>
      <c r="K431" s="117" t="s">
        <v>105</v>
      </c>
      <c r="L431">
        <v>2</v>
      </c>
      <c r="M431" s="117" t="s">
        <v>127</v>
      </c>
      <c r="N431" s="117" t="s">
        <v>16</v>
      </c>
      <c r="O431" s="117" t="s">
        <v>49</v>
      </c>
      <c r="P431" s="117" t="s">
        <v>40</v>
      </c>
      <c r="Q431" s="139">
        <v>20002708</v>
      </c>
      <c r="R431" s="117" t="s">
        <v>78</v>
      </c>
      <c r="S431" s="117" t="s">
        <v>109</v>
      </c>
      <c r="T431" s="117" t="s">
        <v>109</v>
      </c>
      <c r="U431" s="117" t="s">
        <v>128</v>
      </c>
      <c r="V431" s="12">
        <f>+IFERROR(IF(VLOOKUP(Q431,COMISIONES!$C$2:$K$33,9,0)&gt;=VLOOKUP(TC!Q431,COMISIONES!$C$2:$I$33,7,0),1,0),0)</f>
        <v>0</v>
      </c>
      <c r="W431" s="262">
        <f>+IF(H431="Segunda",VLOOKUP(_xlfn.CONCAT(P431,G431,H431,V431),'PUNTOS 2021'!$E$23:$F$30,2,0),TC!L431)</f>
        <v>0.5</v>
      </c>
      <c r="X431" s="67">
        <f>+VLOOKUP(Q431,COMISIONES!$C$2:$AO$33,39,0)</f>
        <v>60</v>
      </c>
      <c r="Y431" s="67">
        <f t="shared" si="6"/>
        <v>30</v>
      </c>
      <c r="Z431" s="58" t="s">
        <v>80</v>
      </c>
      <c r="AA431" s="13">
        <f>+VLOOKUP(Q431,COMISIONES!$C$2:$C$33,1,0)</f>
        <v>20002708</v>
      </c>
      <c r="AB431" s="13" t="s">
        <v>269</v>
      </c>
    </row>
    <row r="432" spans="1:28">
      <c r="A432" s="117" t="s">
        <v>821</v>
      </c>
      <c r="B432" s="138">
        <v>45157</v>
      </c>
      <c r="C432" s="117" t="s">
        <v>2116</v>
      </c>
      <c r="D432" s="117" t="s">
        <v>2117</v>
      </c>
      <c r="E432" s="117" t="s">
        <v>2118</v>
      </c>
      <c r="F432" s="117"/>
      <c r="G432" s="117" t="s">
        <v>45</v>
      </c>
      <c r="H432" s="117" t="s">
        <v>2</v>
      </c>
      <c r="I432"/>
      <c r="J432"/>
      <c r="K432" s="117" t="s">
        <v>129</v>
      </c>
      <c r="L432">
        <v>2</v>
      </c>
      <c r="M432" s="117" t="s">
        <v>112</v>
      </c>
      <c r="N432" s="117" t="s">
        <v>9</v>
      </c>
      <c r="O432" s="117" t="s">
        <v>51</v>
      </c>
      <c r="P432" s="117" t="s">
        <v>40</v>
      </c>
      <c r="Q432" s="139">
        <v>20004638</v>
      </c>
      <c r="R432" s="117" t="s">
        <v>78</v>
      </c>
      <c r="S432" s="117" t="s">
        <v>109</v>
      </c>
      <c r="T432" s="117" t="s">
        <v>109</v>
      </c>
      <c r="U432" s="117" t="s">
        <v>118</v>
      </c>
      <c r="V432" s="12">
        <f>+IFERROR(IF(VLOOKUP(Q432,COMISIONES!$C$2:$K$33,9,0)&gt;=VLOOKUP(TC!Q432,COMISIONES!$C$2:$I$33,7,0),1,0),0)</f>
        <v>0</v>
      </c>
      <c r="W432" s="262">
        <f>+IF(H432="Segunda",VLOOKUP(_xlfn.CONCAT(P432,G432,H432,V432),'PUNTOS 2021'!$E$23:$F$30,2,0),TC!L432)</f>
        <v>0.5</v>
      </c>
      <c r="X432" s="67">
        <f>+VLOOKUP(Q432,COMISIONES!$C$2:$AO$33,39,0)</f>
        <v>60</v>
      </c>
      <c r="Y432" s="67">
        <f t="shared" si="6"/>
        <v>30</v>
      </c>
      <c r="Z432" s="58" t="s">
        <v>80</v>
      </c>
      <c r="AA432" s="13">
        <f>+VLOOKUP(Q432,COMISIONES!$C$2:$C$33,1,0)</f>
        <v>20004638</v>
      </c>
      <c r="AB432" s="13" t="s">
        <v>269</v>
      </c>
    </row>
    <row r="433" spans="1:28">
      <c r="A433" s="117" t="s">
        <v>821</v>
      </c>
      <c r="B433" s="138">
        <v>45157</v>
      </c>
      <c r="C433" s="117" t="s">
        <v>2119</v>
      </c>
      <c r="D433" s="117" t="s">
        <v>2120</v>
      </c>
      <c r="E433" s="117" t="s">
        <v>2121</v>
      </c>
      <c r="F433" s="117"/>
      <c r="G433" s="117" t="s">
        <v>43</v>
      </c>
      <c r="H433" s="117" t="s">
        <v>2</v>
      </c>
      <c r="I433"/>
      <c r="J433"/>
      <c r="K433" s="117" t="s">
        <v>105</v>
      </c>
      <c r="L433">
        <v>1</v>
      </c>
      <c r="M433" s="117" t="s">
        <v>273</v>
      </c>
      <c r="N433" s="117" t="s">
        <v>292</v>
      </c>
      <c r="O433" s="117" t="s">
        <v>51</v>
      </c>
      <c r="P433" s="117" t="s">
        <v>40</v>
      </c>
      <c r="Q433" s="139">
        <v>20007943</v>
      </c>
      <c r="R433" s="117" t="s">
        <v>78</v>
      </c>
      <c r="S433" s="117" t="s">
        <v>109</v>
      </c>
      <c r="T433" s="117" t="s">
        <v>109</v>
      </c>
      <c r="U433" s="117" t="s">
        <v>118</v>
      </c>
      <c r="V433" s="12">
        <f>+IFERROR(IF(VLOOKUP(Q433,COMISIONES!$C$2:$K$33,9,0)&gt;=VLOOKUP(TC!Q433,COMISIONES!$C$2:$I$33,7,0),1,0),0)</f>
        <v>0</v>
      </c>
      <c r="W433" s="262">
        <f>+IF(H433="Segunda",VLOOKUP(_xlfn.CONCAT(P433,G433,H433,V433),'PUNTOS 2021'!$E$23:$F$30,2,0),TC!L433)</f>
        <v>0.5</v>
      </c>
      <c r="X433" s="67">
        <f>+VLOOKUP(Q433,COMISIONES!$C$2:$AO$33,39,0)</f>
        <v>20</v>
      </c>
      <c r="Y433" s="67">
        <f t="shared" si="6"/>
        <v>10</v>
      </c>
      <c r="Z433" s="58" t="s">
        <v>80</v>
      </c>
      <c r="AA433" s="13">
        <f>+VLOOKUP(Q433,COMISIONES!$C$2:$C$33,1,0)</f>
        <v>20007943</v>
      </c>
      <c r="AB433" s="13" t="s">
        <v>269</v>
      </c>
    </row>
    <row r="434" spans="1:28" hidden="1">
      <c r="A434" s="117" t="s">
        <v>821</v>
      </c>
      <c r="B434" s="138">
        <v>45158</v>
      </c>
      <c r="C434" s="117" t="s">
        <v>2122</v>
      </c>
      <c r="D434" s="117" t="s">
        <v>2123</v>
      </c>
      <c r="E434" s="117" t="s">
        <v>2124</v>
      </c>
      <c r="F434" s="117"/>
      <c r="G434" s="117" t="s">
        <v>44</v>
      </c>
      <c r="H434" s="117" t="s">
        <v>1</v>
      </c>
      <c r="I434"/>
      <c r="J434"/>
      <c r="K434" s="117" t="s">
        <v>105</v>
      </c>
      <c r="L434">
        <v>5</v>
      </c>
      <c r="M434" s="117" t="s">
        <v>256</v>
      </c>
      <c r="N434" s="117" t="s">
        <v>236</v>
      </c>
      <c r="O434" s="117" t="s">
        <v>49</v>
      </c>
      <c r="P434" s="117" t="s">
        <v>40</v>
      </c>
      <c r="Q434" s="139">
        <v>20010101</v>
      </c>
      <c r="R434" s="117" t="s">
        <v>78</v>
      </c>
      <c r="S434" s="117" t="s">
        <v>109</v>
      </c>
      <c r="T434" s="117" t="s">
        <v>109</v>
      </c>
      <c r="U434" s="117" t="s">
        <v>128</v>
      </c>
      <c r="V434" s="12">
        <f>+IFERROR(IF(VLOOKUP(Q434,COMISIONES!$C$2:$K$33,9,0)&gt;=VLOOKUP(TC!Q434,COMISIONES!$C$2:$I$33,7,0),1,0),0)</f>
        <v>0</v>
      </c>
      <c r="W434" s="262">
        <f>+IF(H434="Segunda",VLOOKUP(_xlfn.CONCAT(P434,G434,H434,V434),'PUNTOS 2021'!$E$23:$F$30,2,0),TC!L434)</f>
        <v>5</v>
      </c>
      <c r="X434" s="67">
        <f>+VLOOKUP(Q434,COMISIONES!$C$2:$AO$33,39,0)</f>
        <v>65</v>
      </c>
      <c r="Y434" s="67">
        <f t="shared" si="6"/>
        <v>325</v>
      </c>
      <c r="Z434" s="58" t="s">
        <v>80</v>
      </c>
      <c r="AA434" s="13">
        <f>+VLOOKUP(Q434,COMISIONES!$C$2:$C$33,1,0)</f>
        <v>20010101</v>
      </c>
      <c r="AB434" s="13" t="s">
        <v>269</v>
      </c>
    </row>
    <row r="435" spans="1:28" hidden="1">
      <c r="A435" s="117" t="s">
        <v>821</v>
      </c>
      <c r="B435" s="138">
        <v>45158</v>
      </c>
      <c r="C435" s="117" t="s">
        <v>2125</v>
      </c>
      <c r="D435" s="117" t="s">
        <v>2126</v>
      </c>
      <c r="E435" s="117" t="s">
        <v>2127</v>
      </c>
      <c r="F435" s="117"/>
      <c r="G435" s="117" t="s">
        <v>45</v>
      </c>
      <c r="H435" s="117" t="s">
        <v>1</v>
      </c>
      <c r="I435"/>
      <c r="J435"/>
      <c r="K435" s="117" t="s">
        <v>105</v>
      </c>
      <c r="L435">
        <v>7</v>
      </c>
      <c r="M435" s="117" t="s">
        <v>257</v>
      </c>
      <c r="N435" s="117" t="s">
        <v>15</v>
      </c>
      <c r="O435" s="117" t="s">
        <v>52</v>
      </c>
      <c r="P435" s="117" t="s">
        <v>40</v>
      </c>
      <c r="Q435" s="139">
        <v>20005527</v>
      </c>
      <c r="R435" s="117" t="s">
        <v>78</v>
      </c>
      <c r="S435" s="117" t="s">
        <v>109</v>
      </c>
      <c r="T435" s="117" t="s">
        <v>109</v>
      </c>
      <c r="U435" s="117" t="s">
        <v>128</v>
      </c>
      <c r="V435" s="12">
        <f>+IFERROR(IF(VLOOKUP(Q435,COMISIONES!$C$2:$K$33,9,0)&gt;=VLOOKUP(TC!Q435,COMISIONES!$C$2:$I$33,7,0),1,0),0)</f>
        <v>0</v>
      </c>
      <c r="W435" s="262">
        <f>+IF(H435="Segunda",VLOOKUP(_xlfn.CONCAT(P435,G435,H435,V435),'PUNTOS 2021'!$E$23:$F$30,2,0),TC!L435)</f>
        <v>7</v>
      </c>
      <c r="X435" s="67">
        <f>+VLOOKUP(Q435,COMISIONES!$C$2:$AO$33,39,0)</f>
        <v>40</v>
      </c>
      <c r="Y435" s="67">
        <f t="shared" si="6"/>
        <v>280</v>
      </c>
      <c r="Z435" s="58" t="s">
        <v>80</v>
      </c>
      <c r="AA435" s="13">
        <f>+VLOOKUP(Q435,COMISIONES!$C$2:$C$33,1,0)</f>
        <v>20005527</v>
      </c>
      <c r="AB435" s="13" t="s">
        <v>269</v>
      </c>
    </row>
    <row r="436" spans="1:28">
      <c r="A436" s="117" t="s">
        <v>821</v>
      </c>
      <c r="B436" s="138">
        <v>45158</v>
      </c>
      <c r="C436" s="117" t="s">
        <v>2128</v>
      </c>
      <c r="D436" s="117" t="s">
        <v>2129</v>
      </c>
      <c r="E436" s="117" t="s">
        <v>2130</v>
      </c>
      <c r="F436" s="117"/>
      <c r="G436" s="117" t="s">
        <v>45</v>
      </c>
      <c r="H436" s="117" t="s">
        <v>2</v>
      </c>
      <c r="I436"/>
      <c r="J436"/>
      <c r="K436" s="117" t="s">
        <v>105</v>
      </c>
      <c r="L436">
        <v>2</v>
      </c>
      <c r="M436" s="117" t="s">
        <v>127</v>
      </c>
      <c r="N436" s="117" t="s">
        <v>16</v>
      </c>
      <c r="O436" s="117" t="s">
        <v>49</v>
      </c>
      <c r="P436" s="117" t="s">
        <v>40</v>
      </c>
      <c r="Q436" s="139">
        <v>20002708</v>
      </c>
      <c r="R436" s="117" t="s">
        <v>78</v>
      </c>
      <c r="S436" s="117" t="s">
        <v>109</v>
      </c>
      <c r="T436" s="117" t="s">
        <v>109</v>
      </c>
      <c r="U436" s="117" t="s">
        <v>128</v>
      </c>
      <c r="V436" s="12">
        <f>+IFERROR(IF(VLOOKUP(Q436,COMISIONES!$C$2:$K$33,9,0)&gt;=VLOOKUP(TC!Q436,COMISIONES!$C$2:$I$33,7,0),1,0),0)</f>
        <v>0</v>
      </c>
      <c r="W436" s="262">
        <f>+IF(H436="Segunda",VLOOKUP(_xlfn.CONCAT(P436,G436,H436,V436),'PUNTOS 2021'!$E$23:$F$30,2,0),TC!L436)</f>
        <v>0.5</v>
      </c>
      <c r="X436" s="67">
        <f>+VLOOKUP(Q436,COMISIONES!$C$2:$AO$33,39,0)</f>
        <v>60</v>
      </c>
      <c r="Y436" s="67">
        <f t="shared" si="6"/>
        <v>30</v>
      </c>
      <c r="Z436" s="58" t="s">
        <v>80</v>
      </c>
      <c r="AA436" s="13">
        <f>+VLOOKUP(Q436,COMISIONES!$C$2:$C$33,1,0)</f>
        <v>20002708</v>
      </c>
      <c r="AB436" s="13" t="s">
        <v>269</v>
      </c>
    </row>
    <row r="437" spans="1:28" hidden="1">
      <c r="A437" s="117" t="s">
        <v>821</v>
      </c>
      <c r="B437" s="138">
        <v>45158</v>
      </c>
      <c r="C437" s="117" t="s">
        <v>2131</v>
      </c>
      <c r="D437" s="117" t="s">
        <v>2132</v>
      </c>
      <c r="E437" s="117" t="s">
        <v>2133</v>
      </c>
      <c r="F437" s="117"/>
      <c r="G437" s="117" t="s">
        <v>44</v>
      </c>
      <c r="H437" s="117" t="s">
        <v>1</v>
      </c>
      <c r="I437"/>
      <c r="J437"/>
      <c r="K437" s="117" t="s">
        <v>105</v>
      </c>
      <c r="L437">
        <v>5</v>
      </c>
      <c r="M437" s="117" t="s">
        <v>115</v>
      </c>
      <c r="N437" s="117" t="s">
        <v>6</v>
      </c>
      <c r="O437" s="117" t="s">
        <v>51</v>
      </c>
      <c r="P437" s="117" t="s">
        <v>40</v>
      </c>
      <c r="Q437" s="139">
        <v>20001487</v>
      </c>
      <c r="R437" s="117" t="s">
        <v>78</v>
      </c>
      <c r="S437" s="117" t="s">
        <v>109</v>
      </c>
      <c r="T437" s="117" t="s">
        <v>109</v>
      </c>
      <c r="U437" s="117" t="s">
        <v>128</v>
      </c>
      <c r="V437" s="12">
        <f>+IFERROR(IF(VLOOKUP(Q437,COMISIONES!$C$2:$K$33,9,0)&gt;=VLOOKUP(TC!Q437,COMISIONES!$C$2:$I$33,7,0),1,0),0)</f>
        <v>1</v>
      </c>
      <c r="W437" s="262">
        <f>+IF(H437="Segunda",VLOOKUP(_xlfn.CONCAT(P437,G437,H437,V437),'PUNTOS 2021'!$E$23:$F$30,2,0),TC!L437)</f>
        <v>5</v>
      </c>
      <c r="X437" s="67">
        <f>+VLOOKUP(Q437,COMISIONES!$C$2:$AO$33,39,0)</f>
        <v>65</v>
      </c>
      <c r="Y437" s="67">
        <f t="shared" si="6"/>
        <v>325</v>
      </c>
      <c r="Z437" s="58" t="s">
        <v>80</v>
      </c>
      <c r="AA437" s="13">
        <f>+VLOOKUP(Q437,COMISIONES!$C$2:$C$33,1,0)</f>
        <v>20001487</v>
      </c>
      <c r="AB437" s="13" t="s">
        <v>269</v>
      </c>
    </row>
    <row r="438" spans="1:28" hidden="1">
      <c r="A438" s="117" t="s">
        <v>821</v>
      </c>
      <c r="B438" s="138">
        <v>45158</v>
      </c>
      <c r="C438" s="117" t="s">
        <v>2134</v>
      </c>
      <c r="D438" s="117" t="s">
        <v>2135</v>
      </c>
      <c r="E438" s="117" t="s">
        <v>2136</v>
      </c>
      <c r="F438" s="117"/>
      <c r="G438" s="117" t="s">
        <v>43</v>
      </c>
      <c r="H438" s="117" t="s">
        <v>1</v>
      </c>
      <c r="I438"/>
      <c r="J438"/>
      <c r="K438" s="117" t="s">
        <v>105</v>
      </c>
      <c r="L438">
        <v>3</v>
      </c>
      <c r="M438" s="117" t="s">
        <v>123</v>
      </c>
      <c r="N438" s="117" t="s">
        <v>23</v>
      </c>
      <c r="O438" s="117" t="s">
        <v>49</v>
      </c>
      <c r="P438" s="117" t="s">
        <v>40</v>
      </c>
      <c r="Q438" s="139">
        <v>20009269</v>
      </c>
      <c r="R438" s="117" t="s">
        <v>78</v>
      </c>
      <c r="S438" s="117" t="s">
        <v>109</v>
      </c>
      <c r="T438" s="117" t="s">
        <v>109</v>
      </c>
      <c r="U438" s="117" t="s">
        <v>128</v>
      </c>
      <c r="V438" s="12">
        <f>+IFERROR(IF(VLOOKUP(Q438,COMISIONES!$C$2:$K$33,9,0)&gt;=VLOOKUP(TC!Q438,COMISIONES!$C$2:$I$33,7,0),1,0),0)</f>
        <v>1</v>
      </c>
      <c r="W438" s="262">
        <f>+IF(H438="Segunda",VLOOKUP(_xlfn.CONCAT(P438,G438,H438,V438),'PUNTOS 2021'!$E$23:$F$30,2,0),TC!L438)</f>
        <v>3</v>
      </c>
      <c r="X438" s="67">
        <f>+VLOOKUP(Q438,COMISIONES!$C$2:$AO$33,39,0)</f>
        <v>65</v>
      </c>
      <c r="Y438" s="67">
        <f t="shared" si="6"/>
        <v>195</v>
      </c>
      <c r="Z438" s="58" t="s">
        <v>80</v>
      </c>
      <c r="AA438" s="13">
        <f>+VLOOKUP(Q438,COMISIONES!$C$2:$C$33,1,0)</f>
        <v>20009269</v>
      </c>
      <c r="AB438" s="13" t="s">
        <v>269</v>
      </c>
    </row>
    <row r="439" spans="1:28" hidden="1">
      <c r="A439" s="117" t="s">
        <v>821</v>
      </c>
      <c r="B439" s="138">
        <v>45158</v>
      </c>
      <c r="C439" s="117" t="s">
        <v>2137</v>
      </c>
      <c r="D439" s="117" t="s">
        <v>2138</v>
      </c>
      <c r="E439" s="117" t="s">
        <v>2139</v>
      </c>
      <c r="F439" s="117"/>
      <c r="G439" s="117" t="s">
        <v>45</v>
      </c>
      <c r="H439" s="117" t="s">
        <v>1</v>
      </c>
      <c r="I439"/>
      <c r="J439"/>
      <c r="K439" s="117" t="s">
        <v>105</v>
      </c>
      <c r="L439">
        <v>7</v>
      </c>
      <c r="M439" s="117" t="s">
        <v>112</v>
      </c>
      <c r="N439" s="117" t="s">
        <v>9</v>
      </c>
      <c r="O439" s="117" t="s">
        <v>51</v>
      </c>
      <c r="P439" s="117" t="s">
        <v>40</v>
      </c>
      <c r="Q439" s="139">
        <v>20004638</v>
      </c>
      <c r="R439" s="117" t="s">
        <v>78</v>
      </c>
      <c r="S439" s="117" t="s">
        <v>109</v>
      </c>
      <c r="T439" s="117" t="s">
        <v>109</v>
      </c>
      <c r="U439" s="117" t="s">
        <v>128</v>
      </c>
      <c r="V439" s="12">
        <f>+IFERROR(IF(VLOOKUP(Q439,COMISIONES!$C$2:$K$33,9,0)&gt;=VLOOKUP(TC!Q439,COMISIONES!$C$2:$I$33,7,0),1,0),0)</f>
        <v>0</v>
      </c>
      <c r="W439" s="262">
        <f>+IF(H439="Segunda",VLOOKUP(_xlfn.CONCAT(P439,G439,H439,V439),'PUNTOS 2021'!$E$23:$F$30,2,0),TC!L439)</f>
        <v>7</v>
      </c>
      <c r="X439" s="67">
        <f>+VLOOKUP(Q439,COMISIONES!$C$2:$AO$33,39,0)</f>
        <v>60</v>
      </c>
      <c r="Y439" s="67">
        <f t="shared" ref="Y439:Y501" si="7">X439*W439</f>
        <v>420</v>
      </c>
      <c r="Z439" s="58" t="s">
        <v>80</v>
      </c>
      <c r="AA439" s="13">
        <f>+VLOOKUP(Q439,COMISIONES!$C$2:$C$33,1,0)</f>
        <v>20004638</v>
      </c>
      <c r="AB439" s="13" t="s">
        <v>269</v>
      </c>
    </row>
    <row r="440" spans="1:28" hidden="1">
      <c r="A440" s="117" t="s">
        <v>821</v>
      </c>
      <c r="B440" s="138">
        <v>45158</v>
      </c>
      <c r="C440" s="117" t="s">
        <v>2140</v>
      </c>
      <c r="D440" s="117" t="s">
        <v>2141</v>
      </c>
      <c r="E440" s="117" t="s">
        <v>2142</v>
      </c>
      <c r="F440" s="117"/>
      <c r="G440" s="117" t="s">
        <v>44</v>
      </c>
      <c r="H440" s="117" t="s">
        <v>1</v>
      </c>
      <c r="I440"/>
      <c r="J440"/>
      <c r="K440" s="117" t="s">
        <v>105</v>
      </c>
      <c r="L440">
        <v>5</v>
      </c>
      <c r="M440" s="117" t="s">
        <v>255</v>
      </c>
      <c r="N440" s="117" t="s">
        <v>4</v>
      </c>
      <c r="O440" s="117" t="s">
        <v>51</v>
      </c>
      <c r="P440" s="117" t="s">
        <v>40</v>
      </c>
      <c r="Q440" s="139">
        <v>20000033</v>
      </c>
      <c r="R440" s="117" t="s">
        <v>78</v>
      </c>
      <c r="S440" s="117" t="s">
        <v>109</v>
      </c>
      <c r="T440" s="117" t="s">
        <v>109</v>
      </c>
      <c r="U440" s="117" t="s">
        <v>128</v>
      </c>
      <c r="V440" s="12">
        <f>+IFERROR(IF(VLOOKUP(Q440,COMISIONES!$C$2:$K$33,9,0)&gt;=VLOOKUP(TC!Q440,COMISIONES!$C$2:$I$33,7,0),1,0),0)</f>
        <v>1</v>
      </c>
      <c r="W440" s="262">
        <f>+IF(H440="Segunda",VLOOKUP(_xlfn.CONCAT(P440,G440,H440,V440),'PUNTOS 2021'!$E$23:$F$30,2,0),TC!L440)</f>
        <v>5</v>
      </c>
      <c r="X440" s="67">
        <f>+VLOOKUP(Q440,COMISIONES!$C$2:$AO$33,39,0)</f>
        <v>60</v>
      </c>
      <c r="Y440" s="67">
        <f t="shared" si="7"/>
        <v>300</v>
      </c>
      <c r="Z440" s="58" t="s">
        <v>80</v>
      </c>
      <c r="AA440" s="13">
        <f>+VLOOKUP(Q440,COMISIONES!$C$2:$C$33,1,0)</f>
        <v>20000033</v>
      </c>
      <c r="AB440" s="13" t="s">
        <v>269</v>
      </c>
    </row>
    <row r="441" spans="1:28" hidden="1">
      <c r="A441" s="117" t="s">
        <v>821</v>
      </c>
      <c r="B441" s="138">
        <v>45158</v>
      </c>
      <c r="C441" s="117" t="s">
        <v>2143</v>
      </c>
      <c r="D441" s="117" t="s">
        <v>2144</v>
      </c>
      <c r="E441" s="117" t="s">
        <v>2145</v>
      </c>
      <c r="F441" s="117"/>
      <c r="G441" s="117" t="s">
        <v>45</v>
      </c>
      <c r="H441" s="117" t="s">
        <v>1</v>
      </c>
      <c r="I441"/>
      <c r="J441"/>
      <c r="K441" s="117" t="s">
        <v>105</v>
      </c>
      <c r="L441">
        <v>7</v>
      </c>
      <c r="M441" s="117" t="s">
        <v>273</v>
      </c>
      <c r="N441" s="117" t="s">
        <v>292</v>
      </c>
      <c r="O441" s="117" t="s">
        <v>51</v>
      </c>
      <c r="P441" s="117" t="s">
        <v>40</v>
      </c>
      <c r="Q441" s="139">
        <v>20007943</v>
      </c>
      <c r="R441" s="117" t="s">
        <v>78</v>
      </c>
      <c r="S441" s="117" t="s">
        <v>109</v>
      </c>
      <c r="T441" s="117" t="s">
        <v>109</v>
      </c>
      <c r="U441" s="117" t="s">
        <v>128</v>
      </c>
      <c r="V441" s="12">
        <f>+IFERROR(IF(VLOOKUP(Q441,COMISIONES!$C$2:$K$33,9,0)&gt;=VLOOKUP(TC!Q441,COMISIONES!$C$2:$I$33,7,0),1,0),0)</f>
        <v>0</v>
      </c>
      <c r="W441" s="262">
        <f>+IF(H441="Segunda",VLOOKUP(_xlfn.CONCAT(P441,G441,H441,V441),'PUNTOS 2021'!$E$23:$F$30,2,0),TC!L441)</f>
        <v>7</v>
      </c>
      <c r="X441" s="67">
        <f>+VLOOKUP(Q441,COMISIONES!$C$2:$AO$33,39,0)</f>
        <v>20</v>
      </c>
      <c r="Y441" s="67">
        <f t="shared" si="7"/>
        <v>140</v>
      </c>
      <c r="Z441" s="58" t="s">
        <v>80</v>
      </c>
      <c r="AA441" s="13">
        <f>+VLOOKUP(Q441,COMISIONES!$C$2:$C$33,1,0)</f>
        <v>20007943</v>
      </c>
      <c r="AB441" s="13" t="s">
        <v>269</v>
      </c>
    </row>
    <row r="442" spans="1:28" hidden="1">
      <c r="A442" s="117" t="s">
        <v>821</v>
      </c>
      <c r="B442" s="138">
        <v>45158</v>
      </c>
      <c r="C442" s="117" t="s">
        <v>2146</v>
      </c>
      <c r="D442" s="117" t="s">
        <v>2147</v>
      </c>
      <c r="E442" s="117" t="s">
        <v>2148</v>
      </c>
      <c r="F442" s="117"/>
      <c r="G442" s="117" t="s">
        <v>45</v>
      </c>
      <c r="H442" s="117" t="s">
        <v>1</v>
      </c>
      <c r="I442"/>
      <c r="J442"/>
      <c r="K442" s="117" t="s">
        <v>105</v>
      </c>
      <c r="L442">
        <v>7</v>
      </c>
      <c r="M442" s="117" t="s">
        <v>106</v>
      </c>
      <c r="N442" s="117" t="s">
        <v>8</v>
      </c>
      <c r="O442" s="117" t="s">
        <v>51</v>
      </c>
      <c r="P442" s="117" t="s">
        <v>40</v>
      </c>
      <c r="Q442" s="139">
        <v>20002636</v>
      </c>
      <c r="R442" s="117" t="s">
        <v>78</v>
      </c>
      <c r="S442" s="117" t="s">
        <v>109</v>
      </c>
      <c r="T442" s="117" t="s">
        <v>109</v>
      </c>
      <c r="U442" s="117" t="s">
        <v>128</v>
      </c>
      <c r="V442" s="12">
        <f>+IFERROR(IF(VLOOKUP(Q442,COMISIONES!$C$2:$K$33,9,0)&gt;=VLOOKUP(TC!Q442,COMISIONES!$C$2:$I$33,7,0),1,0),0)</f>
        <v>0</v>
      </c>
      <c r="W442" s="262">
        <f>+IF(H442="Segunda",VLOOKUP(_xlfn.CONCAT(P442,G442,H442,V442),'PUNTOS 2021'!$E$23:$F$30,2,0),TC!L442)</f>
        <v>7</v>
      </c>
      <c r="X442" s="67">
        <f>+VLOOKUP(Q442,COMISIONES!$C$2:$AO$33,39,0)</f>
        <v>40</v>
      </c>
      <c r="Y442" s="67">
        <f t="shared" si="7"/>
        <v>280</v>
      </c>
      <c r="Z442" s="58" t="s">
        <v>80</v>
      </c>
      <c r="AA442" s="13">
        <f>+VLOOKUP(Q442,COMISIONES!$C$2:$C$33,1,0)</f>
        <v>20002636</v>
      </c>
      <c r="AB442" s="13" t="s">
        <v>269</v>
      </c>
    </row>
    <row r="443" spans="1:28" hidden="1">
      <c r="A443" s="117" t="s">
        <v>821</v>
      </c>
      <c r="B443" s="138">
        <v>45158</v>
      </c>
      <c r="C443" s="117" t="s">
        <v>2149</v>
      </c>
      <c r="D443" s="117" t="s">
        <v>2150</v>
      </c>
      <c r="E443" s="117" t="s">
        <v>2151</v>
      </c>
      <c r="F443" s="117"/>
      <c r="G443" s="117" t="s">
        <v>45</v>
      </c>
      <c r="H443" s="117" t="s">
        <v>1</v>
      </c>
      <c r="I443"/>
      <c r="J443"/>
      <c r="K443" s="117" t="s">
        <v>105</v>
      </c>
      <c r="L443">
        <v>7</v>
      </c>
      <c r="M443" s="117" t="s">
        <v>121</v>
      </c>
      <c r="N443" s="117" t="s">
        <v>3</v>
      </c>
      <c r="O443" s="117" t="s">
        <v>49</v>
      </c>
      <c r="P443" s="117" t="s">
        <v>40</v>
      </c>
      <c r="Q443" s="139">
        <v>20004161</v>
      </c>
      <c r="R443" s="117" t="s">
        <v>78</v>
      </c>
      <c r="S443" s="117" t="s">
        <v>109</v>
      </c>
      <c r="T443" s="117" t="s">
        <v>109</v>
      </c>
      <c r="U443" s="117" t="s">
        <v>128</v>
      </c>
      <c r="V443" s="12">
        <f>+IFERROR(IF(VLOOKUP(Q443,COMISIONES!$C$2:$K$33,9,0)&gt;=VLOOKUP(TC!Q443,COMISIONES!$C$2:$I$33,7,0),1,0),0)</f>
        <v>1</v>
      </c>
      <c r="W443" s="262">
        <f>+IF(H443="Segunda",VLOOKUP(_xlfn.CONCAT(P443,G443,H443,V443),'PUNTOS 2021'!$E$23:$F$30,2,0),TC!L443)</f>
        <v>7</v>
      </c>
      <c r="X443" s="67">
        <f>+VLOOKUP(Q443,COMISIONES!$C$2:$AO$33,39,0)</f>
        <v>65</v>
      </c>
      <c r="Y443" s="67">
        <f t="shared" si="7"/>
        <v>455</v>
      </c>
      <c r="Z443" s="58" t="s">
        <v>80</v>
      </c>
      <c r="AA443" s="13">
        <f>+VLOOKUP(Q443,COMISIONES!$C$2:$C$33,1,0)</f>
        <v>20004161</v>
      </c>
      <c r="AB443" s="13" t="s">
        <v>269</v>
      </c>
    </row>
    <row r="444" spans="1:28" hidden="1">
      <c r="A444" s="117" t="s">
        <v>821</v>
      </c>
      <c r="B444" s="138">
        <v>45158</v>
      </c>
      <c r="C444" s="117" t="s">
        <v>2152</v>
      </c>
      <c r="D444" s="117" t="s">
        <v>2153</v>
      </c>
      <c r="E444" s="117" t="s">
        <v>2154</v>
      </c>
      <c r="F444" s="117"/>
      <c r="G444" s="117" t="s">
        <v>43</v>
      </c>
      <c r="H444" s="117" t="s">
        <v>1</v>
      </c>
      <c r="I444"/>
      <c r="J444"/>
      <c r="K444" s="117" t="s">
        <v>105</v>
      </c>
      <c r="L444">
        <v>3</v>
      </c>
      <c r="M444" s="117" t="s">
        <v>1946</v>
      </c>
      <c r="N444" s="117" t="s">
        <v>1947</v>
      </c>
      <c r="O444" s="117" t="s">
        <v>51</v>
      </c>
      <c r="P444" s="117" t="s">
        <v>40</v>
      </c>
      <c r="Q444" s="139">
        <v>20010766</v>
      </c>
      <c r="R444" s="117" t="s">
        <v>78</v>
      </c>
      <c r="S444" s="117" t="s">
        <v>109</v>
      </c>
      <c r="T444" s="117" t="s">
        <v>109</v>
      </c>
      <c r="U444" s="117" t="s">
        <v>128</v>
      </c>
      <c r="V444" s="12">
        <f>+IFERROR(IF(VLOOKUP(Q444,COMISIONES!$C$2:$K$33,9,0)&gt;=VLOOKUP(TC!Q444,COMISIONES!$C$2:$I$33,7,0),1,0),0)</f>
        <v>0</v>
      </c>
      <c r="W444" s="262">
        <f>+IF(H444="Segunda",VLOOKUP(_xlfn.CONCAT(P444,G444,H444,V444),'PUNTOS 2021'!$E$23:$F$30,2,0),TC!L444)</f>
        <v>3</v>
      </c>
      <c r="X444" s="67">
        <f>+VLOOKUP(Q444,COMISIONES!$C$2:$AO$33,39,0)</f>
        <v>20</v>
      </c>
      <c r="Y444" s="67">
        <f t="shared" si="7"/>
        <v>60</v>
      </c>
      <c r="Z444" s="58" t="s">
        <v>80</v>
      </c>
      <c r="AA444" s="13">
        <f>+VLOOKUP(Q444,COMISIONES!$C$2:$C$33,1,0)</f>
        <v>20010766</v>
      </c>
      <c r="AB444" s="13" t="s">
        <v>269</v>
      </c>
    </row>
    <row r="445" spans="1:28">
      <c r="A445" s="117" t="s">
        <v>821</v>
      </c>
      <c r="B445" s="138">
        <v>45158</v>
      </c>
      <c r="C445" s="117" t="s">
        <v>2155</v>
      </c>
      <c r="D445" s="117" t="s">
        <v>2156</v>
      </c>
      <c r="E445" s="117" t="s">
        <v>2157</v>
      </c>
      <c r="F445" s="117"/>
      <c r="G445" s="117" t="s">
        <v>43</v>
      </c>
      <c r="H445" s="117" t="s">
        <v>2</v>
      </c>
      <c r="I445"/>
      <c r="J445"/>
      <c r="K445" s="117" t="s">
        <v>105</v>
      </c>
      <c r="L445">
        <v>1</v>
      </c>
      <c r="M445" s="117" t="s">
        <v>257</v>
      </c>
      <c r="N445" s="117" t="s">
        <v>15</v>
      </c>
      <c r="O445" s="117" t="s">
        <v>52</v>
      </c>
      <c r="P445" s="117" t="s">
        <v>40</v>
      </c>
      <c r="Q445" s="139">
        <v>20005527</v>
      </c>
      <c r="R445" s="117" t="s">
        <v>78</v>
      </c>
      <c r="S445" s="117" t="s">
        <v>109</v>
      </c>
      <c r="T445" s="117" t="s">
        <v>109</v>
      </c>
      <c r="U445" s="117" t="s">
        <v>128</v>
      </c>
      <c r="V445" s="12">
        <f>+IFERROR(IF(VLOOKUP(Q445,COMISIONES!$C$2:$K$33,9,0)&gt;=VLOOKUP(TC!Q445,COMISIONES!$C$2:$I$33,7,0),1,0),0)</f>
        <v>0</v>
      </c>
      <c r="W445" s="262">
        <f>+IF(H445="Segunda",VLOOKUP(_xlfn.CONCAT(P445,G445,H445,V445),'PUNTOS 2021'!$E$23:$F$30,2,0),TC!L445)</f>
        <v>0.5</v>
      </c>
      <c r="X445" s="67">
        <f>+VLOOKUP(Q445,COMISIONES!$C$2:$AO$33,39,0)</f>
        <v>40</v>
      </c>
      <c r="Y445" s="67">
        <f t="shared" si="7"/>
        <v>20</v>
      </c>
      <c r="Z445" s="58" t="s">
        <v>80</v>
      </c>
      <c r="AA445" s="13">
        <f>+VLOOKUP(Q445,COMISIONES!$C$2:$C$33,1,0)</f>
        <v>20005527</v>
      </c>
      <c r="AB445" s="13" t="s">
        <v>269</v>
      </c>
    </row>
    <row r="446" spans="1:28" hidden="1">
      <c r="A446" s="117" t="s">
        <v>821</v>
      </c>
      <c r="B446" s="138">
        <v>45158</v>
      </c>
      <c r="C446" s="117" t="s">
        <v>2158</v>
      </c>
      <c r="D446" s="117" t="s">
        <v>2159</v>
      </c>
      <c r="E446" s="117" t="s">
        <v>2160</v>
      </c>
      <c r="F446" s="117"/>
      <c r="G446" s="117" t="s">
        <v>45</v>
      </c>
      <c r="H446" s="117" t="s">
        <v>1</v>
      </c>
      <c r="I446"/>
      <c r="J446"/>
      <c r="K446" s="117" t="s">
        <v>105</v>
      </c>
      <c r="L446">
        <v>7</v>
      </c>
      <c r="M446" s="117" t="s">
        <v>121</v>
      </c>
      <c r="N446" s="117" t="s">
        <v>3</v>
      </c>
      <c r="O446" s="117" t="s">
        <v>49</v>
      </c>
      <c r="P446" s="117" t="s">
        <v>40</v>
      </c>
      <c r="Q446" s="139">
        <v>20004161</v>
      </c>
      <c r="R446" s="117" t="s">
        <v>78</v>
      </c>
      <c r="S446" s="117" t="s">
        <v>109</v>
      </c>
      <c r="T446" s="117" t="s">
        <v>109</v>
      </c>
      <c r="U446" s="117" t="s">
        <v>128</v>
      </c>
      <c r="V446" s="12">
        <f>+IFERROR(IF(VLOOKUP(Q446,COMISIONES!$C$2:$K$33,9,0)&gt;=VLOOKUP(TC!Q446,COMISIONES!$C$2:$I$33,7,0),1,0),0)</f>
        <v>1</v>
      </c>
      <c r="W446" s="262">
        <f>+IF(H446="Segunda",VLOOKUP(_xlfn.CONCAT(P446,G446,H446,V446),'PUNTOS 2021'!$E$23:$F$30,2,0),TC!L446)</f>
        <v>7</v>
      </c>
      <c r="X446" s="67">
        <f>+VLOOKUP(Q446,COMISIONES!$C$2:$AO$33,39,0)</f>
        <v>65</v>
      </c>
      <c r="Y446" s="67">
        <f t="shared" si="7"/>
        <v>455</v>
      </c>
      <c r="Z446" s="58" t="s">
        <v>80</v>
      </c>
      <c r="AA446" s="13">
        <f>+VLOOKUP(Q446,COMISIONES!$C$2:$C$33,1,0)</f>
        <v>20004161</v>
      </c>
      <c r="AB446" s="13" t="s">
        <v>269</v>
      </c>
    </row>
    <row r="447" spans="1:28" hidden="1">
      <c r="A447" s="117" t="s">
        <v>821</v>
      </c>
      <c r="B447" s="138">
        <v>45158</v>
      </c>
      <c r="C447" s="117" t="s">
        <v>2161</v>
      </c>
      <c r="D447" s="117" t="s">
        <v>2162</v>
      </c>
      <c r="E447" s="117" t="s">
        <v>2163</v>
      </c>
      <c r="F447" s="117"/>
      <c r="G447" s="117" t="s">
        <v>45</v>
      </c>
      <c r="H447" s="117" t="s">
        <v>48</v>
      </c>
      <c r="I447"/>
      <c r="J447"/>
      <c r="K447" s="117" t="s">
        <v>105</v>
      </c>
      <c r="L447">
        <v>0</v>
      </c>
      <c r="M447" s="117" t="s">
        <v>258</v>
      </c>
      <c r="N447" s="117" t="s">
        <v>237</v>
      </c>
      <c r="O447" s="117" t="s">
        <v>51</v>
      </c>
      <c r="P447" s="117" t="s">
        <v>40</v>
      </c>
      <c r="Q447" s="139">
        <v>20006893</v>
      </c>
      <c r="R447" s="117" t="s">
        <v>78</v>
      </c>
      <c r="S447" s="117" t="s">
        <v>107</v>
      </c>
      <c r="T447" s="117" t="s">
        <v>48</v>
      </c>
      <c r="U447" s="117" t="s">
        <v>128</v>
      </c>
      <c r="V447" s="12">
        <f>+IFERROR(IF(VLOOKUP(Q447,COMISIONES!$C$2:$K$33,9,0)&gt;=VLOOKUP(TC!Q447,COMISIONES!$C$2:$I$33,7,0),1,0),0)</f>
        <v>0</v>
      </c>
      <c r="W447" s="262">
        <f>+IF(H447="Segunda",VLOOKUP(_xlfn.CONCAT(P447,G447,H447,V447),'PUNTOS 2021'!$E$23:$F$30,2,0),TC!L447)</f>
        <v>0</v>
      </c>
      <c r="X447" s="67">
        <f>+VLOOKUP(Q447,COMISIONES!$C$2:$AO$33,39,0)</f>
        <v>40</v>
      </c>
      <c r="Y447" s="67">
        <f t="shared" si="7"/>
        <v>0</v>
      </c>
      <c r="Z447" s="58" t="s">
        <v>80</v>
      </c>
      <c r="AA447" s="13">
        <f>+VLOOKUP(Q447,COMISIONES!$C$2:$C$33,1,0)</f>
        <v>20006893</v>
      </c>
      <c r="AB447" s="13" t="s">
        <v>269</v>
      </c>
    </row>
    <row r="448" spans="1:28">
      <c r="A448" s="117" t="s">
        <v>821</v>
      </c>
      <c r="B448" s="138">
        <v>45158</v>
      </c>
      <c r="C448" s="117" t="s">
        <v>2164</v>
      </c>
      <c r="D448" s="117" t="s">
        <v>2165</v>
      </c>
      <c r="E448" s="117" t="s">
        <v>2166</v>
      </c>
      <c r="F448" s="117"/>
      <c r="G448" s="117" t="s">
        <v>45</v>
      </c>
      <c r="H448" s="117" t="s">
        <v>2</v>
      </c>
      <c r="I448"/>
      <c r="J448"/>
      <c r="K448" s="117" t="s">
        <v>105</v>
      </c>
      <c r="L448">
        <v>2</v>
      </c>
      <c r="M448" s="117" t="s">
        <v>114</v>
      </c>
      <c r="N448" s="117" t="s">
        <v>19</v>
      </c>
      <c r="O448" s="117" t="s">
        <v>49</v>
      </c>
      <c r="P448" s="117" t="s">
        <v>40</v>
      </c>
      <c r="Q448" s="139">
        <v>20008625</v>
      </c>
      <c r="R448" s="117" t="s">
        <v>78</v>
      </c>
      <c r="S448" s="117" t="s">
        <v>109</v>
      </c>
      <c r="T448" s="117" t="s">
        <v>109</v>
      </c>
      <c r="U448" s="117" t="s">
        <v>128</v>
      </c>
      <c r="V448" s="12">
        <f>+IFERROR(IF(VLOOKUP(Q448,COMISIONES!$C$2:$K$33,9,0)&gt;=VLOOKUP(TC!Q448,COMISIONES!$C$2:$I$33,7,0),1,0),0)</f>
        <v>0</v>
      </c>
      <c r="W448" s="262">
        <f>+IF(H448="Segunda",VLOOKUP(_xlfn.CONCAT(P448,G448,H448,V448),'PUNTOS 2021'!$E$23:$F$30,2,0),TC!L448)</f>
        <v>0.5</v>
      </c>
      <c r="X448" s="67">
        <f>+VLOOKUP(Q448,COMISIONES!$C$2:$AO$33,39,0)</f>
        <v>20</v>
      </c>
      <c r="Y448" s="67">
        <f t="shared" si="7"/>
        <v>10</v>
      </c>
      <c r="Z448" s="58" t="s">
        <v>80</v>
      </c>
      <c r="AA448" s="13">
        <f>+VLOOKUP(Q448,COMISIONES!$C$2:$C$33,1,0)</f>
        <v>20008625</v>
      </c>
      <c r="AB448" s="13" t="s">
        <v>269</v>
      </c>
    </row>
    <row r="449" spans="1:28" hidden="1">
      <c r="A449" s="117" t="s">
        <v>821</v>
      </c>
      <c r="B449" s="138">
        <v>45158</v>
      </c>
      <c r="C449" s="117" t="s">
        <v>2167</v>
      </c>
      <c r="D449" s="117" t="s">
        <v>2168</v>
      </c>
      <c r="E449" s="117" t="s">
        <v>2169</v>
      </c>
      <c r="F449" s="117"/>
      <c r="G449" s="117" t="s">
        <v>44</v>
      </c>
      <c r="H449" s="117" t="s">
        <v>1</v>
      </c>
      <c r="I449"/>
      <c r="J449"/>
      <c r="K449" s="117" t="s">
        <v>105</v>
      </c>
      <c r="L449">
        <v>5</v>
      </c>
      <c r="M449" s="117" t="s">
        <v>106</v>
      </c>
      <c r="N449" s="117" t="s">
        <v>8</v>
      </c>
      <c r="O449" s="117" t="s">
        <v>51</v>
      </c>
      <c r="P449" s="117" t="s">
        <v>40</v>
      </c>
      <c r="Q449" s="139">
        <v>20002636</v>
      </c>
      <c r="R449" s="117" t="s">
        <v>78</v>
      </c>
      <c r="S449" s="117" t="s">
        <v>109</v>
      </c>
      <c r="T449" s="117" t="s">
        <v>109</v>
      </c>
      <c r="U449" s="117" t="s">
        <v>128</v>
      </c>
      <c r="V449" s="12">
        <f>+IFERROR(IF(VLOOKUP(Q449,COMISIONES!$C$2:$K$33,9,0)&gt;=VLOOKUP(TC!Q449,COMISIONES!$C$2:$I$33,7,0),1,0),0)</f>
        <v>0</v>
      </c>
      <c r="W449" s="262">
        <f>+IF(H449="Segunda",VLOOKUP(_xlfn.CONCAT(P449,G449,H449,V449),'PUNTOS 2021'!$E$23:$F$30,2,0),TC!L449)</f>
        <v>5</v>
      </c>
      <c r="X449" s="67">
        <f>+VLOOKUP(Q449,COMISIONES!$C$2:$AO$33,39,0)</f>
        <v>40</v>
      </c>
      <c r="Y449" s="67">
        <f t="shared" si="7"/>
        <v>200</v>
      </c>
      <c r="Z449" s="58" t="s">
        <v>80</v>
      </c>
      <c r="AA449" s="13">
        <f>+VLOOKUP(Q449,COMISIONES!$C$2:$C$33,1,0)</f>
        <v>20002636</v>
      </c>
      <c r="AB449" s="13" t="s">
        <v>269</v>
      </c>
    </row>
    <row r="450" spans="1:28" hidden="1">
      <c r="A450" s="117" t="s">
        <v>821</v>
      </c>
      <c r="B450" s="138">
        <v>45158</v>
      </c>
      <c r="C450" s="117" t="s">
        <v>2170</v>
      </c>
      <c r="D450" s="117" t="s">
        <v>2171</v>
      </c>
      <c r="E450" s="117" t="s">
        <v>2172</v>
      </c>
      <c r="F450" s="117"/>
      <c r="G450" s="117" t="s">
        <v>43</v>
      </c>
      <c r="H450" s="117" t="s">
        <v>1</v>
      </c>
      <c r="I450"/>
      <c r="J450"/>
      <c r="K450" s="117" t="s">
        <v>105</v>
      </c>
      <c r="L450">
        <v>3</v>
      </c>
      <c r="M450" s="117" t="s">
        <v>159</v>
      </c>
      <c r="N450" s="117" t="s">
        <v>227</v>
      </c>
      <c r="O450" s="117" t="s">
        <v>49</v>
      </c>
      <c r="P450" s="117" t="s">
        <v>40</v>
      </c>
      <c r="Q450" s="139">
        <v>20009690</v>
      </c>
      <c r="R450" s="117" t="s">
        <v>78</v>
      </c>
      <c r="S450" s="117" t="s">
        <v>109</v>
      </c>
      <c r="T450" s="117" t="s">
        <v>109</v>
      </c>
      <c r="U450" s="117" t="s">
        <v>128</v>
      </c>
      <c r="V450" s="12">
        <f>+IFERROR(IF(VLOOKUP(Q450,COMISIONES!$C$2:$K$33,9,0)&gt;=VLOOKUP(TC!Q450,COMISIONES!$C$2:$I$33,7,0),1,0),0)</f>
        <v>0</v>
      </c>
      <c r="W450" s="262">
        <f>+IF(H450="Segunda",VLOOKUP(_xlfn.CONCAT(P450,G450,H450,V450),'PUNTOS 2021'!$E$23:$F$30,2,0),TC!L450)</f>
        <v>3</v>
      </c>
      <c r="X450" s="67">
        <f>+VLOOKUP(Q450,COMISIONES!$C$2:$AO$33,39,0)</f>
        <v>45</v>
      </c>
      <c r="Y450" s="67">
        <f t="shared" si="7"/>
        <v>135</v>
      </c>
      <c r="Z450" s="58" t="s">
        <v>80</v>
      </c>
      <c r="AA450" s="13">
        <f>+VLOOKUP(Q450,COMISIONES!$C$2:$C$33,1,0)</f>
        <v>20009690</v>
      </c>
      <c r="AB450" s="13" t="s">
        <v>269</v>
      </c>
    </row>
    <row r="451" spans="1:28" hidden="1">
      <c r="A451" s="117" t="s">
        <v>821</v>
      </c>
      <c r="B451" s="138">
        <v>45158</v>
      </c>
      <c r="C451" s="117" t="s">
        <v>2173</v>
      </c>
      <c r="D451" s="117" t="s">
        <v>2174</v>
      </c>
      <c r="E451" s="117" t="s">
        <v>2175</v>
      </c>
      <c r="F451" s="117"/>
      <c r="G451" s="117" t="s">
        <v>44</v>
      </c>
      <c r="H451" s="117" t="s">
        <v>1</v>
      </c>
      <c r="I451"/>
      <c r="J451"/>
      <c r="K451" s="117" t="s">
        <v>105</v>
      </c>
      <c r="L451">
        <v>5</v>
      </c>
      <c r="M451" s="117" t="s">
        <v>256</v>
      </c>
      <c r="N451" s="117" t="s">
        <v>236</v>
      </c>
      <c r="O451" s="117" t="s">
        <v>49</v>
      </c>
      <c r="P451" s="117" t="s">
        <v>40</v>
      </c>
      <c r="Q451" s="139">
        <v>20010101</v>
      </c>
      <c r="R451" s="117" t="s">
        <v>78</v>
      </c>
      <c r="S451" s="117" t="s">
        <v>109</v>
      </c>
      <c r="T451" s="117" t="s">
        <v>109</v>
      </c>
      <c r="U451" s="117" t="s">
        <v>128</v>
      </c>
      <c r="V451" s="12">
        <f>+IFERROR(IF(VLOOKUP(Q451,COMISIONES!$C$2:$K$33,9,0)&gt;=VLOOKUP(TC!Q451,COMISIONES!$C$2:$I$33,7,0),1,0),0)</f>
        <v>0</v>
      </c>
      <c r="W451" s="262">
        <f>+IF(H451="Segunda",VLOOKUP(_xlfn.CONCAT(P451,G451,H451,V451),'PUNTOS 2021'!$E$23:$F$30,2,0),TC!L451)</f>
        <v>5</v>
      </c>
      <c r="X451" s="67">
        <f>+VLOOKUP(Q451,COMISIONES!$C$2:$AO$33,39,0)</f>
        <v>65</v>
      </c>
      <c r="Y451" s="67">
        <f t="shared" si="7"/>
        <v>325</v>
      </c>
      <c r="Z451" s="58" t="s">
        <v>80</v>
      </c>
      <c r="AA451" s="13">
        <f>+VLOOKUP(Q451,COMISIONES!$C$2:$C$33,1,0)</f>
        <v>20010101</v>
      </c>
      <c r="AB451" s="13" t="s">
        <v>269</v>
      </c>
    </row>
    <row r="452" spans="1:28" hidden="1">
      <c r="A452" s="117" t="s">
        <v>821</v>
      </c>
      <c r="B452" s="138">
        <v>45158</v>
      </c>
      <c r="C452" s="117" t="s">
        <v>2176</v>
      </c>
      <c r="D452" s="117" t="s">
        <v>2177</v>
      </c>
      <c r="E452" s="117" t="s">
        <v>2178</v>
      </c>
      <c r="F452" s="117"/>
      <c r="G452" s="117" t="s">
        <v>45</v>
      </c>
      <c r="H452" s="117" t="s">
        <v>1</v>
      </c>
      <c r="I452"/>
      <c r="J452"/>
      <c r="K452" s="117" t="s">
        <v>105</v>
      </c>
      <c r="L452">
        <v>7</v>
      </c>
      <c r="M452" s="117" t="s">
        <v>113</v>
      </c>
      <c r="N452" s="117" t="s">
        <v>12</v>
      </c>
      <c r="O452" s="117" t="s">
        <v>49</v>
      </c>
      <c r="P452" s="117" t="s">
        <v>40</v>
      </c>
      <c r="Q452" s="139">
        <v>20007726</v>
      </c>
      <c r="R452" s="117" t="s">
        <v>78</v>
      </c>
      <c r="S452" s="117" t="s">
        <v>109</v>
      </c>
      <c r="T452" s="117" t="s">
        <v>109</v>
      </c>
      <c r="U452" s="117" t="s">
        <v>128</v>
      </c>
      <c r="V452" s="12">
        <f>+IFERROR(IF(VLOOKUP(Q452,COMISIONES!$C$2:$K$33,9,0)&gt;=VLOOKUP(TC!Q452,COMISIONES!$C$2:$I$33,7,0),1,0),0)</f>
        <v>1</v>
      </c>
      <c r="W452" s="262">
        <f>+IF(H452="Segunda",VLOOKUP(_xlfn.CONCAT(P452,G452,H452,V452),'PUNTOS 2021'!$E$23:$F$30,2,0),TC!L452)</f>
        <v>7</v>
      </c>
      <c r="X452" s="67">
        <f>+VLOOKUP(Q452,COMISIONES!$C$2:$AO$33,39,0)</f>
        <v>65</v>
      </c>
      <c r="Y452" s="67">
        <f t="shared" si="7"/>
        <v>455</v>
      </c>
      <c r="Z452" s="58" t="s">
        <v>80</v>
      </c>
      <c r="AA452" s="13">
        <f>+VLOOKUP(Q452,COMISIONES!$C$2:$C$33,1,0)</f>
        <v>20007726</v>
      </c>
      <c r="AB452" s="13" t="s">
        <v>269</v>
      </c>
    </row>
    <row r="453" spans="1:28">
      <c r="A453" s="117" t="s">
        <v>821</v>
      </c>
      <c r="B453" s="138">
        <v>45158</v>
      </c>
      <c r="C453" s="117" t="s">
        <v>2179</v>
      </c>
      <c r="D453" s="117" t="s">
        <v>2180</v>
      </c>
      <c r="E453" s="117" t="s">
        <v>2181</v>
      </c>
      <c r="F453" s="117"/>
      <c r="G453" s="117" t="s">
        <v>45</v>
      </c>
      <c r="H453" s="117" t="s">
        <v>2</v>
      </c>
      <c r="I453"/>
      <c r="J453"/>
      <c r="K453" s="117" t="s">
        <v>105</v>
      </c>
      <c r="L453">
        <v>2</v>
      </c>
      <c r="M453" s="117" t="s">
        <v>273</v>
      </c>
      <c r="N453" s="117" t="s">
        <v>292</v>
      </c>
      <c r="O453" s="117" t="s">
        <v>51</v>
      </c>
      <c r="P453" s="117" t="s">
        <v>40</v>
      </c>
      <c r="Q453" s="139">
        <v>20007943</v>
      </c>
      <c r="R453" s="117" t="s">
        <v>78</v>
      </c>
      <c r="S453" s="117" t="s">
        <v>109</v>
      </c>
      <c r="T453" s="117" t="s">
        <v>109</v>
      </c>
      <c r="U453" s="117" t="s">
        <v>128</v>
      </c>
      <c r="V453" s="12">
        <f>+IFERROR(IF(VLOOKUP(Q453,COMISIONES!$C$2:$K$33,9,0)&gt;=VLOOKUP(TC!Q453,COMISIONES!$C$2:$I$33,7,0),1,0),0)</f>
        <v>0</v>
      </c>
      <c r="W453" s="262">
        <f>+IF(H453="Segunda",VLOOKUP(_xlfn.CONCAT(P453,G453,H453,V453),'PUNTOS 2021'!$E$23:$F$30,2,0),TC!L453)</f>
        <v>0.5</v>
      </c>
      <c r="X453" s="67">
        <f>+VLOOKUP(Q453,COMISIONES!$C$2:$AO$33,39,0)</f>
        <v>20</v>
      </c>
      <c r="Y453" s="67">
        <f t="shared" si="7"/>
        <v>10</v>
      </c>
      <c r="Z453" s="58" t="s">
        <v>80</v>
      </c>
      <c r="AA453" s="13">
        <f>+VLOOKUP(Q453,COMISIONES!$C$2:$C$33,1,0)</f>
        <v>20007943</v>
      </c>
      <c r="AB453" s="13" t="s">
        <v>269</v>
      </c>
    </row>
    <row r="454" spans="1:28" hidden="1">
      <c r="A454" s="117" t="s">
        <v>821</v>
      </c>
      <c r="B454" s="138">
        <v>45158</v>
      </c>
      <c r="C454" s="117" t="s">
        <v>2182</v>
      </c>
      <c r="D454" s="117" t="s">
        <v>2183</v>
      </c>
      <c r="E454" s="117" t="s">
        <v>2184</v>
      </c>
      <c r="F454" s="117"/>
      <c r="G454" s="117" t="s">
        <v>43</v>
      </c>
      <c r="H454" s="117" t="s">
        <v>1</v>
      </c>
      <c r="I454"/>
      <c r="J454"/>
      <c r="K454" s="117" t="s">
        <v>105</v>
      </c>
      <c r="L454">
        <v>3</v>
      </c>
      <c r="M454" s="117" t="s">
        <v>123</v>
      </c>
      <c r="N454" s="117" t="s">
        <v>23</v>
      </c>
      <c r="O454" s="117" t="s">
        <v>49</v>
      </c>
      <c r="P454" s="117" t="s">
        <v>40</v>
      </c>
      <c r="Q454" s="139">
        <v>20009269</v>
      </c>
      <c r="R454" s="117" t="s">
        <v>78</v>
      </c>
      <c r="S454" s="117" t="s">
        <v>109</v>
      </c>
      <c r="T454" s="117" t="s">
        <v>109</v>
      </c>
      <c r="U454" s="117" t="s">
        <v>128</v>
      </c>
      <c r="V454" s="12">
        <f>+IFERROR(IF(VLOOKUP(Q454,COMISIONES!$C$2:$K$33,9,0)&gt;=VLOOKUP(TC!Q454,COMISIONES!$C$2:$I$33,7,0),1,0),0)</f>
        <v>1</v>
      </c>
      <c r="W454" s="262">
        <f>+IF(H454="Segunda",VLOOKUP(_xlfn.CONCAT(P454,G454,H454,V454),'PUNTOS 2021'!$E$23:$F$30,2,0),TC!L454)</f>
        <v>3</v>
      </c>
      <c r="X454" s="67">
        <f>+VLOOKUP(Q454,COMISIONES!$C$2:$AO$33,39,0)</f>
        <v>65</v>
      </c>
      <c r="Y454" s="67">
        <f t="shared" si="7"/>
        <v>195</v>
      </c>
      <c r="Z454" s="58" t="s">
        <v>80</v>
      </c>
      <c r="AA454" s="13">
        <f>+VLOOKUP(Q454,COMISIONES!$C$2:$C$33,1,0)</f>
        <v>20009269</v>
      </c>
      <c r="AB454" s="13" t="s">
        <v>269</v>
      </c>
    </row>
    <row r="455" spans="1:28" hidden="1">
      <c r="A455" s="117" t="s">
        <v>821</v>
      </c>
      <c r="B455" s="138">
        <v>45158</v>
      </c>
      <c r="C455" s="117" t="s">
        <v>2185</v>
      </c>
      <c r="D455" s="117" t="s">
        <v>2186</v>
      </c>
      <c r="E455" s="117" t="s">
        <v>2187</v>
      </c>
      <c r="F455" s="117"/>
      <c r="G455" s="117" t="s">
        <v>43</v>
      </c>
      <c r="H455" s="117" t="s">
        <v>1</v>
      </c>
      <c r="I455"/>
      <c r="J455"/>
      <c r="K455" s="117" t="s">
        <v>105</v>
      </c>
      <c r="L455">
        <v>3</v>
      </c>
      <c r="M455" s="117" t="s">
        <v>255</v>
      </c>
      <c r="N455" s="117" t="s">
        <v>4</v>
      </c>
      <c r="O455" s="117" t="s">
        <v>51</v>
      </c>
      <c r="P455" s="117" t="s">
        <v>40</v>
      </c>
      <c r="Q455" s="139">
        <v>20000033</v>
      </c>
      <c r="R455" s="117" t="s">
        <v>78</v>
      </c>
      <c r="S455" s="117" t="s">
        <v>109</v>
      </c>
      <c r="T455" s="117" t="s">
        <v>109</v>
      </c>
      <c r="U455" s="117" t="s">
        <v>128</v>
      </c>
      <c r="V455" s="12">
        <f>+IFERROR(IF(VLOOKUP(Q455,COMISIONES!$C$2:$K$33,9,0)&gt;=VLOOKUP(TC!Q455,COMISIONES!$C$2:$I$33,7,0),1,0),0)</f>
        <v>1</v>
      </c>
      <c r="W455" s="262">
        <f>+IF(H455="Segunda",VLOOKUP(_xlfn.CONCAT(P455,G455,H455,V455),'PUNTOS 2021'!$E$23:$F$30,2,0),TC!L455)</f>
        <v>3</v>
      </c>
      <c r="X455" s="67">
        <f>+VLOOKUP(Q455,COMISIONES!$C$2:$AO$33,39,0)</f>
        <v>60</v>
      </c>
      <c r="Y455" s="67">
        <f t="shared" si="7"/>
        <v>180</v>
      </c>
      <c r="Z455" s="58" t="s">
        <v>80</v>
      </c>
      <c r="AA455" s="13">
        <f>+VLOOKUP(Q455,COMISIONES!$C$2:$C$33,1,0)</f>
        <v>20000033</v>
      </c>
      <c r="AB455" s="13" t="s">
        <v>269</v>
      </c>
    </row>
    <row r="456" spans="1:28" hidden="1">
      <c r="A456" s="117" t="s">
        <v>821</v>
      </c>
      <c r="B456" s="138">
        <v>45158</v>
      </c>
      <c r="C456" s="117" t="s">
        <v>2188</v>
      </c>
      <c r="D456" s="117" t="s">
        <v>2189</v>
      </c>
      <c r="E456" s="117" t="s">
        <v>2190</v>
      </c>
      <c r="F456" s="117"/>
      <c r="G456" s="117" t="s">
        <v>45</v>
      </c>
      <c r="H456" s="117" t="s">
        <v>1</v>
      </c>
      <c r="I456"/>
      <c r="J456"/>
      <c r="K456" s="117" t="s">
        <v>105</v>
      </c>
      <c r="L456">
        <v>7</v>
      </c>
      <c r="M456" s="117" t="s">
        <v>122</v>
      </c>
      <c r="N456" s="117" t="s">
        <v>5</v>
      </c>
      <c r="O456" s="117" t="s">
        <v>50</v>
      </c>
      <c r="P456" s="117" t="s">
        <v>40</v>
      </c>
      <c r="Q456" s="139">
        <v>20004566</v>
      </c>
      <c r="R456" s="117" t="s">
        <v>78</v>
      </c>
      <c r="S456" s="117" t="s">
        <v>109</v>
      </c>
      <c r="T456" s="117" t="s">
        <v>109</v>
      </c>
      <c r="U456" s="117" t="s">
        <v>128</v>
      </c>
      <c r="V456" s="12">
        <f>+IFERROR(IF(VLOOKUP(Q456,COMISIONES!$C$2:$K$33,9,0)&gt;=VLOOKUP(TC!Q456,COMISIONES!$C$2:$I$33,7,0),1,0),0)</f>
        <v>1</v>
      </c>
      <c r="W456" s="262">
        <f>+IF(H456="Segunda",VLOOKUP(_xlfn.CONCAT(P456,G456,H456,V456),'PUNTOS 2021'!$E$23:$F$30,2,0),TC!L456)</f>
        <v>7</v>
      </c>
      <c r="X456" s="67">
        <f>+VLOOKUP(Q456,COMISIONES!$C$2:$AO$33,39,0)</f>
        <v>60</v>
      </c>
      <c r="Y456" s="67">
        <f t="shared" si="7"/>
        <v>420</v>
      </c>
      <c r="Z456" s="58" t="s">
        <v>80</v>
      </c>
      <c r="AA456" s="13">
        <f>+VLOOKUP(Q456,COMISIONES!$C$2:$C$33,1,0)</f>
        <v>20004566</v>
      </c>
      <c r="AB456" s="13" t="s">
        <v>269</v>
      </c>
    </row>
    <row r="457" spans="1:28" hidden="1">
      <c r="A457" s="117" t="s">
        <v>821</v>
      </c>
      <c r="B457" s="138">
        <v>45158</v>
      </c>
      <c r="C457" s="117" t="s">
        <v>2191</v>
      </c>
      <c r="D457" s="117" t="s">
        <v>2192</v>
      </c>
      <c r="E457" s="117" t="s">
        <v>2193</v>
      </c>
      <c r="F457" s="117"/>
      <c r="G457" s="117" t="s">
        <v>45</v>
      </c>
      <c r="H457" s="117" t="s">
        <v>1</v>
      </c>
      <c r="I457"/>
      <c r="J457"/>
      <c r="K457" s="117" t="s">
        <v>105</v>
      </c>
      <c r="L457">
        <v>7</v>
      </c>
      <c r="M457" s="117" t="s">
        <v>259</v>
      </c>
      <c r="N457" s="117" t="s">
        <v>20</v>
      </c>
      <c r="O457" s="117" t="s">
        <v>50</v>
      </c>
      <c r="P457" s="117" t="s">
        <v>40</v>
      </c>
      <c r="Q457" s="139">
        <v>20008700</v>
      </c>
      <c r="R457" s="117" t="s">
        <v>78</v>
      </c>
      <c r="S457" s="117" t="s">
        <v>109</v>
      </c>
      <c r="T457" s="117" t="s">
        <v>109</v>
      </c>
      <c r="U457" s="117" t="s">
        <v>128</v>
      </c>
      <c r="V457" s="12">
        <f>+IFERROR(IF(VLOOKUP(Q457,COMISIONES!$C$2:$K$33,9,0)&gt;=VLOOKUP(TC!Q457,COMISIONES!$C$2:$I$33,7,0),1,0),0)</f>
        <v>0</v>
      </c>
      <c r="W457" s="262">
        <f>+IF(H457="Segunda",VLOOKUP(_xlfn.CONCAT(P457,G457,H457,V457),'PUNTOS 2021'!$E$23:$F$30,2,0),TC!L457)</f>
        <v>7</v>
      </c>
      <c r="X457" s="67">
        <f>+VLOOKUP(Q457,COMISIONES!$C$2:$AO$33,39,0)</f>
        <v>40</v>
      </c>
      <c r="Y457" s="67">
        <f t="shared" si="7"/>
        <v>280</v>
      </c>
      <c r="Z457" s="58" t="s">
        <v>80</v>
      </c>
      <c r="AA457" s="13">
        <f>+VLOOKUP(Q457,COMISIONES!$C$2:$C$33,1,0)</f>
        <v>20008700</v>
      </c>
      <c r="AB457" s="13" t="s">
        <v>269</v>
      </c>
    </row>
    <row r="458" spans="1:28" hidden="1">
      <c r="A458" s="117" t="s">
        <v>821</v>
      </c>
      <c r="B458" s="138">
        <v>45158</v>
      </c>
      <c r="C458" s="117" t="s">
        <v>2194</v>
      </c>
      <c r="D458" s="117" t="s">
        <v>2195</v>
      </c>
      <c r="E458" s="117" t="s">
        <v>2196</v>
      </c>
      <c r="F458" s="117"/>
      <c r="G458" s="117" t="s">
        <v>43</v>
      </c>
      <c r="H458" s="117" t="s">
        <v>1</v>
      </c>
      <c r="I458"/>
      <c r="J458"/>
      <c r="K458" s="117" t="s">
        <v>105</v>
      </c>
      <c r="L458">
        <v>3</v>
      </c>
      <c r="M458" s="117" t="s">
        <v>121</v>
      </c>
      <c r="N458" s="117" t="s">
        <v>3</v>
      </c>
      <c r="O458" s="117" t="s">
        <v>49</v>
      </c>
      <c r="P458" s="117" t="s">
        <v>40</v>
      </c>
      <c r="Q458" s="139">
        <v>20004161</v>
      </c>
      <c r="R458" s="117" t="s">
        <v>78</v>
      </c>
      <c r="S458" s="117" t="s">
        <v>109</v>
      </c>
      <c r="T458" s="117" t="s">
        <v>109</v>
      </c>
      <c r="U458" s="117" t="s">
        <v>128</v>
      </c>
      <c r="V458" s="12">
        <f>+IFERROR(IF(VLOOKUP(Q458,COMISIONES!$C$2:$K$33,9,0)&gt;=VLOOKUP(TC!Q458,COMISIONES!$C$2:$I$33,7,0),1,0),0)</f>
        <v>1</v>
      </c>
      <c r="W458" s="262">
        <f>+IF(H458="Segunda",VLOOKUP(_xlfn.CONCAT(P458,G458,H458,V458),'PUNTOS 2021'!$E$23:$F$30,2,0),TC!L458)</f>
        <v>3</v>
      </c>
      <c r="X458" s="67">
        <f>+VLOOKUP(Q458,COMISIONES!$C$2:$AO$33,39,0)</f>
        <v>65</v>
      </c>
      <c r="Y458" s="67">
        <f t="shared" si="7"/>
        <v>195</v>
      </c>
      <c r="Z458" s="58" t="s">
        <v>80</v>
      </c>
      <c r="AA458" s="13">
        <f>+VLOOKUP(Q458,COMISIONES!$C$2:$C$33,1,0)</f>
        <v>20004161</v>
      </c>
      <c r="AB458" s="13" t="s">
        <v>269</v>
      </c>
    </row>
    <row r="459" spans="1:28">
      <c r="A459" s="117" t="s">
        <v>821</v>
      </c>
      <c r="B459" s="138">
        <v>45158</v>
      </c>
      <c r="C459" s="117" t="s">
        <v>2197</v>
      </c>
      <c r="D459" s="117" t="s">
        <v>2198</v>
      </c>
      <c r="E459" s="117" t="s">
        <v>2199</v>
      </c>
      <c r="F459" s="117"/>
      <c r="G459" s="117" t="s">
        <v>45</v>
      </c>
      <c r="H459" s="117" t="s">
        <v>2</v>
      </c>
      <c r="I459"/>
      <c r="J459"/>
      <c r="K459" s="117" t="s">
        <v>105</v>
      </c>
      <c r="L459">
        <v>2</v>
      </c>
      <c r="M459" s="117" t="s">
        <v>262</v>
      </c>
      <c r="N459" s="117" t="s">
        <v>7</v>
      </c>
      <c r="O459" s="117" t="s">
        <v>52</v>
      </c>
      <c r="P459" s="117" t="s">
        <v>40</v>
      </c>
      <c r="Q459" s="139">
        <v>20007352</v>
      </c>
      <c r="R459" s="117" t="s">
        <v>78</v>
      </c>
      <c r="S459" s="117" t="s">
        <v>109</v>
      </c>
      <c r="T459" s="117" t="s">
        <v>109</v>
      </c>
      <c r="U459" s="117" t="s">
        <v>128</v>
      </c>
      <c r="V459" s="12">
        <f>+IFERROR(IF(VLOOKUP(Q459,COMISIONES!$C$2:$K$33,9,0)&gt;=VLOOKUP(TC!Q459,COMISIONES!$C$2:$I$33,7,0),1,0),0)</f>
        <v>0</v>
      </c>
      <c r="W459" s="262">
        <f>+IF(H459="Segunda",VLOOKUP(_xlfn.CONCAT(P459,G459,H459,V459),'PUNTOS 2021'!$E$23:$F$30,2,0),TC!L459)</f>
        <v>0.5</v>
      </c>
      <c r="X459" s="67">
        <f>+VLOOKUP(Q459,COMISIONES!$C$2:$AO$33,39,0)</f>
        <v>30</v>
      </c>
      <c r="Y459" s="67">
        <f t="shared" si="7"/>
        <v>15</v>
      </c>
      <c r="Z459" s="58" t="s">
        <v>80</v>
      </c>
      <c r="AA459" s="13">
        <f>+VLOOKUP(Q459,COMISIONES!$C$2:$C$33,1,0)</f>
        <v>20007352</v>
      </c>
      <c r="AB459" s="13" t="s">
        <v>269</v>
      </c>
    </row>
    <row r="460" spans="1:28">
      <c r="A460" s="117" t="s">
        <v>821</v>
      </c>
      <c r="B460" s="138">
        <v>45158</v>
      </c>
      <c r="C460" s="117" t="s">
        <v>2200</v>
      </c>
      <c r="D460" s="117" t="s">
        <v>2201</v>
      </c>
      <c r="E460" s="117" t="s">
        <v>2202</v>
      </c>
      <c r="F460" s="117"/>
      <c r="G460" s="117" t="s">
        <v>45</v>
      </c>
      <c r="H460" s="117" t="s">
        <v>2</v>
      </c>
      <c r="I460"/>
      <c r="J460"/>
      <c r="K460" s="117" t="s">
        <v>105</v>
      </c>
      <c r="L460">
        <v>2</v>
      </c>
      <c r="M460" s="117" t="s">
        <v>113</v>
      </c>
      <c r="N460" s="117" t="s">
        <v>12</v>
      </c>
      <c r="O460" s="117" t="s">
        <v>49</v>
      </c>
      <c r="P460" s="117" t="s">
        <v>40</v>
      </c>
      <c r="Q460" s="139">
        <v>20007726</v>
      </c>
      <c r="R460" s="117" t="s">
        <v>78</v>
      </c>
      <c r="S460" s="117" t="s">
        <v>109</v>
      </c>
      <c r="T460" s="117" t="s">
        <v>109</v>
      </c>
      <c r="U460" s="117" t="s">
        <v>128</v>
      </c>
      <c r="V460" s="12">
        <f>+IFERROR(IF(VLOOKUP(Q460,COMISIONES!$C$2:$K$33,9,0)&gt;=VLOOKUP(TC!Q460,COMISIONES!$C$2:$I$33,7,0),1,0),0)</f>
        <v>1</v>
      </c>
      <c r="W460" s="262">
        <f>+IF(H460="Segunda",VLOOKUP(_xlfn.CONCAT(P460,G460,H460,V460),'PUNTOS 2021'!$E$23:$F$30,2,0),TC!L460)</f>
        <v>2</v>
      </c>
      <c r="X460" s="67">
        <f>+VLOOKUP(Q460,COMISIONES!$C$2:$AO$33,39,0)</f>
        <v>65</v>
      </c>
      <c r="Y460" s="67">
        <f t="shared" si="7"/>
        <v>130</v>
      </c>
      <c r="Z460" s="58" t="s">
        <v>80</v>
      </c>
      <c r="AA460" s="13">
        <f>+VLOOKUP(Q460,COMISIONES!$C$2:$C$33,1,0)</f>
        <v>20007726</v>
      </c>
      <c r="AB460" s="13" t="s">
        <v>269</v>
      </c>
    </row>
    <row r="461" spans="1:28" hidden="1">
      <c r="A461" s="117" t="s">
        <v>821</v>
      </c>
      <c r="B461" s="138">
        <v>45158</v>
      </c>
      <c r="C461" s="117" t="s">
        <v>2203</v>
      </c>
      <c r="D461" s="117" t="s">
        <v>2204</v>
      </c>
      <c r="E461" s="117" t="s">
        <v>2205</v>
      </c>
      <c r="F461" s="117"/>
      <c r="G461" s="117" t="s">
        <v>44</v>
      </c>
      <c r="H461" s="117" t="s">
        <v>1</v>
      </c>
      <c r="I461"/>
      <c r="J461"/>
      <c r="K461" s="117" t="s">
        <v>105</v>
      </c>
      <c r="L461">
        <v>5</v>
      </c>
      <c r="M461" s="117" t="s">
        <v>125</v>
      </c>
      <c r="N461" s="117" t="s">
        <v>18</v>
      </c>
      <c r="O461" s="117" t="s">
        <v>50</v>
      </c>
      <c r="P461" s="117" t="s">
        <v>40</v>
      </c>
      <c r="Q461" s="139">
        <v>20008439</v>
      </c>
      <c r="R461" s="117" t="s">
        <v>78</v>
      </c>
      <c r="S461" s="117" t="s">
        <v>109</v>
      </c>
      <c r="T461" s="117" t="s">
        <v>109</v>
      </c>
      <c r="U461" s="117" t="s">
        <v>128</v>
      </c>
      <c r="V461" s="12">
        <f>+IFERROR(IF(VLOOKUP(Q461,COMISIONES!$C$2:$K$33,9,0)&gt;=VLOOKUP(TC!Q461,COMISIONES!$C$2:$I$33,7,0),1,0),0)</f>
        <v>1</v>
      </c>
      <c r="W461" s="262">
        <f>+IF(H461="Segunda",VLOOKUP(_xlfn.CONCAT(P461,G461,H461,V461),'PUNTOS 2021'!$E$23:$F$30,2,0),TC!L461)</f>
        <v>5</v>
      </c>
      <c r="X461" s="67">
        <f>+VLOOKUP(Q461,COMISIONES!$C$2:$AO$33,39,0)</f>
        <v>60</v>
      </c>
      <c r="Y461" s="67">
        <f t="shared" si="7"/>
        <v>300</v>
      </c>
      <c r="Z461" s="58" t="s">
        <v>80</v>
      </c>
      <c r="AA461" s="13">
        <f>+VLOOKUP(Q461,COMISIONES!$C$2:$C$33,1,0)</f>
        <v>20008439</v>
      </c>
      <c r="AB461" s="13" t="s">
        <v>269</v>
      </c>
    </row>
    <row r="462" spans="1:28">
      <c r="A462" s="117" t="s">
        <v>821</v>
      </c>
      <c r="B462" s="138">
        <v>45158</v>
      </c>
      <c r="C462" s="117" t="s">
        <v>2206</v>
      </c>
      <c r="D462" s="117" t="s">
        <v>2207</v>
      </c>
      <c r="E462" s="117" t="s">
        <v>2208</v>
      </c>
      <c r="F462" s="117"/>
      <c r="G462" s="117" t="s">
        <v>43</v>
      </c>
      <c r="H462" s="117" t="s">
        <v>2</v>
      </c>
      <c r="I462"/>
      <c r="J462"/>
      <c r="K462" s="117" t="s">
        <v>105</v>
      </c>
      <c r="L462">
        <v>1</v>
      </c>
      <c r="M462" s="117" t="s">
        <v>122</v>
      </c>
      <c r="N462" s="117" t="s">
        <v>5</v>
      </c>
      <c r="O462" s="117" t="s">
        <v>50</v>
      </c>
      <c r="P462" s="117" t="s">
        <v>40</v>
      </c>
      <c r="Q462" s="139">
        <v>20004566</v>
      </c>
      <c r="R462" s="117" t="s">
        <v>78</v>
      </c>
      <c r="S462" s="117" t="s">
        <v>109</v>
      </c>
      <c r="T462" s="117" t="s">
        <v>109</v>
      </c>
      <c r="U462" s="117" t="s">
        <v>128</v>
      </c>
      <c r="V462" s="12">
        <f>+IFERROR(IF(VLOOKUP(Q462,COMISIONES!$C$2:$K$33,9,0)&gt;=VLOOKUP(TC!Q462,COMISIONES!$C$2:$I$33,7,0),1,0),0)</f>
        <v>1</v>
      </c>
      <c r="W462" s="262">
        <f>+IF(H462="Segunda",VLOOKUP(_xlfn.CONCAT(P462,G462,H462,V462),'PUNTOS 2021'!$E$23:$F$30,2,0),TC!L462)</f>
        <v>1</v>
      </c>
      <c r="X462" s="67">
        <f>+VLOOKUP(Q462,COMISIONES!$C$2:$AO$33,39,0)</f>
        <v>60</v>
      </c>
      <c r="Y462" s="67">
        <f t="shared" si="7"/>
        <v>60</v>
      </c>
      <c r="Z462" s="58" t="s">
        <v>80</v>
      </c>
      <c r="AA462" s="13">
        <f>+VLOOKUP(Q462,COMISIONES!$C$2:$C$33,1,0)</f>
        <v>20004566</v>
      </c>
      <c r="AB462" s="13" t="s">
        <v>269</v>
      </c>
    </row>
    <row r="463" spans="1:28" hidden="1">
      <c r="A463" s="117" t="s">
        <v>821</v>
      </c>
      <c r="B463" s="138">
        <v>45158</v>
      </c>
      <c r="C463" s="117" t="s">
        <v>2209</v>
      </c>
      <c r="D463" s="117" t="s">
        <v>2210</v>
      </c>
      <c r="E463" s="117" t="s">
        <v>2211</v>
      </c>
      <c r="F463" s="117"/>
      <c r="G463" s="117" t="s">
        <v>43</v>
      </c>
      <c r="H463" s="117" t="s">
        <v>1</v>
      </c>
      <c r="I463"/>
      <c r="J463"/>
      <c r="K463" s="117" t="s">
        <v>105</v>
      </c>
      <c r="L463">
        <v>3</v>
      </c>
      <c r="M463" s="117" t="s">
        <v>262</v>
      </c>
      <c r="N463" s="117" t="s">
        <v>7</v>
      </c>
      <c r="O463" s="117" t="s">
        <v>52</v>
      </c>
      <c r="P463" s="117" t="s">
        <v>40</v>
      </c>
      <c r="Q463" s="139">
        <v>20007352</v>
      </c>
      <c r="R463" s="117" t="s">
        <v>78</v>
      </c>
      <c r="S463" s="117" t="s">
        <v>109</v>
      </c>
      <c r="T463" s="117" t="s">
        <v>109</v>
      </c>
      <c r="U463" s="117" t="s">
        <v>128</v>
      </c>
      <c r="V463" s="12">
        <f>+IFERROR(IF(VLOOKUP(Q463,COMISIONES!$C$2:$K$33,9,0)&gt;=VLOOKUP(TC!Q463,COMISIONES!$C$2:$I$33,7,0),1,0),0)</f>
        <v>0</v>
      </c>
      <c r="W463" s="262">
        <f>+IF(H463="Segunda",VLOOKUP(_xlfn.CONCAT(P463,G463,H463,V463),'PUNTOS 2021'!$E$23:$F$30,2,0),TC!L463)</f>
        <v>3</v>
      </c>
      <c r="X463" s="67">
        <f>+VLOOKUP(Q463,COMISIONES!$C$2:$AO$33,39,0)</f>
        <v>30</v>
      </c>
      <c r="Y463" s="67">
        <f t="shared" si="7"/>
        <v>90</v>
      </c>
      <c r="Z463" s="58" t="s">
        <v>80</v>
      </c>
      <c r="AA463" s="13">
        <f>+VLOOKUP(Q463,COMISIONES!$C$2:$C$33,1,0)</f>
        <v>20007352</v>
      </c>
      <c r="AB463" s="13" t="s">
        <v>269</v>
      </c>
    </row>
    <row r="464" spans="1:28">
      <c r="A464" s="117" t="s">
        <v>821</v>
      </c>
      <c r="B464" s="138">
        <v>45158</v>
      </c>
      <c r="C464" s="117" t="s">
        <v>2212</v>
      </c>
      <c r="D464" s="117" t="s">
        <v>2213</v>
      </c>
      <c r="E464" s="117" t="s">
        <v>2214</v>
      </c>
      <c r="F464" s="117"/>
      <c r="G464" s="117" t="s">
        <v>44</v>
      </c>
      <c r="H464" s="117" t="s">
        <v>2</v>
      </c>
      <c r="I464"/>
      <c r="J464"/>
      <c r="K464" s="117" t="s">
        <v>105</v>
      </c>
      <c r="L464">
        <v>1</v>
      </c>
      <c r="M464" s="117" t="s">
        <v>112</v>
      </c>
      <c r="N464" s="117" t="s">
        <v>9</v>
      </c>
      <c r="O464" s="117" t="s">
        <v>51</v>
      </c>
      <c r="P464" s="117" t="s">
        <v>40</v>
      </c>
      <c r="Q464" s="139">
        <v>20004638</v>
      </c>
      <c r="R464" s="117" t="s">
        <v>78</v>
      </c>
      <c r="S464" s="117" t="s">
        <v>109</v>
      </c>
      <c r="T464" s="117" t="s">
        <v>109</v>
      </c>
      <c r="U464" s="117" t="s">
        <v>128</v>
      </c>
      <c r="V464" s="12">
        <f>+IFERROR(IF(VLOOKUP(Q464,COMISIONES!$C$2:$K$33,9,0)&gt;=VLOOKUP(TC!Q464,COMISIONES!$C$2:$I$33,7,0),1,0),0)</f>
        <v>0</v>
      </c>
      <c r="W464" s="262">
        <f>+IF(H464="Segunda",VLOOKUP(_xlfn.CONCAT(P464,G464,H464,V464),'PUNTOS 2021'!$E$23:$F$30,2,0),TC!L464)</f>
        <v>0.5</v>
      </c>
      <c r="X464" s="67">
        <f>+VLOOKUP(Q464,COMISIONES!$C$2:$AO$33,39,0)</f>
        <v>60</v>
      </c>
      <c r="Y464" s="67">
        <f t="shared" si="7"/>
        <v>30</v>
      </c>
      <c r="Z464" s="58" t="s">
        <v>80</v>
      </c>
      <c r="AA464" s="13">
        <f>+VLOOKUP(Q464,COMISIONES!$C$2:$C$33,1,0)</f>
        <v>20004638</v>
      </c>
      <c r="AB464" s="13" t="s">
        <v>269</v>
      </c>
    </row>
    <row r="465" spans="1:28" hidden="1">
      <c r="A465" s="117" t="s">
        <v>821</v>
      </c>
      <c r="B465" s="138">
        <v>45158</v>
      </c>
      <c r="C465" s="117" t="s">
        <v>2215</v>
      </c>
      <c r="D465" s="117" t="s">
        <v>2216</v>
      </c>
      <c r="E465" s="117" t="s">
        <v>2217</v>
      </c>
      <c r="F465" s="117"/>
      <c r="G465" s="117" t="s">
        <v>44</v>
      </c>
      <c r="H465" s="117" t="s">
        <v>1</v>
      </c>
      <c r="I465"/>
      <c r="J465"/>
      <c r="K465" s="117" t="s">
        <v>105</v>
      </c>
      <c r="L465">
        <v>5</v>
      </c>
      <c r="M465" s="117" t="s">
        <v>260</v>
      </c>
      <c r="N465" s="117" t="s">
        <v>261</v>
      </c>
      <c r="O465" s="117" t="s">
        <v>52</v>
      </c>
      <c r="P465" s="117" t="s">
        <v>40</v>
      </c>
      <c r="Q465" s="139">
        <v>20010262</v>
      </c>
      <c r="R465" s="117" t="s">
        <v>78</v>
      </c>
      <c r="S465" s="117" t="s">
        <v>109</v>
      </c>
      <c r="T465" s="117" t="s">
        <v>109</v>
      </c>
      <c r="U465" s="117" t="s">
        <v>128</v>
      </c>
      <c r="V465" s="12">
        <f>+IFERROR(IF(VLOOKUP(Q465,COMISIONES!$C$2:$K$33,9,0)&gt;=VLOOKUP(TC!Q465,COMISIONES!$C$2:$I$33,7,0),1,0),0)</f>
        <v>0</v>
      </c>
      <c r="W465" s="262">
        <f>+IF(H465="Segunda",VLOOKUP(_xlfn.CONCAT(P465,G465,H465,V465),'PUNTOS 2021'!$E$23:$F$30,2,0),TC!L465)</f>
        <v>5</v>
      </c>
      <c r="X465" s="67">
        <f>+VLOOKUP(Q465,COMISIONES!$C$2:$AO$33,39,0)</f>
        <v>60</v>
      </c>
      <c r="Y465" s="67">
        <f t="shared" si="7"/>
        <v>300</v>
      </c>
      <c r="Z465" s="58" t="s">
        <v>80</v>
      </c>
      <c r="AA465" s="13">
        <f>+VLOOKUP(Q465,COMISIONES!$C$2:$C$33,1,0)</f>
        <v>20010262</v>
      </c>
      <c r="AB465" s="13" t="s">
        <v>269</v>
      </c>
    </row>
    <row r="466" spans="1:28" hidden="1">
      <c r="A466" s="117" t="s">
        <v>821</v>
      </c>
      <c r="B466" s="138">
        <v>45158</v>
      </c>
      <c r="C466" s="117" t="s">
        <v>2218</v>
      </c>
      <c r="D466" s="117" t="s">
        <v>2219</v>
      </c>
      <c r="E466" s="117" t="s">
        <v>2220</v>
      </c>
      <c r="F466" s="117"/>
      <c r="G466" s="117" t="s">
        <v>44</v>
      </c>
      <c r="H466" s="117" t="s">
        <v>1</v>
      </c>
      <c r="I466"/>
      <c r="J466"/>
      <c r="K466" s="117" t="s">
        <v>105</v>
      </c>
      <c r="L466">
        <v>5</v>
      </c>
      <c r="M466" s="117" t="s">
        <v>116</v>
      </c>
      <c r="N466" s="117" t="s">
        <v>13</v>
      </c>
      <c r="O466" s="117" t="s">
        <v>50</v>
      </c>
      <c r="P466" s="117" t="s">
        <v>40</v>
      </c>
      <c r="Q466" s="139">
        <v>20007020</v>
      </c>
      <c r="R466" s="117" t="s">
        <v>78</v>
      </c>
      <c r="S466" s="117" t="s">
        <v>109</v>
      </c>
      <c r="T466" s="117" t="s">
        <v>109</v>
      </c>
      <c r="U466" s="117" t="s">
        <v>128</v>
      </c>
      <c r="V466" s="12">
        <f>+IFERROR(IF(VLOOKUP(Q466,COMISIONES!$C$2:$K$33,9,0)&gt;=VLOOKUP(TC!Q466,COMISIONES!$C$2:$I$33,7,0),1,0),0)</f>
        <v>0</v>
      </c>
      <c r="W466" s="262">
        <f>+IF(H466="Segunda",VLOOKUP(_xlfn.CONCAT(P466,G466,H466,V466),'PUNTOS 2021'!$E$23:$F$30,2,0),TC!L466)</f>
        <v>5</v>
      </c>
      <c r="X466" s="67">
        <f>+VLOOKUP(Q466,COMISIONES!$C$2:$AO$33,39,0)</f>
        <v>40</v>
      </c>
      <c r="Y466" s="67">
        <f t="shared" si="7"/>
        <v>200</v>
      </c>
      <c r="Z466" s="58" t="s">
        <v>80</v>
      </c>
      <c r="AA466" s="13">
        <f>+VLOOKUP(Q466,COMISIONES!$C$2:$C$33,1,0)</f>
        <v>20007020</v>
      </c>
      <c r="AB466" s="13" t="s">
        <v>269</v>
      </c>
    </row>
    <row r="467" spans="1:28" hidden="1">
      <c r="A467" s="117" t="s">
        <v>821</v>
      </c>
      <c r="B467" s="138">
        <v>45159</v>
      </c>
      <c r="C467" s="117" t="s">
        <v>2221</v>
      </c>
      <c r="D467" s="117" t="s">
        <v>2222</v>
      </c>
      <c r="E467" s="117" t="s">
        <v>2223</v>
      </c>
      <c r="F467" s="117"/>
      <c r="G467" s="117" t="s">
        <v>43</v>
      </c>
      <c r="H467" s="117" t="s">
        <v>1</v>
      </c>
      <c r="I467"/>
      <c r="J467"/>
      <c r="K467" s="117" t="s">
        <v>105</v>
      </c>
      <c r="L467">
        <v>3</v>
      </c>
      <c r="M467" s="117" t="s">
        <v>258</v>
      </c>
      <c r="N467" s="117" t="s">
        <v>237</v>
      </c>
      <c r="O467" s="117" t="s">
        <v>51</v>
      </c>
      <c r="P467" s="117" t="s">
        <v>40</v>
      </c>
      <c r="Q467" s="139">
        <v>20006893</v>
      </c>
      <c r="R467" s="117" t="s">
        <v>78</v>
      </c>
      <c r="S467" s="117" t="s">
        <v>109</v>
      </c>
      <c r="T467" s="117" t="s">
        <v>109</v>
      </c>
      <c r="U467" s="117" t="s">
        <v>128</v>
      </c>
      <c r="V467" s="12">
        <f>+IFERROR(IF(VLOOKUP(Q467,COMISIONES!$C$2:$K$33,9,0)&gt;=VLOOKUP(TC!Q467,COMISIONES!$C$2:$I$33,7,0),1,0),0)</f>
        <v>0</v>
      </c>
      <c r="W467" s="262">
        <f>+IF(H467="Segunda",VLOOKUP(_xlfn.CONCAT(P467,G467,H467,V467),'PUNTOS 2021'!$E$23:$F$30,2,0),TC!L467)</f>
        <v>3</v>
      </c>
      <c r="X467" s="67">
        <f>+VLOOKUP(Q467,COMISIONES!$C$2:$AO$33,39,0)</f>
        <v>40</v>
      </c>
      <c r="Y467" s="67">
        <f t="shared" si="7"/>
        <v>120</v>
      </c>
      <c r="Z467" s="58" t="s">
        <v>80</v>
      </c>
      <c r="AA467" s="13">
        <f>+VLOOKUP(Q467,COMISIONES!$C$2:$C$33,1,0)</f>
        <v>20006893</v>
      </c>
      <c r="AB467" s="13" t="s">
        <v>269</v>
      </c>
    </row>
    <row r="468" spans="1:28" hidden="1">
      <c r="A468" s="117" t="s">
        <v>821</v>
      </c>
      <c r="B468" s="138">
        <v>45159</v>
      </c>
      <c r="C468" s="117" t="s">
        <v>2224</v>
      </c>
      <c r="D468" s="117" t="s">
        <v>2225</v>
      </c>
      <c r="E468" s="117" t="s">
        <v>2226</v>
      </c>
      <c r="F468" s="117"/>
      <c r="G468" s="117" t="s">
        <v>44</v>
      </c>
      <c r="H468" s="117" t="s">
        <v>1</v>
      </c>
      <c r="I468"/>
      <c r="J468"/>
      <c r="K468" s="117" t="s">
        <v>129</v>
      </c>
      <c r="L468">
        <v>5</v>
      </c>
      <c r="M468" s="117" t="s">
        <v>119</v>
      </c>
      <c r="N468" s="117" t="s">
        <v>22</v>
      </c>
      <c r="O468" s="117" t="s">
        <v>52</v>
      </c>
      <c r="P468" s="117" t="s">
        <v>40</v>
      </c>
      <c r="Q468" s="139">
        <v>20009174</v>
      </c>
      <c r="R468" s="117" t="s">
        <v>78</v>
      </c>
      <c r="S468" s="117" t="s">
        <v>109</v>
      </c>
      <c r="T468" s="117" t="s">
        <v>109</v>
      </c>
      <c r="U468" s="117" t="s">
        <v>128</v>
      </c>
      <c r="V468" s="12">
        <f>+IFERROR(IF(VLOOKUP(Q468,COMISIONES!$C$2:$K$33,9,0)&gt;=VLOOKUP(TC!Q468,COMISIONES!$C$2:$I$33,7,0),1,0),0)</f>
        <v>0</v>
      </c>
      <c r="W468" s="262">
        <f>+IF(H468="Segunda",VLOOKUP(_xlfn.CONCAT(P468,G468,H468,V468),'PUNTOS 2021'!$E$23:$F$30,2,0),TC!L468)</f>
        <v>5</v>
      </c>
      <c r="X468" s="67">
        <f>+VLOOKUP(Q468,COMISIONES!$C$2:$AO$33,39,0)</f>
        <v>60</v>
      </c>
      <c r="Y468" s="67">
        <f t="shared" si="7"/>
        <v>300</v>
      </c>
      <c r="Z468" s="58" t="s">
        <v>80</v>
      </c>
      <c r="AA468" s="13">
        <f>+VLOOKUP(Q468,COMISIONES!$C$2:$C$33,1,0)</f>
        <v>20009174</v>
      </c>
      <c r="AB468" s="13" t="s">
        <v>269</v>
      </c>
    </row>
    <row r="469" spans="1:28" hidden="1">
      <c r="A469" s="117" t="s">
        <v>821</v>
      </c>
      <c r="B469" s="138">
        <v>45159</v>
      </c>
      <c r="C469" s="117" t="s">
        <v>2227</v>
      </c>
      <c r="D469" s="117" t="s">
        <v>2228</v>
      </c>
      <c r="E469" s="117" t="s">
        <v>2229</v>
      </c>
      <c r="F469" s="117"/>
      <c r="G469" s="117" t="s">
        <v>44</v>
      </c>
      <c r="H469" s="117" t="s">
        <v>1</v>
      </c>
      <c r="I469"/>
      <c r="J469"/>
      <c r="K469" s="117" t="s">
        <v>129</v>
      </c>
      <c r="L469">
        <v>5</v>
      </c>
      <c r="M469" s="117" t="s">
        <v>257</v>
      </c>
      <c r="N469" s="117" t="s">
        <v>15</v>
      </c>
      <c r="O469" s="117" t="s">
        <v>52</v>
      </c>
      <c r="P469" s="117" t="s">
        <v>40</v>
      </c>
      <c r="Q469" s="139">
        <v>20005527</v>
      </c>
      <c r="R469" s="117" t="s">
        <v>78</v>
      </c>
      <c r="S469" s="117" t="s">
        <v>109</v>
      </c>
      <c r="T469" s="117" t="s">
        <v>109</v>
      </c>
      <c r="U469" s="117" t="s">
        <v>128</v>
      </c>
      <c r="V469" s="12">
        <f>+IFERROR(IF(VLOOKUP(Q469,COMISIONES!$C$2:$K$33,9,0)&gt;=VLOOKUP(TC!Q469,COMISIONES!$C$2:$I$33,7,0),1,0),0)</f>
        <v>0</v>
      </c>
      <c r="W469" s="262">
        <f>+IF(H469="Segunda",VLOOKUP(_xlfn.CONCAT(P469,G469,H469,V469),'PUNTOS 2021'!$E$23:$F$30,2,0),TC!L469)</f>
        <v>5</v>
      </c>
      <c r="X469" s="67">
        <f>+VLOOKUP(Q469,COMISIONES!$C$2:$AO$33,39,0)</f>
        <v>40</v>
      </c>
      <c r="Y469" s="67">
        <f t="shared" si="7"/>
        <v>200</v>
      </c>
      <c r="Z469" s="58" t="s">
        <v>80</v>
      </c>
      <c r="AA469" s="13">
        <f>+VLOOKUP(Q469,COMISIONES!$C$2:$C$33,1,0)</f>
        <v>20005527</v>
      </c>
      <c r="AB469" s="13" t="s">
        <v>269</v>
      </c>
    </row>
    <row r="470" spans="1:28" hidden="1">
      <c r="A470" s="117" t="s">
        <v>821</v>
      </c>
      <c r="B470" s="138">
        <v>45159</v>
      </c>
      <c r="C470" s="117" t="s">
        <v>2230</v>
      </c>
      <c r="D470" s="117" t="s">
        <v>2231</v>
      </c>
      <c r="E470" s="117" t="s">
        <v>2232</v>
      </c>
      <c r="F470" s="117"/>
      <c r="G470" s="117" t="s">
        <v>43</v>
      </c>
      <c r="H470" s="117" t="s">
        <v>1</v>
      </c>
      <c r="I470"/>
      <c r="J470"/>
      <c r="K470" s="117" t="s">
        <v>130</v>
      </c>
      <c r="L470">
        <v>3</v>
      </c>
      <c r="M470" s="117" t="s">
        <v>159</v>
      </c>
      <c r="N470" s="117" t="s">
        <v>227</v>
      </c>
      <c r="O470" s="117" t="s">
        <v>49</v>
      </c>
      <c r="P470" s="117" t="s">
        <v>40</v>
      </c>
      <c r="Q470" s="139">
        <v>20009690</v>
      </c>
      <c r="R470" s="117" t="s">
        <v>78</v>
      </c>
      <c r="S470" s="117" t="s">
        <v>109</v>
      </c>
      <c r="T470" s="117" t="s">
        <v>109</v>
      </c>
      <c r="U470" s="117" t="s">
        <v>128</v>
      </c>
      <c r="V470" s="12">
        <f>+IFERROR(IF(VLOOKUP(Q470,COMISIONES!$C$2:$K$33,9,0)&gt;=VLOOKUP(TC!Q470,COMISIONES!$C$2:$I$33,7,0),1,0),0)</f>
        <v>0</v>
      </c>
      <c r="W470" s="262">
        <f>+IF(H470="Segunda",VLOOKUP(_xlfn.CONCAT(P470,G470,H470,V470),'PUNTOS 2021'!$E$23:$F$30,2,0),TC!L470)</f>
        <v>3</v>
      </c>
      <c r="X470" s="67">
        <f>+VLOOKUP(Q470,COMISIONES!$C$2:$AO$33,39,0)</f>
        <v>45</v>
      </c>
      <c r="Y470" s="67">
        <f t="shared" si="7"/>
        <v>135</v>
      </c>
      <c r="Z470" s="58" t="s">
        <v>80</v>
      </c>
      <c r="AA470" s="13">
        <f>+VLOOKUP(Q470,COMISIONES!$C$2:$C$33,1,0)</f>
        <v>20009690</v>
      </c>
      <c r="AB470" s="13" t="s">
        <v>269</v>
      </c>
    </row>
    <row r="471" spans="1:28" hidden="1">
      <c r="A471" s="117" t="s">
        <v>821</v>
      </c>
      <c r="B471" s="138">
        <v>45159</v>
      </c>
      <c r="C471" s="117" t="s">
        <v>2233</v>
      </c>
      <c r="D471" s="117" t="s">
        <v>2234</v>
      </c>
      <c r="E471" s="117" t="s">
        <v>2235</v>
      </c>
      <c r="F471" s="117"/>
      <c r="G471" s="117" t="s">
        <v>44</v>
      </c>
      <c r="H471" s="117" t="s">
        <v>1</v>
      </c>
      <c r="I471"/>
      <c r="J471"/>
      <c r="K471" s="117" t="s">
        <v>105</v>
      </c>
      <c r="L471">
        <v>5</v>
      </c>
      <c r="M471" s="117" t="s">
        <v>106</v>
      </c>
      <c r="N471" s="117" t="s">
        <v>8</v>
      </c>
      <c r="O471" s="117" t="s">
        <v>51</v>
      </c>
      <c r="P471" s="117" t="s">
        <v>40</v>
      </c>
      <c r="Q471" s="139">
        <v>20002636</v>
      </c>
      <c r="R471" s="117" t="s">
        <v>78</v>
      </c>
      <c r="S471" s="117" t="s">
        <v>109</v>
      </c>
      <c r="T471" s="117" t="s">
        <v>109</v>
      </c>
      <c r="U471" s="117" t="s">
        <v>128</v>
      </c>
      <c r="V471" s="12">
        <f>+IFERROR(IF(VLOOKUP(Q471,COMISIONES!$C$2:$K$33,9,0)&gt;=VLOOKUP(TC!Q471,COMISIONES!$C$2:$I$33,7,0),1,0),0)</f>
        <v>0</v>
      </c>
      <c r="W471" s="262">
        <f>+IF(H471="Segunda",VLOOKUP(_xlfn.CONCAT(P471,G471,H471,V471),'PUNTOS 2021'!$E$23:$F$30,2,0),TC!L471)</f>
        <v>5</v>
      </c>
      <c r="X471" s="67">
        <f>+VLOOKUP(Q471,COMISIONES!$C$2:$AO$33,39,0)</f>
        <v>40</v>
      </c>
      <c r="Y471" s="67">
        <f t="shared" si="7"/>
        <v>200</v>
      </c>
      <c r="Z471" s="58" t="s">
        <v>80</v>
      </c>
      <c r="AA471" s="13">
        <f>+VLOOKUP(Q471,COMISIONES!$C$2:$C$33,1,0)</f>
        <v>20002636</v>
      </c>
      <c r="AB471" s="13" t="s">
        <v>269</v>
      </c>
    </row>
    <row r="472" spans="1:28" hidden="1">
      <c r="A472" s="117" t="s">
        <v>821</v>
      </c>
      <c r="B472" s="138">
        <v>45159</v>
      </c>
      <c r="C472" s="117" t="s">
        <v>2236</v>
      </c>
      <c r="D472" s="117" t="s">
        <v>2237</v>
      </c>
      <c r="E472" s="117" t="s">
        <v>2238</v>
      </c>
      <c r="F472" s="117"/>
      <c r="G472" s="117" t="s">
        <v>45</v>
      </c>
      <c r="H472" s="117" t="s">
        <v>1</v>
      </c>
      <c r="I472"/>
      <c r="J472"/>
      <c r="K472" s="117" t="s">
        <v>105</v>
      </c>
      <c r="L472">
        <v>7</v>
      </c>
      <c r="M472" s="117" t="s">
        <v>115</v>
      </c>
      <c r="N472" s="117" t="s">
        <v>6</v>
      </c>
      <c r="O472" s="117" t="s">
        <v>51</v>
      </c>
      <c r="P472" s="117" t="s">
        <v>40</v>
      </c>
      <c r="Q472" s="139">
        <v>20001487</v>
      </c>
      <c r="R472" s="117" t="s">
        <v>78</v>
      </c>
      <c r="S472" s="117" t="s">
        <v>109</v>
      </c>
      <c r="T472" s="117" t="s">
        <v>109</v>
      </c>
      <c r="U472" s="117" t="s">
        <v>128</v>
      </c>
      <c r="V472" s="12">
        <f>+IFERROR(IF(VLOOKUP(Q472,COMISIONES!$C$2:$K$33,9,0)&gt;=VLOOKUP(TC!Q472,COMISIONES!$C$2:$I$33,7,0),1,0),0)</f>
        <v>1</v>
      </c>
      <c r="W472" s="262">
        <f>+IF(H472="Segunda",VLOOKUP(_xlfn.CONCAT(P472,G472,H472,V472),'PUNTOS 2021'!$E$23:$F$30,2,0),TC!L472)</f>
        <v>7</v>
      </c>
      <c r="X472" s="67">
        <f>+VLOOKUP(Q472,COMISIONES!$C$2:$AO$33,39,0)</f>
        <v>65</v>
      </c>
      <c r="Y472" s="67">
        <f t="shared" si="7"/>
        <v>455</v>
      </c>
      <c r="Z472" s="58" t="s">
        <v>80</v>
      </c>
      <c r="AA472" s="13">
        <f>+VLOOKUP(Q472,COMISIONES!$C$2:$C$33,1,0)</f>
        <v>20001487</v>
      </c>
      <c r="AB472" s="13" t="s">
        <v>269</v>
      </c>
    </row>
    <row r="473" spans="1:28" hidden="1">
      <c r="A473" s="117" t="s">
        <v>821</v>
      </c>
      <c r="B473" s="138">
        <v>45159</v>
      </c>
      <c r="C473" s="117" t="s">
        <v>2239</v>
      </c>
      <c r="D473" s="117" t="s">
        <v>2240</v>
      </c>
      <c r="E473" s="117" t="s">
        <v>2241</v>
      </c>
      <c r="F473" s="117"/>
      <c r="G473" s="117" t="s">
        <v>44</v>
      </c>
      <c r="H473" s="117" t="s">
        <v>1</v>
      </c>
      <c r="I473"/>
      <c r="J473"/>
      <c r="K473" s="117" t="s">
        <v>105</v>
      </c>
      <c r="L473">
        <v>5</v>
      </c>
      <c r="M473" s="117" t="s">
        <v>258</v>
      </c>
      <c r="N473" s="117" t="s">
        <v>237</v>
      </c>
      <c r="O473" s="117" t="s">
        <v>51</v>
      </c>
      <c r="P473" s="117" t="s">
        <v>40</v>
      </c>
      <c r="Q473" s="139">
        <v>20006893</v>
      </c>
      <c r="R473" s="117" t="s">
        <v>78</v>
      </c>
      <c r="S473" s="117" t="s">
        <v>109</v>
      </c>
      <c r="T473" s="117" t="s">
        <v>109</v>
      </c>
      <c r="U473" s="117" t="s">
        <v>128</v>
      </c>
      <c r="V473" s="12">
        <f>+IFERROR(IF(VLOOKUP(Q473,COMISIONES!$C$2:$K$33,9,0)&gt;=VLOOKUP(TC!Q473,COMISIONES!$C$2:$I$33,7,0),1,0),0)</f>
        <v>0</v>
      </c>
      <c r="W473" s="262">
        <f>+IF(H473="Segunda",VLOOKUP(_xlfn.CONCAT(P473,G473,H473,V473),'PUNTOS 2021'!$E$23:$F$30,2,0),TC!L473)</f>
        <v>5</v>
      </c>
      <c r="X473" s="67">
        <f>+VLOOKUP(Q473,COMISIONES!$C$2:$AO$33,39,0)</f>
        <v>40</v>
      </c>
      <c r="Y473" s="67">
        <f t="shared" si="7"/>
        <v>200</v>
      </c>
      <c r="Z473" s="58" t="s">
        <v>80</v>
      </c>
      <c r="AA473" s="13">
        <f>+VLOOKUP(Q473,COMISIONES!$C$2:$C$33,1,0)</f>
        <v>20006893</v>
      </c>
      <c r="AB473" s="13" t="s">
        <v>269</v>
      </c>
    </row>
    <row r="474" spans="1:28" hidden="1">
      <c r="A474" s="117" t="s">
        <v>821</v>
      </c>
      <c r="B474" s="138">
        <v>45159</v>
      </c>
      <c r="C474" s="117" t="s">
        <v>2242</v>
      </c>
      <c r="D474" s="117" t="s">
        <v>2243</v>
      </c>
      <c r="E474" s="117" t="s">
        <v>2244</v>
      </c>
      <c r="F474" s="117"/>
      <c r="G474" s="117" t="s">
        <v>45</v>
      </c>
      <c r="H474" s="117" t="s">
        <v>1</v>
      </c>
      <c r="I474"/>
      <c r="J474"/>
      <c r="K474" s="117" t="s">
        <v>129</v>
      </c>
      <c r="L474">
        <v>7</v>
      </c>
      <c r="M474" s="117" t="s">
        <v>161</v>
      </c>
      <c r="N474" s="117" t="s">
        <v>158</v>
      </c>
      <c r="O474" s="117" t="s">
        <v>50</v>
      </c>
      <c r="P474" s="117" t="s">
        <v>40</v>
      </c>
      <c r="Q474" s="139">
        <v>20006162</v>
      </c>
      <c r="R474" s="117" t="s">
        <v>78</v>
      </c>
      <c r="S474" s="117" t="s">
        <v>109</v>
      </c>
      <c r="T474" s="117" t="s">
        <v>109</v>
      </c>
      <c r="U474" s="117" t="s">
        <v>128</v>
      </c>
      <c r="V474" s="12">
        <f>+IFERROR(IF(VLOOKUP(Q474,COMISIONES!$C$2:$K$33,9,0)&gt;=VLOOKUP(TC!Q474,COMISIONES!$C$2:$I$33,7,0),1,0),0)</f>
        <v>0</v>
      </c>
      <c r="W474" s="262">
        <f>+IF(H474="Segunda",VLOOKUP(_xlfn.CONCAT(P474,G474,H474,V474),'PUNTOS 2021'!$E$23:$F$30,2,0),TC!L474)</f>
        <v>7</v>
      </c>
      <c r="X474" s="67">
        <f>+VLOOKUP(Q474,COMISIONES!$C$2:$AO$33,39,0)</f>
        <v>60</v>
      </c>
      <c r="Y474" s="67">
        <f t="shared" si="7"/>
        <v>420</v>
      </c>
      <c r="Z474" s="58" t="s">
        <v>80</v>
      </c>
      <c r="AA474" s="13">
        <f>+VLOOKUP(Q474,COMISIONES!$C$2:$C$33,1,0)</f>
        <v>20006162</v>
      </c>
      <c r="AB474" s="13" t="s">
        <v>269</v>
      </c>
    </row>
    <row r="475" spans="1:28" hidden="1">
      <c r="A475" s="117" t="s">
        <v>821</v>
      </c>
      <c r="B475" s="138">
        <v>45159</v>
      </c>
      <c r="C475" s="117" t="s">
        <v>2245</v>
      </c>
      <c r="D475" s="117" t="s">
        <v>2246</v>
      </c>
      <c r="E475" s="117" t="s">
        <v>2247</v>
      </c>
      <c r="F475" s="117"/>
      <c r="G475" s="117" t="s">
        <v>45</v>
      </c>
      <c r="H475" s="117" t="s">
        <v>1</v>
      </c>
      <c r="I475"/>
      <c r="J475"/>
      <c r="K475" s="117" t="s">
        <v>105</v>
      </c>
      <c r="L475">
        <v>7</v>
      </c>
      <c r="M475" s="117" t="s">
        <v>115</v>
      </c>
      <c r="N475" s="117" t="s">
        <v>6</v>
      </c>
      <c r="O475" s="117" t="s">
        <v>51</v>
      </c>
      <c r="P475" s="117" t="s">
        <v>40</v>
      </c>
      <c r="Q475" s="139">
        <v>20001487</v>
      </c>
      <c r="R475" s="117" t="s">
        <v>78</v>
      </c>
      <c r="S475" s="117" t="s">
        <v>109</v>
      </c>
      <c r="T475" s="117" t="s">
        <v>109</v>
      </c>
      <c r="U475" s="117" t="s">
        <v>128</v>
      </c>
      <c r="V475" s="12">
        <f>+IFERROR(IF(VLOOKUP(Q475,COMISIONES!$C$2:$K$33,9,0)&gt;=VLOOKUP(TC!Q475,COMISIONES!$C$2:$I$33,7,0),1,0),0)</f>
        <v>1</v>
      </c>
      <c r="W475" s="262">
        <f>+IF(H475="Segunda",VLOOKUP(_xlfn.CONCAT(P475,G475,H475,V475),'PUNTOS 2021'!$E$23:$F$30,2,0),TC!L475)</f>
        <v>7</v>
      </c>
      <c r="X475" s="67">
        <f>+VLOOKUP(Q475,COMISIONES!$C$2:$AO$33,39,0)</f>
        <v>65</v>
      </c>
      <c r="Y475" s="67">
        <f t="shared" si="7"/>
        <v>455</v>
      </c>
      <c r="Z475" s="58" t="s">
        <v>80</v>
      </c>
      <c r="AA475" s="13">
        <f>+VLOOKUP(Q475,COMISIONES!$C$2:$C$33,1,0)</f>
        <v>20001487</v>
      </c>
      <c r="AB475" s="13" t="s">
        <v>269</v>
      </c>
    </row>
    <row r="476" spans="1:28" hidden="1">
      <c r="A476" s="117" t="s">
        <v>821</v>
      </c>
      <c r="B476" s="138">
        <v>45159</v>
      </c>
      <c r="C476" s="117" t="s">
        <v>2248</v>
      </c>
      <c r="D476" s="117" t="s">
        <v>2249</v>
      </c>
      <c r="E476" s="117" t="s">
        <v>2250</v>
      </c>
      <c r="F476" s="117"/>
      <c r="G476" s="117" t="s">
        <v>44</v>
      </c>
      <c r="H476" s="117" t="s">
        <v>1</v>
      </c>
      <c r="I476"/>
      <c r="J476"/>
      <c r="K476" s="117" t="s">
        <v>105</v>
      </c>
      <c r="L476">
        <v>5</v>
      </c>
      <c r="M476" s="117" t="s">
        <v>123</v>
      </c>
      <c r="N476" s="117" t="s">
        <v>23</v>
      </c>
      <c r="O476" s="117" t="s">
        <v>49</v>
      </c>
      <c r="P476" s="117" t="s">
        <v>40</v>
      </c>
      <c r="Q476" s="139">
        <v>20009269</v>
      </c>
      <c r="R476" s="117" t="s">
        <v>78</v>
      </c>
      <c r="S476" s="117" t="s">
        <v>109</v>
      </c>
      <c r="T476" s="117" t="s">
        <v>109</v>
      </c>
      <c r="U476" s="117" t="s">
        <v>128</v>
      </c>
      <c r="V476" s="12">
        <f>+IFERROR(IF(VLOOKUP(Q476,COMISIONES!$C$2:$K$33,9,0)&gt;=VLOOKUP(TC!Q476,COMISIONES!$C$2:$I$33,7,0),1,0),0)</f>
        <v>1</v>
      </c>
      <c r="W476" s="262">
        <f>+IF(H476="Segunda",VLOOKUP(_xlfn.CONCAT(P476,G476,H476,V476),'PUNTOS 2021'!$E$23:$F$30,2,0),TC!L476)</f>
        <v>5</v>
      </c>
      <c r="X476" s="67">
        <f>+VLOOKUP(Q476,COMISIONES!$C$2:$AO$33,39,0)</f>
        <v>65</v>
      </c>
      <c r="Y476" s="67">
        <f t="shared" si="7"/>
        <v>325</v>
      </c>
      <c r="Z476" s="58" t="s">
        <v>80</v>
      </c>
      <c r="AA476" s="13">
        <f>+VLOOKUP(Q476,COMISIONES!$C$2:$C$33,1,0)</f>
        <v>20009269</v>
      </c>
      <c r="AB476" s="13" t="s">
        <v>269</v>
      </c>
    </row>
    <row r="477" spans="1:28" hidden="1">
      <c r="A477" s="117" t="s">
        <v>821</v>
      </c>
      <c r="B477" s="138">
        <v>45159</v>
      </c>
      <c r="C477" s="117" t="s">
        <v>2251</v>
      </c>
      <c r="D477" s="117" t="s">
        <v>2252</v>
      </c>
      <c r="E477" s="117" t="s">
        <v>2253</v>
      </c>
      <c r="F477" s="117"/>
      <c r="G477" s="117" t="s">
        <v>44</v>
      </c>
      <c r="H477" s="117" t="s">
        <v>1</v>
      </c>
      <c r="I477"/>
      <c r="J477"/>
      <c r="K477" s="117" t="s">
        <v>129</v>
      </c>
      <c r="L477">
        <v>5</v>
      </c>
      <c r="M477" s="117" t="s">
        <v>122</v>
      </c>
      <c r="N477" s="117" t="s">
        <v>5</v>
      </c>
      <c r="O477" s="117" t="s">
        <v>50</v>
      </c>
      <c r="P477" s="117" t="s">
        <v>40</v>
      </c>
      <c r="Q477" s="139">
        <v>20004566</v>
      </c>
      <c r="R477" s="117" t="s">
        <v>78</v>
      </c>
      <c r="S477" s="117" t="s">
        <v>109</v>
      </c>
      <c r="T477" s="117" t="s">
        <v>109</v>
      </c>
      <c r="U477" s="117" t="s">
        <v>128</v>
      </c>
      <c r="V477" s="12">
        <f>+IFERROR(IF(VLOOKUP(Q477,COMISIONES!$C$2:$K$33,9,0)&gt;=VLOOKUP(TC!Q477,COMISIONES!$C$2:$I$33,7,0),1,0),0)</f>
        <v>1</v>
      </c>
      <c r="W477" s="262">
        <f>+IF(H477="Segunda",VLOOKUP(_xlfn.CONCAT(P477,G477,H477,V477),'PUNTOS 2021'!$E$23:$F$30,2,0),TC!L477)</f>
        <v>5</v>
      </c>
      <c r="X477" s="67">
        <f>+VLOOKUP(Q477,COMISIONES!$C$2:$AO$33,39,0)</f>
        <v>60</v>
      </c>
      <c r="Y477" s="67">
        <f t="shared" si="7"/>
        <v>300</v>
      </c>
      <c r="Z477" s="58" t="s">
        <v>80</v>
      </c>
      <c r="AA477" s="13">
        <f>+VLOOKUP(Q477,COMISIONES!$C$2:$C$33,1,0)</f>
        <v>20004566</v>
      </c>
      <c r="AB477" s="13" t="s">
        <v>269</v>
      </c>
    </row>
    <row r="478" spans="1:28" hidden="1">
      <c r="A478" s="117" t="s">
        <v>821</v>
      </c>
      <c r="B478" s="138">
        <v>45159</v>
      </c>
      <c r="C478" s="117" t="s">
        <v>2254</v>
      </c>
      <c r="D478" s="117" t="s">
        <v>2255</v>
      </c>
      <c r="E478" s="117" t="s">
        <v>2256</v>
      </c>
      <c r="F478" s="117"/>
      <c r="G478" s="117" t="s">
        <v>44</v>
      </c>
      <c r="H478" s="117" t="s">
        <v>1</v>
      </c>
      <c r="I478"/>
      <c r="J478"/>
      <c r="K478" s="117" t="s">
        <v>105</v>
      </c>
      <c r="L478">
        <v>5</v>
      </c>
      <c r="M478" s="117" t="s">
        <v>115</v>
      </c>
      <c r="N478" s="117" t="s">
        <v>6</v>
      </c>
      <c r="O478" s="117" t="s">
        <v>51</v>
      </c>
      <c r="P478" s="117" t="s">
        <v>40</v>
      </c>
      <c r="Q478" s="139">
        <v>20001487</v>
      </c>
      <c r="R478" s="117" t="s">
        <v>78</v>
      </c>
      <c r="S478" s="117" t="s">
        <v>109</v>
      </c>
      <c r="T478" s="117" t="s">
        <v>109</v>
      </c>
      <c r="U478" s="117" t="s">
        <v>128</v>
      </c>
      <c r="V478" s="12">
        <f>+IFERROR(IF(VLOOKUP(Q478,COMISIONES!$C$2:$K$33,9,0)&gt;=VLOOKUP(TC!Q478,COMISIONES!$C$2:$I$33,7,0),1,0),0)</f>
        <v>1</v>
      </c>
      <c r="W478" s="262">
        <f>+IF(H478="Segunda",VLOOKUP(_xlfn.CONCAT(P478,G478,H478,V478),'PUNTOS 2021'!$E$23:$F$30,2,0),TC!L478)</f>
        <v>5</v>
      </c>
      <c r="X478" s="67">
        <f>+VLOOKUP(Q478,COMISIONES!$C$2:$AO$33,39,0)</f>
        <v>65</v>
      </c>
      <c r="Y478" s="67">
        <f t="shared" si="7"/>
        <v>325</v>
      </c>
      <c r="Z478" s="58" t="s">
        <v>80</v>
      </c>
      <c r="AA478" s="13">
        <f>+VLOOKUP(Q478,COMISIONES!$C$2:$C$33,1,0)</f>
        <v>20001487</v>
      </c>
      <c r="AB478" s="13" t="s">
        <v>269</v>
      </c>
    </row>
    <row r="479" spans="1:28" hidden="1">
      <c r="A479" s="117" t="s">
        <v>821</v>
      </c>
      <c r="B479" s="138">
        <v>45159</v>
      </c>
      <c r="C479" s="117" t="s">
        <v>2257</v>
      </c>
      <c r="D479" s="117" t="s">
        <v>2258</v>
      </c>
      <c r="E479" s="117" t="s">
        <v>2259</v>
      </c>
      <c r="F479" s="117"/>
      <c r="G479" s="117" t="s">
        <v>45</v>
      </c>
      <c r="H479" s="117" t="s">
        <v>1</v>
      </c>
      <c r="I479"/>
      <c r="J479"/>
      <c r="K479" s="117" t="s">
        <v>105</v>
      </c>
      <c r="L479">
        <v>7</v>
      </c>
      <c r="M479" s="117" t="s">
        <v>112</v>
      </c>
      <c r="N479" s="117" t="s">
        <v>9</v>
      </c>
      <c r="O479" s="117" t="s">
        <v>51</v>
      </c>
      <c r="P479" s="117" t="s">
        <v>40</v>
      </c>
      <c r="Q479" s="139">
        <v>20004638</v>
      </c>
      <c r="R479" s="117" t="s">
        <v>78</v>
      </c>
      <c r="S479" s="117" t="s">
        <v>109</v>
      </c>
      <c r="T479" s="117" t="s">
        <v>109</v>
      </c>
      <c r="U479" s="117" t="s">
        <v>128</v>
      </c>
      <c r="V479" s="12">
        <f>+IFERROR(IF(VLOOKUP(Q479,COMISIONES!$C$2:$K$33,9,0)&gt;=VLOOKUP(TC!Q479,COMISIONES!$C$2:$I$33,7,0),1,0),0)</f>
        <v>0</v>
      </c>
      <c r="W479" s="262">
        <f>+IF(H479="Segunda",VLOOKUP(_xlfn.CONCAT(P479,G479,H479,V479),'PUNTOS 2021'!$E$23:$F$30,2,0),TC!L479)</f>
        <v>7</v>
      </c>
      <c r="X479" s="67">
        <f>+VLOOKUP(Q479,COMISIONES!$C$2:$AO$33,39,0)</f>
        <v>60</v>
      </c>
      <c r="Y479" s="67">
        <f t="shared" si="7"/>
        <v>420</v>
      </c>
      <c r="Z479" s="58" t="s">
        <v>80</v>
      </c>
      <c r="AA479" s="13">
        <f>+VLOOKUP(Q479,COMISIONES!$C$2:$C$33,1,0)</f>
        <v>20004638</v>
      </c>
      <c r="AB479" s="13" t="s">
        <v>269</v>
      </c>
    </row>
    <row r="480" spans="1:28" hidden="1">
      <c r="A480" s="117" t="s">
        <v>821</v>
      </c>
      <c r="B480" s="138">
        <v>45159</v>
      </c>
      <c r="C480" s="117" t="s">
        <v>2260</v>
      </c>
      <c r="D480" s="117" t="s">
        <v>2261</v>
      </c>
      <c r="E480" s="117" t="s">
        <v>2262</v>
      </c>
      <c r="F480" s="117"/>
      <c r="G480" s="117" t="s">
        <v>44</v>
      </c>
      <c r="H480" s="117" t="s">
        <v>1</v>
      </c>
      <c r="I480"/>
      <c r="J480"/>
      <c r="K480" s="117" t="s">
        <v>105</v>
      </c>
      <c r="L480">
        <v>5</v>
      </c>
      <c r="M480" s="117" t="s">
        <v>413</v>
      </c>
      <c r="N480" s="117" t="s">
        <v>390</v>
      </c>
      <c r="O480" s="117" t="s">
        <v>49</v>
      </c>
      <c r="P480" s="117" t="s">
        <v>40</v>
      </c>
      <c r="Q480" s="139">
        <v>20010617</v>
      </c>
      <c r="R480" s="117" t="s">
        <v>78</v>
      </c>
      <c r="S480" s="117" t="s">
        <v>109</v>
      </c>
      <c r="T480" s="117" t="s">
        <v>109</v>
      </c>
      <c r="U480" s="117" t="s">
        <v>128</v>
      </c>
      <c r="V480" s="12">
        <f>+IFERROR(IF(VLOOKUP(Q480,COMISIONES!$C$2:$K$33,9,0)&gt;=VLOOKUP(TC!Q480,COMISIONES!$C$2:$I$33,7,0),1,0),0)</f>
        <v>0</v>
      </c>
      <c r="W480" s="262">
        <f>+IF(H480="Segunda",VLOOKUP(_xlfn.CONCAT(P480,G480,H480,V480),'PUNTOS 2021'!$E$23:$F$30,2,0),TC!L480)</f>
        <v>5</v>
      </c>
      <c r="X480" s="67">
        <f>+VLOOKUP(Q480,COMISIONES!$C$2:$AO$33,39,0)</f>
        <v>18</v>
      </c>
      <c r="Y480" s="67">
        <f t="shared" si="7"/>
        <v>90</v>
      </c>
      <c r="Z480" s="58" t="s">
        <v>80</v>
      </c>
      <c r="AA480" s="13">
        <f>+VLOOKUP(Q480,COMISIONES!$C$2:$C$33,1,0)</f>
        <v>20010617</v>
      </c>
      <c r="AB480" s="13" t="s">
        <v>269</v>
      </c>
    </row>
    <row r="481" spans="1:28" hidden="1">
      <c r="A481" s="117" t="s">
        <v>821</v>
      </c>
      <c r="B481" s="138">
        <v>45159</v>
      </c>
      <c r="C481" s="117" t="s">
        <v>2263</v>
      </c>
      <c r="D481" s="117" t="s">
        <v>2264</v>
      </c>
      <c r="E481" s="117" t="s">
        <v>2265</v>
      </c>
      <c r="F481" s="117"/>
      <c r="G481" s="117" t="s">
        <v>44</v>
      </c>
      <c r="H481" s="117" t="s">
        <v>1</v>
      </c>
      <c r="I481"/>
      <c r="J481"/>
      <c r="K481" s="117" t="s">
        <v>105</v>
      </c>
      <c r="L481">
        <v>5</v>
      </c>
      <c r="M481" s="117" t="s">
        <v>120</v>
      </c>
      <c r="N481" s="117" t="s">
        <v>21</v>
      </c>
      <c r="O481" s="117" t="s">
        <v>50</v>
      </c>
      <c r="P481" s="117" t="s">
        <v>40</v>
      </c>
      <c r="Q481" s="139">
        <v>20008711</v>
      </c>
      <c r="R481" s="117" t="s">
        <v>78</v>
      </c>
      <c r="S481" s="117" t="s">
        <v>109</v>
      </c>
      <c r="T481" s="117" t="s">
        <v>109</v>
      </c>
      <c r="U481" s="117" t="s">
        <v>128</v>
      </c>
      <c r="V481" s="12">
        <f>+IFERROR(IF(VLOOKUP(Q481,COMISIONES!$C$2:$K$33,9,0)&gt;=VLOOKUP(TC!Q481,COMISIONES!$C$2:$I$33,7,0),1,0),0)</f>
        <v>0</v>
      </c>
      <c r="W481" s="262">
        <f>+IF(H481="Segunda",VLOOKUP(_xlfn.CONCAT(P481,G481,H481,V481),'PUNTOS 2021'!$E$23:$F$30,2,0),TC!L481)</f>
        <v>5</v>
      </c>
      <c r="X481" s="67">
        <f>+VLOOKUP(Q481,COMISIONES!$C$2:$AO$33,39,0)</f>
        <v>60</v>
      </c>
      <c r="Y481" s="67">
        <f t="shared" si="7"/>
        <v>300</v>
      </c>
      <c r="Z481" s="58" t="s">
        <v>80</v>
      </c>
      <c r="AA481" s="13">
        <f>+VLOOKUP(Q481,COMISIONES!$C$2:$C$33,1,0)</f>
        <v>20008711</v>
      </c>
      <c r="AB481" s="13" t="s">
        <v>269</v>
      </c>
    </row>
    <row r="482" spans="1:28" hidden="1">
      <c r="A482" s="117" t="s">
        <v>821</v>
      </c>
      <c r="B482" s="138">
        <v>45159</v>
      </c>
      <c r="C482" s="117" t="s">
        <v>2266</v>
      </c>
      <c r="D482" s="117" t="s">
        <v>2267</v>
      </c>
      <c r="E482" s="117" t="s">
        <v>2268</v>
      </c>
      <c r="F482" s="117"/>
      <c r="G482" s="117" t="s">
        <v>45</v>
      </c>
      <c r="H482" s="117" t="s">
        <v>1</v>
      </c>
      <c r="I482"/>
      <c r="J482"/>
      <c r="K482" s="117" t="s">
        <v>105</v>
      </c>
      <c r="L482">
        <v>7</v>
      </c>
      <c r="M482" s="117" t="s">
        <v>123</v>
      </c>
      <c r="N482" s="117" t="s">
        <v>23</v>
      </c>
      <c r="O482" s="117" t="s">
        <v>49</v>
      </c>
      <c r="P482" s="117" t="s">
        <v>40</v>
      </c>
      <c r="Q482" s="139">
        <v>20009269</v>
      </c>
      <c r="R482" s="117" t="s">
        <v>78</v>
      </c>
      <c r="S482" s="117" t="s">
        <v>109</v>
      </c>
      <c r="T482" s="117" t="s">
        <v>109</v>
      </c>
      <c r="U482" s="117" t="s">
        <v>128</v>
      </c>
      <c r="V482" s="12">
        <f>+IFERROR(IF(VLOOKUP(Q482,COMISIONES!$C$2:$K$33,9,0)&gt;=VLOOKUP(TC!Q482,COMISIONES!$C$2:$I$33,7,0),1,0),0)</f>
        <v>1</v>
      </c>
      <c r="W482" s="262">
        <f>+IF(H482="Segunda",VLOOKUP(_xlfn.CONCAT(P482,G482,H482,V482),'PUNTOS 2021'!$E$23:$F$30,2,0),TC!L482)</f>
        <v>7</v>
      </c>
      <c r="X482" s="67">
        <f>+VLOOKUP(Q482,COMISIONES!$C$2:$AO$33,39,0)</f>
        <v>65</v>
      </c>
      <c r="Y482" s="67">
        <f t="shared" si="7"/>
        <v>455</v>
      </c>
      <c r="Z482" s="58" t="s">
        <v>80</v>
      </c>
      <c r="AA482" s="13">
        <f>+VLOOKUP(Q482,COMISIONES!$C$2:$C$33,1,0)</f>
        <v>20009269</v>
      </c>
      <c r="AB482" s="13" t="s">
        <v>269</v>
      </c>
    </row>
    <row r="483" spans="1:28" hidden="1">
      <c r="A483" s="117" t="s">
        <v>821</v>
      </c>
      <c r="B483" s="138">
        <v>45159</v>
      </c>
      <c r="C483" s="117" t="s">
        <v>2269</v>
      </c>
      <c r="D483" s="117" t="s">
        <v>2270</v>
      </c>
      <c r="E483" s="117" t="s">
        <v>2271</v>
      </c>
      <c r="F483" s="117"/>
      <c r="G483" s="117" t="s">
        <v>45</v>
      </c>
      <c r="H483" s="117" t="s">
        <v>1</v>
      </c>
      <c r="I483"/>
      <c r="J483"/>
      <c r="K483" s="117" t="s">
        <v>105</v>
      </c>
      <c r="L483">
        <v>7</v>
      </c>
      <c r="M483" s="117" t="s">
        <v>413</v>
      </c>
      <c r="N483" s="117" t="s">
        <v>390</v>
      </c>
      <c r="O483" s="117" t="s">
        <v>49</v>
      </c>
      <c r="P483" s="117" t="s">
        <v>40</v>
      </c>
      <c r="Q483" s="139">
        <v>20010617</v>
      </c>
      <c r="R483" s="117" t="s">
        <v>78</v>
      </c>
      <c r="S483" s="117" t="s">
        <v>109</v>
      </c>
      <c r="T483" s="117" t="s">
        <v>109</v>
      </c>
      <c r="U483" s="117" t="s">
        <v>128</v>
      </c>
      <c r="V483" s="12">
        <f>+IFERROR(IF(VLOOKUP(Q483,COMISIONES!$C$2:$K$33,9,0)&gt;=VLOOKUP(TC!Q483,COMISIONES!$C$2:$I$33,7,0),1,0),0)</f>
        <v>0</v>
      </c>
      <c r="W483" s="262">
        <f>+IF(H483="Segunda",VLOOKUP(_xlfn.CONCAT(P483,G483,H483,V483),'PUNTOS 2021'!$E$23:$F$30,2,0),TC!L483)</f>
        <v>7</v>
      </c>
      <c r="X483" s="67">
        <f>+VLOOKUP(Q483,COMISIONES!$C$2:$AO$33,39,0)</f>
        <v>18</v>
      </c>
      <c r="Y483" s="67">
        <f t="shared" si="7"/>
        <v>126</v>
      </c>
      <c r="Z483" s="58" t="s">
        <v>80</v>
      </c>
      <c r="AA483" s="13">
        <f>+VLOOKUP(Q483,COMISIONES!$C$2:$C$33,1,0)</f>
        <v>20010617</v>
      </c>
      <c r="AB483" s="13" t="s">
        <v>269</v>
      </c>
    </row>
    <row r="484" spans="1:28" hidden="1">
      <c r="A484" s="117" t="s">
        <v>821</v>
      </c>
      <c r="B484" s="138">
        <v>45159</v>
      </c>
      <c r="C484" s="117" t="s">
        <v>2272</v>
      </c>
      <c r="D484" s="117" t="s">
        <v>2273</v>
      </c>
      <c r="E484" s="117" t="s">
        <v>2274</v>
      </c>
      <c r="F484" s="117"/>
      <c r="G484" s="117" t="s">
        <v>45</v>
      </c>
      <c r="H484" s="117" t="s">
        <v>1</v>
      </c>
      <c r="I484"/>
      <c r="J484"/>
      <c r="K484" s="117" t="s">
        <v>105</v>
      </c>
      <c r="L484">
        <v>7</v>
      </c>
      <c r="M484" s="117" t="s">
        <v>122</v>
      </c>
      <c r="N484" s="117" t="s">
        <v>5</v>
      </c>
      <c r="O484" s="117" t="s">
        <v>50</v>
      </c>
      <c r="P484" s="117" t="s">
        <v>40</v>
      </c>
      <c r="Q484" s="139">
        <v>20004566</v>
      </c>
      <c r="R484" s="117" t="s">
        <v>78</v>
      </c>
      <c r="S484" s="117" t="s">
        <v>109</v>
      </c>
      <c r="T484" s="117" t="s">
        <v>109</v>
      </c>
      <c r="U484" s="117" t="s">
        <v>128</v>
      </c>
      <c r="V484" s="12">
        <f>+IFERROR(IF(VLOOKUP(Q484,COMISIONES!$C$2:$K$33,9,0)&gt;=VLOOKUP(TC!Q484,COMISIONES!$C$2:$I$33,7,0),1,0),0)</f>
        <v>1</v>
      </c>
      <c r="W484" s="262">
        <f>+IF(H484="Segunda",VLOOKUP(_xlfn.CONCAT(P484,G484,H484,V484),'PUNTOS 2021'!$E$23:$F$30,2,0),TC!L484)</f>
        <v>7</v>
      </c>
      <c r="X484" s="67">
        <f>+VLOOKUP(Q484,COMISIONES!$C$2:$AO$33,39,0)</f>
        <v>60</v>
      </c>
      <c r="Y484" s="67">
        <f t="shared" si="7"/>
        <v>420</v>
      </c>
      <c r="Z484" s="58" t="s">
        <v>80</v>
      </c>
      <c r="AA484" s="13">
        <f>+VLOOKUP(Q484,COMISIONES!$C$2:$C$33,1,0)</f>
        <v>20004566</v>
      </c>
      <c r="AB484" s="13" t="s">
        <v>269</v>
      </c>
    </row>
    <row r="485" spans="1:28" hidden="1">
      <c r="A485" s="117" t="s">
        <v>821</v>
      </c>
      <c r="B485" s="138">
        <v>45159</v>
      </c>
      <c r="C485" s="117" t="s">
        <v>2275</v>
      </c>
      <c r="D485" s="117" t="s">
        <v>2276</v>
      </c>
      <c r="E485" s="117" t="s">
        <v>2277</v>
      </c>
      <c r="F485" s="117"/>
      <c r="G485" s="117" t="s">
        <v>44</v>
      </c>
      <c r="H485" s="117" t="s">
        <v>1</v>
      </c>
      <c r="I485"/>
      <c r="J485"/>
      <c r="K485" s="117" t="s">
        <v>105</v>
      </c>
      <c r="L485">
        <v>5</v>
      </c>
      <c r="M485" s="117" t="s">
        <v>110</v>
      </c>
      <c r="N485" s="117" t="s">
        <v>10</v>
      </c>
      <c r="O485" s="117" t="s">
        <v>51</v>
      </c>
      <c r="P485" s="117" t="s">
        <v>40</v>
      </c>
      <c r="Q485" s="139">
        <v>20000661</v>
      </c>
      <c r="R485" s="117" t="s">
        <v>78</v>
      </c>
      <c r="S485" s="117" t="s">
        <v>109</v>
      </c>
      <c r="T485" s="117" t="s">
        <v>109</v>
      </c>
      <c r="U485" s="117" t="s">
        <v>128</v>
      </c>
      <c r="V485" s="12">
        <f>+IFERROR(IF(VLOOKUP(Q485,COMISIONES!$C$2:$K$33,9,0)&gt;=VLOOKUP(TC!Q485,COMISIONES!$C$2:$I$33,7,0),1,0),0)</f>
        <v>1</v>
      </c>
      <c r="W485" s="262">
        <f>+IF(H485="Segunda",VLOOKUP(_xlfn.CONCAT(P485,G485,H485,V485),'PUNTOS 2021'!$E$23:$F$30,2,0),TC!L485)</f>
        <v>5</v>
      </c>
      <c r="X485" s="67">
        <f>+VLOOKUP(Q485,COMISIONES!$C$2:$AO$33,39,0)</f>
        <v>60</v>
      </c>
      <c r="Y485" s="67">
        <f t="shared" si="7"/>
        <v>300</v>
      </c>
      <c r="Z485" s="58" t="s">
        <v>80</v>
      </c>
      <c r="AA485" s="13">
        <f>+VLOOKUP(Q485,COMISIONES!$C$2:$C$33,1,0)</f>
        <v>20000661</v>
      </c>
      <c r="AB485" s="13" t="s">
        <v>269</v>
      </c>
    </row>
    <row r="486" spans="1:28" hidden="1">
      <c r="A486" s="117" t="s">
        <v>821</v>
      </c>
      <c r="B486" s="138">
        <v>45159</v>
      </c>
      <c r="C486" s="117" t="s">
        <v>2278</v>
      </c>
      <c r="D486" s="117" t="s">
        <v>2279</v>
      </c>
      <c r="E486" s="117" t="s">
        <v>2280</v>
      </c>
      <c r="F486" s="117"/>
      <c r="G486" s="117" t="s">
        <v>43</v>
      </c>
      <c r="H486" s="117" t="s">
        <v>1</v>
      </c>
      <c r="I486"/>
      <c r="J486"/>
      <c r="K486" s="117" t="s">
        <v>105</v>
      </c>
      <c r="L486">
        <v>3</v>
      </c>
      <c r="M486" s="117" t="s">
        <v>159</v>
      </c>
      <c r="N486" s="117" t="s">
        <v>227</v>
      </c>
      <c r="O486" s="117" t="s">
        <v>49</v>
      </c>
      <c r="P486" s="117" t="s">
        <v>40</v>
      </c>
      <c r="Q486" s="139">
        <v>20009690</v>
      </c>
      <c r="R486" s="117" t="s">
        <v>78</v>
      </c>
      <c r="S486" s="117" t="s">
        <v>109</v>
      </c>
      <c r="T486" s="117" t="s">
        <v>109</v>
      </c>
      <c r="U486" s="117" t="s">
        <v>128</v>
      </c>
      <c r="V486" s="12">
        <f>+IFERROR(IF(VLOOKUP(Q486,COMISIONES!$C$2:$K$33,9,0)&gt;=VLOOKUP(TC!Q486,COMISIONES!$C$2:$I$33,7,0),1,0),0)</f>
        <v>0</v>
      </c>
      <c r="W486" s="262">
        <f>+IF(H486="Segunda",VLOOKUP(_xlfn.CONCAT(P486,G486,H486,V486),'PUNTOS 2021'!$E$23:$F$30,2,0),TC!L486)</f>
        <v>3</v>
      </c>
      <c r="X486" s="67">
        <f>+VLOOKUP(Q486,COMISIONES!$C$2:$AO$33,39,0)</f>
        <v>45</v>
      </c>
      <c r="Y486" s="67">
        <f t="shared" si="7"/>
        <v>135</v>
      </c>
      <c r="Z486" s="58" t="s">
        <v>80</v>
      </c>
      <c r="AA486" s="13">
        <f>+VLOOKUP(Q486,COMISIONES!$C$2:$C$33,1,0)</f>
        <v>20009690</v>
      </c>
      <c r="AB486" s="13" t="s">
        <v>269</v>
      </c>
    </row>
    <row r="487" spans="1:28" hidden="1">
      <c r="A487" s="117" t="s">
        <v>821</v>
      </c>
      <c r="B487" s="138">
        <v>45160</v>
      </c>
      <c r="C487" s="117" t="s">
        <v>2281</v>
      </c>
      <c r="D487" s="117" t="s">
        <v>2282</v>
      </c>
      <c r="E487" s="117" t="s">
        <v>2283</v>
      </c>
      <c r="F487" s="117"/>
      <c r="G487" s="117" t="s">
        <v>43</v>
      </c>
      <c r="H487" s="117" t="s">
        <v>1</v>
      </c>
      <c r="I487"/>
      <c r="J487"/>
      <c r="K487" s="117" t="s">
        <v>130</v>
      </c>
      <c r="L487">
        <v>3</v>
      </c>
      <c r="M487" s="117" t="s">
        <v>123</v>
      </c>
      <c r="N487" s="117" t="s">
        <v>23</v>
      </c>
      <c r="O487" s="117" t="s">
        <v>49</v>
      </c>
      <c r="P487" s="117" t="s">
        <v>40</v>
      </c>
      <c r="Q487" s="139">
        <v>20009269</v>
      </c>
      <c r="R487" s="117" t="s">
        <v>78</v>
      </c>
      <c r="S487" s="117" t="s">
        <v>109</v>
      </c>
      <c r="T487" s="117" t="s">
        <v>109</v>
      </c>
      <c r="U487" s="117" t="s">
        <v>128</v>
      </c>
      <c r="V487" s="12">
        <f>+IFERROR(IF(VLOOKUP(Q487,COMISIONES!$C$2:$K$33,9,0)&gt;=VLOOKUP(TC!Q487,COMISIONES!$C$2:$I$33,7,0),1,0),0)</f>
        <v>1</v>
      </c>
      <c r="W487" s="262">
        <f>+IF(H487="Segunda",VLOOKUP(_xlfn.CONCAT(P487,G487,H487,V487),'PUNTOS 2021'!$E$23:$F$30,2,0),TC!L487)</f>
        <v>3</v>
      </c>
      <c r="X487" s="67">
        <f>+VLOOKUP(Q487,COMISIONES!$C$2:$AO$33,39,0)</f>
        <v>65</v>
      </c>
      <c r="Y487" s="67">
        <f t="shared" si="7"/>
        <v>195</v>
      </c>
      <c r="Z487" s="58" t="s">
        <v>80</v>
      </c>
      <c r="AA487" s="13">
        <f>+VLOOKUP(Q487,COMISIONES!$C$2:$C$33,1,0)</f>
        <v>20009269</v>
      </c>
      <c r="AB487" s="13" t="s">
        <v>269</v>
      </c>
    </row>
    <row r="488" spans="1:28" hidden="1">
      <c r="A488" s="117" t="s">
        <v>821</v>
      </c>
      <c r="B488" s="138">
        <v>45160</v>
      </c>
      <c r="C488" s="117" t="s">
        <v>2284</v>
      </c>
      <c r="D488" s="117" t="s">
        <v>2285</v>
      </c>
      <c r="E488" s="117" t="s">
        <v>2286</v>
      </c>
      <c r="F488" s="117"/>
      <c r="G488" s="117" t="s">
        <v>44</v>
      </c>
      <c r="H488" s="117" t="s">
        <v>1</v>
      </c>
      <c r="I488"/>
      <c r="J488"/>
      <c r="K488" s="117" t="s">
        <v>105</v>
      </c>
      <c r="L488">
        <v>5</v>
      </c>
      <c r="M488" s="117" t="s">
        <v>161</v>
      </c>
      <c r="N488" s="117" t="s">
        <v>158</v>
      </c>
      <c r="O488" s="117" t="s">
        <v>50</v>
      </c>
      <c r="P488" s="117" t="s">
        <v>40</v>
      </c>
      <c r="Q488" s="139">
        <v>20006162</v>
      </c>
      <c r="R488" s="117" t="s">
        <v>78</v>
      </c>
      <c r="S488" s="117" t="s">
        <v>109</v>
      </c>
      <c r="T488" s="117" t="s">
        <v>109</v>
      </c>
      <c r="U488" s="117" t="s">
        <v>128</v>
      </c>
      <c r="V488" s="12">
        <f>+IFERROR(IF(VLOOKUP(Q488,COMISIONES!$C$2:$K$33,9,0)&gt;=VLOOKUP(TC!Q488,COMISIONES!$C$2:$I$33,7,0),1,0),0)</f>
        <v>0</v>
      </c>
      <c r="W488" s="262">
        <f>+IF(H488="Segunda",VLOOKUP(_xlfn.CONCAT(P488,G488,H488,V488),'PUNTOS 2021'!$E$23:$F$30,2,0),TC!L488)</f>
        <v>5</v>
      </c>
      <c r="X488" s="67">
        <f>+VLOOKUP(Q488,COMISIONES!$C$2:$AO$33,39,0)</f>
        <v>60</v>
      </c>
      <c r="Y488" s="67">
        <f t="shared" si="7"/>
        <v>300</v>
      </c>
      <c r="Z488" s="58" t="s">
        <v>80</v>
      </c>
      <c r="AA488" s="13">
        <f>+VLOOKUP(Q488,COMISIONES!$C$2:$C$33,1,0)</f>
        <v>20006162</v>
      </c>
      <c r="AB488" s="13" t="s">
        <v>269</v>
      </c>
    </row>
    <row r="489" spans="1:28" hidden="1">
      <c r="A489" s="117" t="s">
        <v>821</v>
      </c>
      <c r="B489" s="138">
        <v>45160</v>
      </c>
      <c r="C489" s="117" t="s">
        <v>2287</v>
      </c>
      <c r="D489" s="117" t="s">
        <v>2288</v>
      </c>
      <c r="E489" s="117" t="s">
        <v>2289</v>
      </c>
      <c r="F489" s="117"/>
      <c r="G489" s="117" t="s">
        <v>43</v>
      </c>
      <c r="H489" s="117" t="s">
        <v>1</v>
      </c>
      <c r="I489"/>
      <c r="J489"/>
      <c r="K489" s="117" t="s">
        <v>129</v>
      </c>
      <c r="L489">
        <v>3</v>
      </c>
      <c r="M489" s="117" t="s">
        <v>123</v>
      </c>
      <c r="N489" s="117" t="s">
        <v>23</v>
      </c>
      <c r="O489" s="117" t="s">
        <v>49</v>
      </c>
      <c r="P489" s="117" t="s">
        <v>40</v>
      </c>
      <c r="Q489" s="139">
        <v>20009269</v>
      </c>
      <c r="R489" s="117" t="s">
        <v>78</v>
      </c>
      <c r="S489" s="117" t="s">
        <v>109</v>
      </c>
      <c r="T489" s="117" t="s">
        <v>109</v>
      </c>
      <c r="U489" s="117" t="s">
        <v>128</v>
      </c>
      <c r="V489" s="12">
        <f>+IFERROR(IF(VLOOKUP(Q489,COMISIONES!$C$2:$K$33,9,0)&gt;=VLOOKUP(TC!Q489,COMISIONES!$C$2:$I$33,7,0),1,0),0)</f>
        <v>1</v>
      </c>
      <c r="W489" s="262">
        <f>+IF(H489="Segunda",VLOOKUP(_xlfn.CONCAT(P489,G489,H489,V489),'PUNTOS 2021'!$E$23:$F$30,2,0),TC!L489)</f>
        <v>3</v>
      </c>
      <c r="X489" s="67">
        <f>+VLOOKUP(Q489,COMISIONES!$C$2:$AO$33,39,0)</f>
        <v>65</v>
      </c>
      <c r="Y489" s="67">
        <f t="shared" si="7"/>
        <v>195</v>
      </c>
      <c r="Z489" s="58" t="s">
        <v>80</v>
      </c>
      <c r="AA489" s="13">
        <f>+VLOOKUP(Q489,COMISIONES!$C$2:$C$33,1,0)</f>
        <v>20009269</v>
      </c>
      <c r="AB489" s="13" t="s">
        <v>269</v>
      </c>
    </row>
    <row r="490" spans="1:28">
      <c r="A490" s="117" t="s">
        <v>821</v>
      </c>
      <c r="B490" s="138">
        <v>45160</v>
      </c>
      <c r="C490" s="117" t="s">
        <v>2290</v>
      </c>
      <c r="D490" s="117" t="s">
        <v>2291</v>
      </c>
      <c r="E490" s="117" t="s">
        <v>2292</v>
      </c>
      <c r="F490" s="117"/>
      <c r="G490" s="117" t="s">
        <v>45</v>
      </c>
      <c r="H490" s="117" t="s">
        <v>2</v>
      </c>
      <c r="I490"/>
      <c r="J490"/>
      <c r="K490" s="117" t="s">
        <v>105</v>
      </c>
      <c r="L490">
        <v>2</v>
      </c>
      <c r="M490" s="117" t="s">
        <v>113</v>
      </c>
      <c r="N490" s="117" t="s">
        <v>12</v>
      </c>
      <c r="O490" s="117" t="s">
        <v>49</v>
      </c>
      <c r="P490" s="117" t="s">
        <v>40</v>
      </c>
      <c r="Q490" s="139">
        <v>20007726</v>
      </c>
      <c r="R490" s="117" t="s">
        <v>78</v>
      </c>
      <c r="S490" s="117" t="s">
        <v>109</v>
      </c>
      <c r="T490" s="117" t="s">
        <v>109</v>
      </c>
      <c r="U490" s="117" t="s">
        <v>128</v>
      </c>
      <c r="V490" s="12">
        <f>+IFERROR(IF(VLOOKUP(Q490,COMISIONES!$C$2:$K$33,9,0)&gt;=VLOOKUP(TC!Q490,COMISIONES!$C$2:$I$33,7,0),1,0),0)</f>
        <v>1</v>
      </c>
      <c r="W490" s="262">
        <f>+IF(H490="Segunda",VLOOKUP(_xlfn.CONCAT(P490,G490,H490,V490),'PUNTOS 2021'!$E$23:$F$30,2,0),TC!L490)</f>
        <v>2</v>
      </c>
      <c r="X490" s="67">
        <f>+VLOOKUP(Q490,COMISIONES!$C$2:$AO$33,39,0)</f>
        <v>65</v>
      </c>
      <c r="Y490" s="67">
        <f t="shared" si="7"/>
        <v>130</v>
      </c>
      <c r="Z490" s="58" t="s">
        <v>80</v>
      </c>
      <c r="AA490" s="13">
        <f>+VLOOKUP(Q490,COMISIONES!$C$2:$C$33,1,0)</f>
        <v>20007726</v>
      </c>
      <c r="AB490" s="13" t="s">
        <v>269</v>
      </c>
    </row>
    <row r="491" spans="1:28" hidden="1">
      <c r="A491" s="117" t="s">
        <v>821</v>
      </c>
      <c r="B491" s="138">
        <v>45160</v>
      </c>
      <c r="C491" s="117" t="s">
        <v>2293</v>
      </c>
      <c r="D491" s="117" t="s">
        <v>2294</v>
      </c>
      <c r="E491" s="117" t="s">
        <v>2295</v>
      </c>
      <c r="F491" s="117"/>
      <c r="G491" s="117" t="s">
        <v>44</v>
      </c>
      <c r="H491" s="117" t="s">
        <v>1</v>
      </c>
      <c r="I491"/>
      <c r="J491"/>
      <c r="K491" s="117" t="s">
        <v>129</v>
      </c>
      <c r="L491">
        <v>5</v>
      </c>
      <c r="M491" s="117" t="s">
        <v>413</v>
      </c>
      <c r="N491" s="117" t="s">
        <v>390</v>
      </c>
      <c r="O491" s="117" t="s">
        <v>49</v>
      </c>
      <c r="P491" s="117" t="s">
        <v>40</v>
      </c>
      <c r="Q491" s="139">
        <v>20010617</v>
      </c>
      <c r="R491" s="117" t="s">
        <v>78</v>
      </c>
      <c r="S491" s="117" t="s">
        <v>109</v>
      </c>
      <c r="T491" s="117" t="s">
        <v>109</v>
      </c>
      <c r="U491" s="117" t="s">
        <v>128</v>
      </c>
      <c r="V491" s="12">
        <f>+IFERROR(IF(VLOOKUP(Q491,COMISIONES!$C$2:$K$33,9,0)&gt;=VLOOKUP(TC!Q491,COMISIONES!$C$2:$I$33,7,0),1,0),0)</f>
        <v>0</v>
      </c>
      <c r="W491" s="262">
        <f>+IF(H491="Segunda",VLOOKUP(_xlfn.CONCAT(P491,G491,H491,V491),'PUNTOS 2021'!$E$23:$F$30,2,0),TC!L491)</f>
        <v>5</v>
      </c>
      <c r="X491" s="67">
        <f>+VLOOKUP(Q491,COMISIONES!$C$2:$AO$33,39,0)</f>
        <v>18</v>
      </c>
      <c r="Y491" s="67">
        <f t="shared" si="7"/>
        <v>90</v>
      </c>
      <c r="Z491" s="58" t="s">
        <v>80</v>
      </c>
      <c r="AA491" s="13">
        <f>+VLOOKUP(Q491,COMISIONES!$C$2:$C$33,1,0)</f>
        <v>20010617</v>
      </c>
      <c r="AB491" s="13" t="s">
        <v>269</v>
      </c>
    </row>
    <row r="492" spans="1:28" hidden="1">
      <c r="A492" s="117" t="s">
        <v>821</v>
      </c>
      <c r="B492" s="138">
        <v>45160</v>
      </c>
      <c r="C492" s="117" t="s">
        <v>2296</v>
      </c>
      <c r="D492" s="117" t="s">
        <v>2297</v>
      </c>
      <c r="E492" s="117" t="s">
        <v>2298</v>
      </c>
      <c r="F492" s="117"/>
      <c r="G492" s="117" t="s">
        <v>43</v>
      </c>
      <c r="H492" s="117" t="s">
        <v>1</v>
      </c>
      <c r="I492"/>
      <c r="J492"/>
      <c r="K492" s="117" t="s">
        <v>105</v>
      </c>
      <c r="L492">
        <v>3</v>
      </c>
      <c r="M492" s="117" t="s">
        <v>270</v>
      </c>
      <c r="N492" s="117" t="s">
        <v>271</v>
      </c>
      <c r="O492" s="117" t="s">
        <v>52</v>
      </c>
      <c r="P492" s="117" t="s">
        <v>40</v>
      </c>
      <c r="Q492" s="139">
        <v>20009592</v>
      </c>
      <c r="R492" s="117" t="s">
        <v>78</v>
      </c>
      <c r="S492" s="117" t="s">
        <v>109</v>
      </c>
      <c r="T492" s="117" t="s">
        <v>109</v>
      </c>
      <c r="U492" s="117" t="s">
        <v>128</v>
      </c>
      <c r="V492" s="12">
        <f>+IFERROR(IF(VLOOKUP(Q492,COMISIONES!$C$2:$K$33,9,0)&gt;=VLOOKUP(TC!Q492,COMISIONES!$C$2:$I$33,7,0),1,0),0)</f>
        <v>1</v>
      </c>
      <c r="W492" s="262">
        <f>+IF(H492="Segunda",VLOOKUP(_xlfn.CONCAT(P492,G492,H492,V492),'PUNTOS 2021'!$E$23:$F$30,2,0),TC!L492)</f>
        <v>3</v>
      </c>
      <c r="X492" s="67">
        <f>+VLOOKUP(Q492,COMISIONES!$C$2:$AO$33,39,0)</f>
        <v>60</v>
      </c>
      <c r="Y492" s="67">
        <f t="shared" si="7"/>
        <v>180</v>
      </c>
      <c r="Z492" s="58" t="s">
        <v>80</v>
      </c>
      <c r="AA492" s="13">
        <f>+VLOOKUP(Q492,COMISIONES!$C$2:$C$33,1,0)</f>
        <v>20009592</v>
      </c>
      <c r="AB492" s="13" t="s">
        <v>269</v>
      </c>
    </row>
    <row r="493" spans="1:28" hidden="1">
      <c r="A493" s="117" t="s">
        <v>821</v>
      </c>
      <c r="B493" s="138">
        <v>45160</v>
      </c>
      <c r="C493" s="117" t="s">
        <v>2299</v>
      </c>
      <c r="D493" s="117" t="s">
        <v>2300</v>
      </c>
      <c r="E493" s="117" t="s">
        <v>2301</v>
      </c>
      <c r="F493" s="117"/>
      <c r="G493" s="117" t="s">
        <v>44</v>
      </c>
      <c r="H493" s="117" t="s">
        <v>1</v>
      </c>
      <c r="I493"/>
      <c r="J493"/>
      <c r="K493" s="117" t="s">
        <v>105</v>
      </c>
      <c r="L493">
        <v>5</v>
      </c>
      <c r="M493" s="117" t="s">
        <v>256</v>
      </c>
      <c r="N493" s="117" t="s">
        <v>236</v>
      </c>
      <c r="O493" s="117" t="s">
        <v>49</v>
      </c>
      <c r="P493" s="117" t="s">
        <v>40</v>
      </c>
      <c r="Q493" s="139">
        <v>20010101</v>
      </c>
      <c r="R493" s="117" t="s">
        <v>78</v>
      </c>
      <c r="S493" s="117" t="s">
        <v>109</v>
      </c>
      <c r="T493" s="117" t="s">
        <v>109</v>
      </c>
      <c r="U493" s="117" t="s">
        <v>128</v>
      </c>
      <c r="V493" s="12">
        <f>+IFERROR(IF(VLOOKUP(Q493,COMISIONES!$C$2:$K$33,9,0)&gt;=VLOOKUP(TC!Q493,COMISIONES!$C$2:$I$33,7,0),1,0),0)</f>
        <v>0</v>
      </c>
      <c r="W493" s="262">
        <f>+IF(H493="Segunda",VLOOKUP(_xlfn.CONCAT(P493,G493,H493,V493),'PUNTOS 2021'!$E$23:$F$30,2,0),TC!L493)</f>
        <v>5</v>
      </c>
      <c r="X493" s="67">
        <f>+VLOOKUP(Q493,COMISIONES!$C$2:$AO$33,39,0)</f>
        <v>65</v>
      </c>
      <c r="Y493" s="67">
        <f t="shared" si="7"/>
        <v>325</v>
      </c>
      <c r="Z493" s="58" t="s">
        <v>80</v>
      </c>
      <c r="AA493" s="13">
        <f>+VLOOKUP(Q493,COMISIONES!$C$2:$C$33,1,0)</f>
        <v>20010101</v>
      </c>
      <c r="AB493" s="13" t="s">
        <v>269</v>
      </c>
    </row>
    <row r="494" spans="1:28" hidden="1">
      <c r="A494" s="117" t="s">
        <v>821</v>
      </c>
      <c r="B494" s="138">
        <v>45160</v>
      </c>
      <c r="C494" s="117" t="s">
        <v>2302</v>
      </c>
      <c r="D494" s="117" t="s">
        <v>2303</v>
      </c>
      <c r="E494" s="117" t="s">
        <v>2304</v>
      </c>
      <c r="F494" s="117"/>
      <c r="G494" s="117" t="s">
        <v>45</v>
      </c>
      <c r="H494" s="117" t="s">
        <v>1</v>
      </c>
      <c r="I494"/>
      <c r="J494"/>
      <c r="K494" s="117" t="s">
        <v>105</v>
      </c>
      <c r="L494">
        <v>7</v>
      </c>
      <c r="M494" s="117" t="s">
        <v>127</v>
      </c>
      <c r="N494" s="117" t="s">
        <v>16</v>
      </c>
      <c r="O494" s="117" t="s">
        <v>49</v>
      </c>
      <c r="P494" s="117" t="s">
        <v>40</v>
      </c>
      <c r="Q494" s="139">
        <v>20002708</v>
      </c>
      <c r="R494" s="117" t="s">
        <v>78</v>
      </c>
      <c r="S494" s="117" t="s">
        <v>109</v>
      </c>
      <c r="T494" s="117" t="s">
        <v>109</v>
      </c>
      <c r="U494" s="117" t="s">
        <v>128</v>
      </c>
      <c r="V494" s="12">
        <f>+IFERROR(IF(VLOOKUP(Q494,COMISIONES!$C$2:$K$33,9,0)&gt;=VLOOKUP(TC!Q494,COMISIONES!$C$2:$I$33,7,0),1,0),0)</f>
        <v>0</v>
      </c>
      <c r="W494" s="262">
        <f>+IF(H494="Segunda",VLOOKUP(_xlfn.CONCAT(P494,G494,H494,V494),'PUNTOS 2021'!$E$23:$F$30,2,0),TC!L494)</f>
        <v>7</v>
      </c>
      <c r="X494" s="67">
        <f>+VLOOKUP(Q494,COMISIONES!$C$2:$AO$33,39,0)</f>
        <v>60</v>
      </c>
      <c r="Y494" s="67">
        <f t="shared" si="7"/>
        <v>420</v>
      </c>
      <c r="Z494" s="58" t="s">
        <v>80</v>
      </c>
      <c r="AA494" s="13">
        <f>+VLOOKUP(Q494,COMISIONES!$C$2:$C$33,1,0)</f>
        <v>20002708</v>
      </c>
      <c r="AB494" s="13" t="s">
        <v>269</v>
      </c>
    </row>
    <row r="495" spans="1:28" hidden="1">
      <c r="A495" s="117" t="s">
        <v>821</v>
      </c>
      <c r="B495" s="138">
        <v>45160</v>
      </c>
      <c r="C495" s="117" t="s">
        <v>2305</v>
      </c>
      <c r="D495" s="117" t="s">
        <v>2306</v>
      </c>
      <c r="E495" s="117" t="s">
        <v>2307</v>
      </c>
      <c r="F495" s="117"/>
      <c r="G495" s="117" t="s">
        <v>44</v>
      </c>
      <c r="H495" s="117" t="s">
        <v>1</v>
      </c>
      <c r="I495"/>
      <c r="J495"/>
      <c r="K495" s="117" t="s">
        <v>105</v>
      </c>
      <c r="L495">
        <v>5</v>
      </c>
      <c r="M495" s="117" t="s">
        <v>112</v>
      </c>
      <c r="N495" s="117" t="s">
        <v>9</v>
      </c>
      <c r="O495" s="117" t="s">
        <v>51</v>
      </c>
      <c r="P495" s="117" t="s">
        <v>40</v>
      </c>
      <c r="Q495" s="139">
        <v>20004638</v>
      </c>
      <c r="R495" s="117" t="s">
        <v>78</v>
      </c>
      <c r="S495" s="117" t="s">
        <v>109</v>
      </c>
      <c r="T495" s="117" t="s">
        <v>109</v>
      </c>
      <c r="U495" s="117" t="s">
        <v>128</v>
      </c>
      <c r="V495" s="12">
        <f>+IFERROR(IF(VLOOKUP(Q495,COMISIONES!$C$2:$K$33,9,0)&gt;=VLOOKUP(TC!Q495,COMISIONES!$C$2:$I$33,7,0),1,0),0)</f>
        <v>0</v>
      </c>
      <c r="W495" s="262">
        <f>+IF(H495="Segunda",VLOOKUP(_xlfn.CONCAT(P495,G495,H495,V495),'PUNTOS 2021'!$E$23:$F$30,2,0),TC!L495)</f>
        <v>5</v>
      </c>
      <c r="X495" s="67">
        <f>+VLOOKUP(Q495,COMISIONES!$C$2:$AO$33,39,0)</f>
        <v>60</v>
      </c>
      <c r="Y495" s="67">
        <f t="shared" si="7"/>
        <v>300</v>
      </c>
      <c r="Z495" s="58" t="s">
        <v>80</v>
      </c>
      <c r="AA495" s="13">
        <f>+VLOOKUP(Q495,COMISIONES!$C$2:$C$33,1,0)</f>
        <v>20004638</v>
      </c>
      <c r="AB495" s="13" t="s">
        <v>269</v>
      </c>
    </row>
    <row r="496" spans="1:28" hidden="1">
      <c r="A496" s="117" t="s">
        <v>821</v>
      </c>
      <c r="B496" s="138">
        <v>45160</v>
      </c>
      <c r="C496" s="117" t="s">
        <v>2308</v>
      </c>
      <c r="D496" s="117" t="s">
        <v>2309</v>
      </c>
      <c r="E496" s="117" t="s">
        <v>2310</v>
      </c>
      <c r="F496" s="117"/>
      <c r="G496" s="117" t="s">
        <v>45</v>
      </c>
      <c r="H496" s="117" t="s">
        <v>1</v>
      </c>
      <c r="I496"/>
      <c r="J496"/>
      <c r="K496" s="117" t="s">
        <v>105</v>
      </c>
      <c r="L496">
        <v>7</v>
      </c>
      <c r="M496" s="117" t="s">
        <v>121</v>
      </c>
      <c r="N496" s="117" t="s">
        <v>3</v>
      </c>
      <c r="O496" s="117" t="s">
        <v>49</v>
      </c>
      <c r="P496" s="117" t="s">
        <v>40</v>
      </c>
      <c r="Q496" s="139">
        <v>20004161</v>
      </c>
      <c r="R496" s="117" t="s">
        <v>78</v>
      </c>
      <c r="S496" s="117" t="s">
        <v>109</v>
      </c>
      <c r="T496" s="117" t="s">
        <v>109</v>
      </c>
      <c r="U496" s="117" t="s">
        <v>128</v>
      </c>
      <c r="V496" s="12">
        <f>+IFERROR(IF(VLOOKUP(Q496,COMISIONES!$C$2:$K$33,9,0)&gt;=VLOOKUP(TC!Q496,COMISIONES!$C$2:$I$33,7,0),1,0),0)</f>
        <v>1</v>
      </c>
      <c r="W496" s="262">
        <f>+IF(H496="Segunda",VLOOKUP(_xlfn.CONCAT(P496,G496,H496,V496),'PUNTOS 2021'!$E$23:$F$30,2,0),TC!L496)</f>
        <v>7</v>
      </c>
      <c r="X496" s="67">
        <f>+VLOOKUP(Q496,COMISIONES!$C$2:$AO$33,39,0)</f>
        <v>65</v>
      </c>
      <c r="Y496" s="67">
        <f t="shared" si="7"/>
        <v>455</v>
      </c>
      <c r="Z496" s="58" t="s">
        <v>80</v>
      </c>
      <c r="AA496" s="13">
        <f>+VLOOKUP(Q496,COMISIONES!$C$2:$C$33,1,0)</f>
        <v>20004161</v>
      </c>
      <c r="AB496" s="13" t="s">
        <v>269</v>
      </c>
    </row>
    <row r="497" spans="1:28" hidden="1">
      <c r="A497" s="117" t="s">
        <v>821</v>
      </c>
      <c r="B497" s="138">
        <v>45160</v>
      </c>
      <c r="C497" s="117" t="s">
        <v>2311</v>
      </c>
      <c r="D497" s="117" t="s">
        <v>2312</v>
      </c>
      <c r="E497" s="117" t="s">
        <v>2313</v>
      </c>
      <c r="F497" s="117"/>
      <c r="G497" s="117" t="s">
        <v>45</v>
      </c>
      <c r="H497" s="117" t="s">
        <v>1</v>
      </c>
      <c r="I497"/>
      <c r="J497"/>
      <c r="K497" s="117" t="s">
        <v>105</v>
      </c>
      <c r="L497">
        <v>7</v>
      </c>
      <c r="M497" s="117" t="s">
        <v>121</v>
      </c>
      <c r="N497" s="117" t="s">
        <v>3</v>
      </c>
      <c r="O497" s="117" t="s">
        <v>49</v>
      </c>
      <c r="P497" s="117" t="s">
        <v>40</v>
      </c>
      <c r="Q497" s="139">
        <v>20004161</v>
      </c>
      <c r="R497" s="117" t="s">
        <v>78</v>
      </c>
      <c r="S497" s="117" t="s">
        <v>109</v>
      </c>
      <c r="T497" s="117" t="s">
        <v>109</v>
      </c>
      <c r="U497" s="117" t="s">
        <v>128</v>
      </c>
      <c r="V497" s="12">
        <f>+IFERROR(IF(VLOOKUP(Q497,COMISIONES!$C$2:$K$33,9,0)&gt;=VLOOKUP(TC!Q497,COMISIONES!$C$2:$I$33,7,0),1,0),0)</f>
        <v>1</v>
      </c>
      <c r="W497" s="262">
        <f>+IF(H497="Segunda",VLOOKUP(_xlfn.CONCAT(P497,G497,H497,V497),'PUNTOS 2021'!$E$23:$F$30,2,0),TC!L497)</f>
        <v>7</v>
      </c>
      <c r="X497" s="67">
        <f>+VLOOKUP(Q497,COMISIONES!$C$2:$AO$33,39,0)</f>
        <v>65</v>
      </c>
      <c r="Y497" s="67">
        <f t="shared" si="7"/>
        <v>455</v>
      </c>
      <c r="Z497" s="58" t="s">
        <v>80</v>
      </c>
      <c r="AA497" s="13">
        <f>+VLOOKUP(Q497,COMISIONES!$C$2:$C$33,1,0)</f>
        <v>20004161</v>
      </c>
      <c r="AB497" s="13" t="s">
        <v>269</v>
      </c>
    </row>
    <row r="498" spans="1:28" hidden="1">
      <c r="A498" s="117" t="s">
        <v>821</v>
      </c>
      <c r="B498" s="138">
        <v>45160</v>
      </c>
      <c r="C498" s="117" t="s">
        <v>2314</v>
      </c>
      <c r="D498" s="117" t="s">
        <v>2315</v>
      </c>
      <c r="E498" s="117" t="s">
        <v>2316</v>
      </c>
      <c r="F498" s="117"/>
      <c r="G498" s="117" t="s">
        <v>45</v>
      </c>
      <c r="H498" s="117" t="s">
        <v>1</v>
      </c>
      <c r="I498"/>
      <c r="J498"/>
      <c r="K498" s="117" t="s">
        <v>105</v>
      </c>
      <c r="L498">
        <v>7</v>
      </c>
      <c r="M498" s="117" t="s">
        <v>122</v>
      </c>
      <c r="N498" s="117" t="s">
        <v>5</v>
      </c>
      <c r="O498" s="117" t="s">
        <v>50</v>
      </c>
      <c r="P498" s="117" t="s">
        <v>40</v>
      </c>
      <c r="Q498" s="139">
        <v>20004566</v>
      </c>
      <c r="R498" s="117" t="s">
        <v>78</v>
      </c>
      <c r="S498" s="117" t="s">
        <v>109</v>
      </c>
      <c r="T498" s="117" t="s">
        <v>109</v>
      </c>
      <c r="U498" s="117" t="s">
        <v>128</v>
      </c>
      <c r="V498" s="12">
        <f>+IFERROR(IF(VLOOKUP(Q498,COMISIONES!$C$2:$K$33,9,0)&gt;=VLOOKUP(TC!Q498,COMISIONES!$C$2:$I$33,7,0),1,0),0)</f>
        <v>1</v>
      </c>
      <c r="W498" s="262">
        <f>+IF(H498="Segunda",VLOOKUP(_xlfn.CONCAT(P498,G498,H498,V498),'PUNTOS 2021'!$E$23:$F$30,2,0),TC!L498)</f>
        <v>7</v>
      </c>
      <c r="X498" s="67">
        <f>+VLOOKUP(Q498,COMISIONES!$C$2:$AO$33,39,0)</f>
        <v>60</v>
      </c>
      <c r="Y498" s="67">
        <f t="shared" si="7"/>
        <v>420</v>
      </c>
      <c r="Z498" s="58" t="s">
        <v>80</v>
      </c>
      <c r="AA498" s="13">
        <f>+VLOOKUP(Q498,COMISIONES!$C$2:$C$33,1,0)</f>
        <v>20004566</v>
      </c>
      <c r="AB498" s="13" t="s">
        <v>269</v>
      </c>
    </row>
    <row r="499" spans="1:28" hidden="1">
      <c r="A499" s="117" t="s">
        <v>821</v>
      </c>
      <c r="B499" s="138">
        <v>45160</v>
      </c>
      <c r="C499" s="117" t="s">
        <v>2317</v>
      </c>
      <c r="D499" s="117" t="s">
        <v>2318</v>
      </c>
      <c r="E499" s="117" t="s">
        <v>2319</v>
      </c>
      <c r="F499" s="117"/>
      <c r="G499" s="117" t="s">
        <v>45</v>
      </c>
      <c r="H499" s="117" t="s">
        <v>1</v>
      </c>
      <c r="I499"/>
      <c r="J499"/>
      <c r="K499" s="117" t="s">
        <v>105</v>
      </c>
      <c r="L499">
        <v>7</v>
      </c>
      <c r="M499" s="117" t="s">
        <v>413</v>
      </c>
      <c r="N499" s="117" t="s">
        <v>390</v>
      </c>
      <c r="O499" s="117" t="s">
        <v>49</v>
      </c>
      <c r="P499" s="117" t="s">
        <v>40</v>
      </c>
      <c r="Q499" s="139">
        <v>20010617</v>
      </c>
      <c r="R499" s="117" t="s">
        <v>78</v>
      </c>
      <c r="S499" s="117" t="s">
        <v>109</v>
      </c>
      <c r="T499" s="117" t="s">
        <v>109</v>
      </c>
      <c r="U499" s="117" t="s">
        <v>128</v>
      </c>
      <c r="V499" s="12">
        <f>+IFERROR(IF(VLOOKUP(Q499,COMISIONES!$C$2:$K$33,9,0)&gt;=VLOOKUP(TC!Q499,COMISIONES!$C$2:$I$33,7,0),1,0),0)</f>
        <v>0</v>
      </c>
      <c r="W499" s="262">
        <f>+IF(H499="Segunda",VLOOKUP(_xlfn.CONCAT(P499,G499,H499,V499),'PUNTOS 2021'!$E$23:$F$30,2,0),TC!L499)</f>
        <v>7</v>
      </c>
      <c r="X499" s="67">
        <f>+VLOOKUP(Q499,COMISIONES!$C$2:$AO$33,39,0)</f>
        <v>18</v>
      </c>
      <c r="Y499" s="67">
        <f t="shared" si="7"/>
        <v>126</v>
      </c>
      <c r="Z499" s="58" t="s">
        <v>80</v>
      </c>
      <c r="AA499" s="13">
        <f>+VLOOKUP(Q499,COMISIONES!$C$2:$C$33,1,0)</f>
        <v>20010617</v>
      </c>
      <c r="AB499" s="13" t="s">
        <v>269</v>
      </c>
    </row>
    <row r="500" spans="1:28" hidden="1">
      <c r="A500" s="117" t="s">
        <v>821</v>
      </c>
      <c r="B500" s="138">
        <v>45160</v>
      </c>
      <c r="C500" s="117" t="s">
        <v>2320</v>
      </c>
      <c r="D500" s="117" t="s">
        <v>2321</v>
      </c>
      <c r="E500" s="117" t="s">
        <v>2322</v>
      </c>
      <c r="F500" s="117"/>
      <c r="G500" s="117" t="s">
        <v>45</v>
      </c>
      <c r="H500" s="117" t="s">
        <v>48</v>
      </c>
      <c r="I500"/>
      <c r="J500"/>
      <c r="K500" s="117" t="s">
        <v>105</v>
      </c>
      <c r="L500">
        <v>0</v>
      </c>
      <c r="M500" s="117" t="s">
        <v>259</v>
      </c>
      <c r="N500" s="117" t="s">
        <v>20</v>
      </c>
      <c r="O500" s="117" t="s">
        <v>50</v>
      </c>
      <c r="P500" s="117" t="s">
        <v>40</v>
      </c>
      <c r="Q500" s="139">
        <v>20008700</v>
      </c>
      <c r="R500" s="117" t="s">
        <v>78</v>
      </c>
      <c r="S500" s="117" t="s">
        <v>107</v>
      </c>
      <c r="T500" s="117" t="s">
        <v>48</v>
      </c>
      <c r="U500" s="117" t="s">
        <v>128</v>
      </c>
      <c r="V500" s="12">
        <f>+IFERROR(IF(VLOOKUP(Q500,COMISIONES!$C$2:$K$33,9,0)&gt;=VLOOKUP(TC!Q500,COMISIONES!$C$2:$I$33,7,0),1,0),0)</f>
        <v>0</v>
      </c>
      <c r="W500" s="262">
        <f>+IF(H500="Segunda",VLOOKUP(_xlfn.CONCAT(P500,G500,H500,V500),'PUNTOS 2021'!$E$23:$F$30,2,0),TC!L500)</f>
        <v>0</v>
      </c>
      <c r="X500" s="67">
        <f>+VLOOKUP(Q500,COMISIONES!$C$2:$AO$33,39,0)</f>
        <v>40</v>
      </c>
      <c r="Y500" s="67">
        <f t="shared" si="7"/>
        <v>0</v>
      </c>
      <c r="Z500" s="58" t="s">
        <v>80</v>
      </c>
      <c r="AA500" s="13">
        <f>+VLOOKUP(Q500,COMISIONES!$C$2:$C$33,1,0)</f>
        <v>20008700</v>
      </c>
      <c r="AB500" s="13" t="s">
        <v>269</v>
      </c>
    </row>
    <row r="501" spans="1:28">
      <c r="A501" s="117" t="s">
        <v>821</v>
      </c>
      <c r="B501" s="138">
        <v>45160</v>
      </c>
      <c r="C501" s="117" t="s">
        <v>2323</v>
      </c>
      <c r="D501" s="117" t="s">
        <v>2324</v>
      </c>
      <c r="E501" s="117" t="s">
        <v>2325</v>
      </c>
      <c r="F501" s="117"/>
      <c r="G501" s="117" t="s">
        <v>43</v>
      </c>
      <c r="H501" s="117" t="s">
        <v>2</v>
      </c>
      <c r="I501"/>
      <c r="J501"/>
      <c r="K501" s="117" t="s">
        <v>105</v>
      </c>
      <c r="L501">
        <v>1</v>
      </c>
      <c r="M501" s="117" t="s">
        <v>161</v>
      </c>
      <c r="N501" s="117" t="s">
        <v>158</v>
      </c>
      <c r="O501" s="117" t="s">
        <v>50</v>
      </c>
      <c r="P501" s="117" t="s">
        <v>40</v>
      </c>
      <c r="Q501" s="139">
        <v>20006162</v>
      </c>
      <c r="R501" s="117" t="s">
        <v>78</v>
      </c>
      <c r="S501" s="117" t="s">
        <v>109</v>
      </c>
      <c r="T501" s="117" t="s">
        <v>109</v>
      </c>
      <c r="U501" s="117" t="s">
        <v>128</v>
      </c>
      <c r="V501" s="12">
        <f>+IFERROR(IF(VLOOKUP(Q501,COMISIONES!$C$2:$K$33,9,0)&gt;=VLOOKUP(TC!Q501,COMISIONES!$C$2:$I$33,7,0),1,0),0)</f>
        <v>0</v>
      </c>
      <c r="W501" s="262">
        <f>+IF(H501="Segunda",VLOOKUP(_xlfn.CONCAT(P501,G501,H501,V501),'PUNTOS 2021'!$E$23:$F$30,2,0),TC!L501)</f>
        <v>0.5</v>
      </c>
      <c r="X501" s="67">
        <f>+VLOOKUP(Q501,COMISIONES!$C$2:$AO$33,39,0)</f>
        <v>60</v>
      </c>
      <c r="Y501" s="67">
        <f t="shared" si="7"/>
        <v>30</v>
      </c>
      <c r="Z501" s="58" t="s">
        <v>80</v>
      </c>
      <c r="AA501" s="13">
        <f>+VLOOKUP(Q501,COMISIONES!$C$2:$C$33,1,0)</f>
        <v>20006162</v>
      </c>
      <c r="AB501" s="13" t="s">
        <v>269</v>
      </c>
    </row>
    <row r="502" spans="1:28" hidden="1">
      <c r="A502" s="117" t="s">
        <v>821</v>
      </c>
      <c r="B502" s="138">
        <v>45160</v>
      </c>
      <c r="C502" s="117" t="s">
        <v>2326</v>
      </c>
      <c r="D502" s="117" t="s">
        <v>2327</v>
      </c>
      <c r="E502" s="117" t="s">
        <v>2328</v>
      </c>
      <c r="F502" s="117"/>
      <c r="G502" s="117" t="s">
        <v>44</v>
      </c>
      <c r="H502" s="117" t="s">
        <v>1</v>
      </c>
      <c r="I502"/>
      <c r="J502"/>
      <c r="K502" s="117" t="s">
        <v>105</v>
      </c>
      <c r="L502">
        <v>5</v>
      </c>
      <c r="M502" s="117" t="s">
        <v>122</v>
      </c>
      <c r="N502" s="117" t="s">
        <v>5</v>
      </c>
      <c r="O502" s="117" t="s">
        <v>50</v>
      </c>
      <c r="P502" s="117" t="s">
        <v>40</v>
      </c>
      <c r="Q502" s="139">
        <v>20004566</v>
      </c>
      <c r="R502" s="117" t="s">
        <v>78</v>
      </c>
      <c r="S502" s="117" t="s">
        <v>109</v>
      </c>
      <c r="T502" s="117" t="s">
        <v>109</v>
      </c>
      <c r="U502" s="117" t="s">
        <v>128</v>
      </c>
      <c r="V502" s="12">
        <f>+IFERROR(IF(VLOOKUP(Q502,COMISIONES!$C$2:$K$33,9,0)&gt;=VLOOKUP(TC!Q502,COMISIONES!$C$2:$I$33,7,0),1,0),0)</f>
        <v>1</v>
      </c>
      <c r="W502" s="262">
        <f>+IF(H502="Segunda",VLOOKUP(_xlfn.CONCAT(P502,G502,H502,V502),'PUNTOS 2021'!$E$23:$F$30,2,0),TC!L502)</f>
        <v>5</v>
      </c>
      <c r="X502" s="67">
        <f>+VLOOKUP(Q502,COMISIONES!$C$2:$AO$33,39,0)</f>
        <v>60</v>
      </c>
      <c r="Y502" s="67">
        <f t="shared" ref="Y502:Y560" si="8">X502*W502</f>
        <v>300</v>
      </c>
      <c r="Z502" s="58" t="s">
        <v>80</v>
      </c>
      <c r="AA502" s="13">
        <f>+VLOOKUP(Q502,COMISIONES!$C$2:$C$33,1,0)</f>
        <v>20004566</v>
      </c>
      <c r="AB502" s="13" t="s">
        <v>269</v>
      </c>
    </row>
    <row r="503" spans="1:28">
      <c r="A503" s="117" t="s">
        <v>821</v>
      </c>
      <c r="B503" s="138">
        <v>45160</v>
      </c>
      <c r="C503" s="117" t="s">
        <v>2329</v>
      </c>
      <c r="D503" s="117" t="s">
        <v>2330</v>
      </c>
      <c r="E503" s="117" t="s">
        <v>2331</v>
      </c>
      <c r="F503" s="117"/>
      <c r="G503" s="117" t="s">
        <v>45</v>
      </c>
      <c r="H503" s="117" t="s">
        <v>2</v>
      </c>
      <c r="I503"/>
      <c r="J503"/>
      <c r="K503" s="117" t="s">
        <v>105</v>
      </c>
      <c r="L503">
        <v>2</v>
      </c>
      <c r="M503" s="117" t="s">
        <v>161</v>
      </c>
      <c r="N503" s="117" t="s">
        <v>158</v>
      </c>
      <c r="O503" s="117" t="s">
        <v>50</v>
      </c>
      <c r="P503" s="117" t="s">
        <v>40</v>
      </c>
      <c r="Q503" s="139">
        <v>20006162</v>
      </c>
      <c r="R503" s="117" t="s">
        <v>78</v>
      </c>
      <c r="S503" s="117" t="s">
        <v>109</v>
      </c>
      <c r="T503" s="117" t="s">
        <v>109</v>
      </c>
      <c r="U503" s="117" t="s">
        <v>128</v>
      </c>
      <c r="V503" s="12">
        <f>+IFERROR(IF(VLOOKUP(Q503,COMISIONES!$C$2:$K$33,9,0)&gt;=VLOOKUP(TC!Q503,COMISIONES!$C$2:$I$33,7,0),1,0),0)</f>
        <v>0</v>
      </c>
      <c r="W503" s="262">
        <f>+IF(H503="Segunda",VLOOKUP(_xlfn.CONCAT(P503,G503,H503,V503),'PUNTOS 2021'!$E$23:$F$30,2,0),TC!L503)</f>
        <v>0.5</v>
      </c>
      <c r="X503" s="67">
        <f>+VLOOKUP(Q503,COMISIONES!$C$2:$AO$33,39,0)</f>
        <v>60</v>
      </c>
      <c r="Y503" s="67">
        <f t="shared" si="8"/>
        <v>30</v>
      </c>
      <c r="Z503" s="58" t="s">
        <v>80</v>
      </c>
      <c r="AA503" s="13">
        <f>+VLOOKUP(Q503,COMISIONES!$C$2:$C$33,1,0)</f>
        <v>20006162</v>
      </c>
      <c r="AB503" s="13" t="s">
        <v>269</v>
      </c>
    </row>
    <row r="504" spans="1:28" hidden="1">
      <c r="A504" s="117" t="s">
        <v>821</v>
      </c>
      <c r="B504" s="138">
        <v>45160</v>
      </c>
      <c r="C504" s="117" t="s">
        <v>2332</v>
      </c>
      <c r="D504" s="117" t="s">
        <v>2333</v>
      </c>
      <c r="E504" s="117" t="s">
        <v>2334</v>
      </c>
      <c r="F504" s="117"/>
      <c r="G504" s="117" t="s">
        <v>44</v>
      </c>
      <c r="H504" s="117" t="s">
        <v>1</v>
      </c>
      <c r="I504"/>
      <c r="J504"/>
      <c r="K504" s="117" t="s">
        <v>105</v>
      </c>
      <c r="L504">
        <v>5</v>
      </c>
      <c r="M504" s="117" t="s">
        <v>119</v>
      </c>
      <c r="N504" s="117" t="s">
        <v>22</v>
      </c>
      <c r="O504" s="117" t="s">
        <v>52</v>
      </c>
      <c r="P504" s="117" t="s">
        <v>40</v>
      </c>
      <c r="Q504" s="139">
        <v>20009174</v>
      </c>
      <c r="R504" s="117" t="s">
        <v>78</v>
      </c>
      <c r="S504" s="117" t="s">
        <v>109</v>
      </c>
      <c r="T504" s="117" t="s">
        <v>109</v>
      </c>
      <c r="U504" s="117" t="s">
        <v>128</v>
      </c>
      <c r="V504" s="12">
        <f>+IFERROR(IF(VLOOKUP(Q504,COMISIONES!$C$2:$K$33,9,0)&gt;=VLOOKUP(TC!Q504,COMISIONES!$C$2:$I$33,7,0),1,0),0)</f>
        <v>0</v>
      </c>
      <c r="W504" s="262">
        <f>+IF(H504="Segunda",VLOOKUP(_xlfn.CONCAT(P504,G504,H504,V504),'PUNTOS 2021'!$E$23:$F$30,2,0),TC!L504)</f>
        <v>5</v>
      </c>
      <c r="X504" s="67">
        <f>+VLOOKUP(Q504,COMISIONES!$C$2:$AO$33,39,0)</f>
        <v>60</v>
      </c>
      <c r="Y504" s="67">
        <f t="shared" si="8"/>
        <v>300</v>
      </c>
      <c r="Z504" s="58" t="s">
        <v>80</v>
      </c>
      <c r="AA504" s="13">
        <f>+VLOOKUP(Q504,COMISIONES!$C$2:$C$33,1,0)</f>
        <v>20009174</v>
      </c>
      <c r="AB504" s="13" t="s">
        <v>269</v>
      </c>
    </row>
    <row r="505" spans="1:28" hidden="1">
      <c r="A505" s="117" t="s">
        <v>821</v>
      </c>
      <c r="B505" s="138">
        <v>45160</v>
      </c>
      <c r="C505" s="117" t="s">
        <v>2335</v>
      </c>
      <c r="D505" s="117" t="s">
        <v>2336</v>
      </c>
      <c r="E505" s="117" t="s">
        <v>2337</v>
      </c>
      <c r="F505" s="117"/>
      <c r="G505" s="117" t="s">
        <v>45</v>
      </c>
      <c r="H505" s="117" t="s">
        <v>1</v>
      </c>
      <c r="I505"/>
      <c r="J505"/>
      <c r="K505" s="117" t="s">
        <v>105</v>
      </c>
      <c r="L505">
        <v>7</v>
      </c>
      <c r="M505" s="117" t="s">
        <v>258</v>
      </c>
      <c r="N505" s="117" t="s">
        <v>237</v>
      </c>
      <c r="O505" s="117" t="s">
        <v>51</v>
      </c>
      <c r="P505" s="117" t="s">
        <v>40</v>
      </c>
      <c r="Q505" s="139">
        <v>20006893</v>
      </c>
      <c r="R505" s="117" t="s">
        <v>78</v>
      </c>
      <c r="S505" s="117" t="s">
        <v>109</v>
      </c>
      <c r="T505" s="117" t="s">
        <v>109</v>
      </c>
      <c r="U505" s="117" t="s">
        <v>128</v>
      </c>
      <c r="V505" s="12">
        <f>+IFERROR(IF(VLOOKUP(Q505,COMISIONES!$C$2:$K$33,9,0)&gt;=VLOOKUP(TC!Q505,COMISIONES!$C$2:$I$33,7,0),1,0),0)</f>
        <v>0</v>
      </c>
      <c r="W505" s="262">
        <f>+IF(H505="Segunda",VLOOKUP(_xlfn.CONCAT(P505,G505,H505,V505),'PUNTOS 2021'!$E$23:$F$30,2,0),TC!L505)</f>
        <v>7</v>
      </c>
      <c r="X505" s="67">
        <f>+VLOOKUP(Q505,COMISIONES!$C$2:$AO$33,39,0)</f>
        <v>40</v>
      </c>
      <c r="Y505" s="67">
        <f t="shared" si="8"/>
        <v>280</v>
      </c>
      <c r="Z505" s="58" t="s">
        <v>80</v>
      </c>
      <c r="AA505" s="13">
        <f>+VLOOKUP(Q505,COMISIONES!$C$2:$C$33,1,0)</f>
        <v>20006893</v>
      </c>
      <c r="AB505" s="13" t="s">
        <v>269</v>
      </c>
    </row>
    <row r="506" spans="1:28" hidden="1">
      <c r="A506" s="117" t="s">
        <v>821</v>
      </c>
      <c r="B506" s="138">
        <v>45160</v>
      </c>
      <c r="C506" s="117" t="s">
        <v>2338</v>
      </c>
      <c r="D506" s="117" t="s">
        <v>2339</v>
      </c>
      <c r="E506" s="117" t="s">
        <v>2340</v>
      </c>
      <c r="F506" s="117"/>
      <c r="G506" s="117" t="s">
        <v>45</v>
      </c>
      <c r="H506" s="117" t="s">
        <v>1</v>
      </c>
      <c r="I506"/>
      <c r="J506"/>
      <c r="K506" s="117" t="s">
        <v>105</v>
      </c>
      <c r="L506">
        <v>7</v>
      </c>
      <c r="M506" s="117" t="s">
        <v>112</v>
      </c>
      <c r="N506" s="117" t="s">
        <v>9</v>
      </c>
      <c r="O506" s="117" t="s">
        <v>51</v>
      </c>
      <c r="P506" s="117" t="s">
        <v>40</v>
      </c>
      <c r="Q506" s="139">
        <v>20004638</v>
      </c>
      <c r="R506" s="117" t="s">
        <v>78</v>
      </c>
      <c r="S506" s="117" t="s">
        <v>109</v>
      </c>
      <c r="T506" s="117" t="s">
        <v>109</v>
      </c>
      <c r="U506" s="117" t="s">
        <v>128</v>
      </c>
      <c r="V506" s="12">
        <f>+IFERROR(IF(VLOOKUP(Q506,COMISIONES!$C$2:$K$33,9,0)&gt;=VLOOKUP(TC!Q506,COMISIONES!$C$2:$I$33,7,0),1,0),0)</f>
        <v>0</v>
      </c>
      <c r="W506" s="262">
        <f>+IF(H506="Segunda",VLOOKUP(_xlfn.CONCAT(P506,G506,H506,V506),'PUNTOS 2021'!$E$23:$F$30,2,0),TC!L506)</f>
        <v>7</v>
      </c>
      <c r="X506" s="67">
        <f>+VLOOKUP(Q506,COMISIONES!$C$2:$AO$33,39,0)</f>
        <v>60</v>
      </c>
      <c r="Y506" s="67">
        <f t="shared" si="8"/>
        <v>420</v>
      </c>
      <c r="Z506" s="58" t="s">
        <v>80</v>
      </c>
      <c r="AA506" s="13">
        <f>+VLOOKUP(Q506,COMISIONES!$C$2:$C$33,1,0)</f>
        <v>20004638</v>
      </c>
      <c r="AB506" s="13" t="s">
        <v>269</v>
      </c>
    </row>
    <row r="507" spans="1:28" hidden="1">
      <c r="A507" s="117" t="s">
        <v>821</v>
      </c>
      <c r="B507" s="138">
        <v>45161</v>
      </c>
      <c r="C507" s="117" t="s">
        <v>2341</v>
      </c>
      <c r="D507" s="117" t="s">
        <v>2342</v>
      </c>
      <c r="E507" s="117" t="s">
        <v>2343</v>
      </c>
      <c r="F507" s="117"/>
      <c r="G507" s="117" t="s">
        <v>44</v>
      </c>
      <c r="H507" s="117" t="s">
        <v>1</v>
      </c>
      <c r="I507"/>
      <c r="J507"/>
      <c r="K507" s="117" t="s">
        <v>105</v>
      </c>
      <c r="L507">
        <v>5</v>
      </c>
      <c r="M507" s="117" t="s">
        <v>111</v>
      </c>
      <c r="N507" s="117" t="s">
        <v>14</v>
      </c>
      <c r="O507" s="117" t="s">
        <v>50</v>
      </c>
      <c r="P507" s="117" t="s">
        <v>40</v>
      </c>
      <c r="Q507" s="139">
        <v>20006360</v>
      </c>
      <c r="R507" s="117" t="s">
        <v>78</v>
      </c>
      <c r="S507" s="117" t="s">
        <v>109</v>
      </c>
      <c r="T507" s="117" t="s">
        <v>109</v>
      </c>
      <c r="U507" s="117" t="s">
        <v>128</v>
      </c>
      <c r="V507" s="12">
        <f>+IFERROR(IF(VLOOKUP(Q507,COMISIONES!$C$2:$K$33,9,0)&gt;=VLOOKUP(TC!Q507,COMISIONES!$C$2:$I$33,7,0),1,0),0)</f>
        <v>0</v>
      </c>
      <c r="W507" s="262">
        <f>+IF(H507="Segunda",VLOOKUP(_xlfn.CONCAT(P507,G507,H507,V507),'PUNTOS 2021'!$E$23:$F$30,2,0),TC!L507)</f>
        <v>5</v>
      </c>
      <c r="X507" s="67">
        <f>+VLOOKUP(Q507,COMISIONES!$C$2:$AO$33,39,0)</f>
        <v>40</v>
      </c>
      <c r="Y507" s="67">
        <f t="shared" si="8"/>
        <v>200</v>
      </c>
      <c r="Z507" s="58" t="s">
        <v>80</v>
      </c>
      <c r="AA507" s="13">
        <f>+VLOOKUP(Q507,COMISIONES!$C$2:$C$33,1,0)</f>
        <v>20006360</v>
      </c>
      <c r="AB507" s="13" t="s">
        <v>269</v>
      </c>
    </row>
    <row r="508" spans="1:28" hidden="1">
      <c r="A508" s="117" t="s">
        <v>821</v>
      </c>
      <c r="B508" s="138">
        <v>45161</v>
      </c>
      <c r="C508" s="117" t="s">
        <v>2344</v>
      </c>
      <c r="D508" s="117" t="s">
        <v>2345</v>
      </c>
      <c r="E508" s="117" t="s">
        <v>2346</v>
      </c>
      <c r="F508" s="117"/>
      <c r="G508" s="117" t="s">
        <v>43</v>
      </c>
      <c r="H508" s="117" t="s">
        <v>1</v>
      </c>
      <c r="I508"/>
      <c r="J508"/>
      <c r="K508" s="117" t="s">
        <v>105</v>
      </c>
      <c r="L508">
        <v>3</v>
      </c>
      <c r="M508" s="117" t="s">
        <v>114</v>
      </c>
      <c r="N508" s="117" t="s">
        <v>19</v>
      </c>
      <c r="O508" s="117" t="s">
        <v>49</v>
      </c>
      <c r="P508" s="117" t="s">
        <v>40</v>
      </c>
      <c r="Q508" s="139">
        <v>20008625</v>
      </c>
      <c r="R508" s="117" t="s">
        <v>78</v>
      </c>
      <c r="S508" s="117" t="s">
        <v>109</v>
      </c>
      <c r="T508" s="117" t="s">
        <v>109</v>
      </c>
      <c r="U508" s="117" t="s">
        <v>128</v>
      </c>
      <c r="V508" s="12">
        <f>+IFERROR(IF(VLOOKUP(Q508,COMISIONES!$C$2:$K$33,9,0)&gt;=VLOOKUP(TC!Q508,COMISIONES!$C$2:$I$33,7,0),1,0),0)</f>
        <v>0</v>
      </c>
      <c r="W508" s="262">
        <f>+IF(H508="Segunda",VLOOKUP(_xlfn.CONCAT(P508,G508,H508,V508),'PUNTOS 2021'!$E$23:$F$30,2,0),TC!L508)</f>
        <v>3</v>
      </c>
      <c r="X508" s="67">
        <f>+VLOOKUP(Q508,COMISIONES!$C$2:$AO$33,39,0)</f>
        <v>20</v>
      </c>
      <c r="Y508" s="67">
        <f t="shared" si="8"/>
        <v>60</v>
      </c>
      <c r="Z508" s="58" t="s">
        <v>80</v>
      </c>
      <c r="AA508" s="13">
        <f>+VLOOKUP(Q508,COMISIONES!$C$2:$C$33,1,0)</f>
        <v>20008625</v>
      </c>
      <c r="AB508" s="13" t="s">
        <v>269</v>
      </c>
    </row>
    <row r="509" spans="1:28" hidden="1">
      <c r="A509" s="117" t="s">
        <v>821</v>
      </c>
      <c r="B509" s="138">
        <v>45161</v>
      </c>
      <c r="C509" s="117" t="s">
        <v>2347</v>
      </c>
      <c r="D509" s="117" t="s">
        <v>2348</v>
      </c>
      <c r="E509" s="117" t="s">
        <v>2349</v>
      </c>
      <c r="F509" s="117"/>
      <c r="G509" s="117" t="s">
        <v>45</v>
      </c>
      <c r="H509" s="117" t="s">
        <v>1</v>
      </c>
      <c r="I509"/>
      <c r="J509"/>
      <c r="K509" s="117" t="s">
        <v>105</v>
      </c>
      <c r="L509">
        <v>7</v>
      </c>
      <c r="M509" s="117" t="s">
        <v>161</v>
      </c>
      <c r="N509" s="117" t="s">
        <v>158</v>
      </c>
      <c r="O509" s="117" t="s">
        <v>50</v>
      </c>
      <c r="P509" s="117" t="s">
        <v>40</v>
      </c>
      <c r="Q509" s="139">
        <v>20006162</v>
      </c>
      <c r="R509" s="117" t="s">
        <v>78</v>
      </c>
      <c r="S509" s="117" t="s">
        <v>109</v>
      </c>
      <c r="T509" s="117" t="s">
        <v>109</v>
      </c>
      <c r="U509" s="117" t="s">
        <v>128</v>
      </c>
      <c r="V509" s="12">
        <f>+IFERROR(IF(VLOOKUP(Q509,COMISIONES!$C$2:$K$33,9,0)&gt;=VLOOKUP(TC!Q509,COMISIONES!$C$2:$I$33,7,0),1,0),0)</f>
        <v>0</v>
      </c>
      <c r="W509" s="262">
        <f>+IF(H509="Segunda",VLOOKUP(_xlfn.CONCAT(P509,G509,H509,V509),'PUNTOS 2021'!$E$23:$F$30,2,0),TC!L509)</f>
        <v>7</v>
      </c>
      <c r="X509" s="67">
        <f>+VLOOKUP(Q509,COMISIONES!$C$2:$AO$33,39,0)</f>
        <v>60</v>
      </c>
      <c r="Y509" s="67">
        <f t="shared" si="8"/>
        <v>420</v>
      </c>
      <c r="Z509" s="58" t="s">
        <v>80</v>
      </c>
      <c r="AA509" s="13">
        <f>+VLOOKUP(Q509,COMISIONES!$C$2:$C$33,1,0)</f>
        <v>20006162</v>
      </c>
      <c r="AB509" s="13" t="s">
        <v>269</v>
      </c>
    </row>
    <row r="510" spans="1:28">
      <c r="A510" s="117" t="s">
        <v>821</v>
      </c>
      <c r="B510" s="138">
        <v>45161</v>
      </c>
      <c r="C510" s="117" t="s">
        <v>2350</v>
      </c>
      <c r="D510" s="117" t="s">
        <v>2348</v>
      </c>
      <c r="E510" s="117" t="s">
        <v>2351</v>
      </c>
      <c r="F510" s="117"/>
      <c r="G510" s="117" t="s">
        <v>43</v>
      </c>
      <c r="H510" s="117" t="s">
        <v>2</v>
      </c>
      <c r="I510"/>
      <c r="J510"/>
      <c r="K510" s="117" t="s">
        <v>130</v>
      </c>
      <c r="L510">
        <v>1</v>
      </c>
      <c r="M510" s="117" t="s">
        <v>161</v>
      </c>
      <c r="N510" s="117" t="s">
        <v>158</v>
      </c>
      <c r="O510" s="117" t="s">
        <v>50</v>
      </c>
      <c r="P510" s="117" t="s">
        <v>40</v>
      </c>
      <c r="Q510" s="139">
        <v>20006162</v>
      </c>
      <c r="R510" s="117" t="s">
        <v>78</v>
      </c>
      <c r="S510" s="117" t="s">
        <v>109</v>
      </c>
      <c r="T510" s="117" t="s">
        <v>109</v>
      </c>
      <c r="U510" s="117" t="s">
        <v>128</v>
      </c>
      <c r="V510" s="12">
        <f>+IFERROR(IF(VLOOKUP(Q510,COMISIONES!$C$2:$K$33,9,0)&gt;=VLOOKUP(TC!Q510,COMISIONES!$C$2:$I$33,7,0),1,0),0)</f>
        <v>0</v>
      </c>
      <c r="W510" s="262">
        <f>+IF(H510="Segunda",VLOOKUP(_xlfn.CONCAT(P510,G510,H510,V510),'PUNTOS 2021'!$E$23:$F$30,2,0),TC!L510)</f>
        <v>0.5</v>
      </c>
      <c r="X510" s="67">
        <f>+VLOOKUP(Q510,COMISIONES!$C$2:$AO$33,39,0)</f>
        <v>60</v>
      </c>
      <c r="Y510" s="67">
        <f t="shared" si="8"/>
        <v>30</v>
      </c>
      <c r="Z510" s="58" t="s">
        <v>80</v>
      </c>
      <c r="AA510" s="13">
        <f>+VLOOKUP(Q510,COMISIONES!$C$2:$C$33,1,0)</f>
        <v>20006162</v>
      </c>
      <c r="AB510" s="13" t="s">
        <v>269</v>
      </c>
    </row>
    <row r="511" spans="1:28" hidden="1">
      <c r="A511" s="117" t="s">
        <v>821</v>
      </c>
      <c r="B511" s="138">
        <v>45161</v>
      </c>
      <c r="C511" s="117" t="s">
        <v>2352</v>
      </c>
      <c r="D511" s="117" t="s">
        <v>2353</v>
      </c>
      <c r="E511" s="117" t="s">
        <v>2354</v>
      </c>
      <c r="F511" s="117"/>
      <c r="G511" s="117" t="s">
        <v>44</v>
      </c>
      <c r="H511" s="117" t="s">
        <v>1</v>
      </c>
      <c r="I511"/>
      <c r="J511"/>
      <c r="K511" s="117" t="s">
        <v>105</v>
      </c>
      <c r="L511">
        <v>5</v>
      </c>
      <c r="M511" s="117" t="s">
        <v>110</v>
      </c>
      <c r="N511" s="117" t="s">
        <v>10</v>
      </c>
      <c r="O511" s="117" t="s">
        <v>51</v>
      </c>
      <c r="P511" s="117" t="s">
        <v>40</v>
      </c>
      <c r="Q511" s="139">
        <v>20000661</v>
      </c>
      <c r="R511" s="117" t="s">
        <v>78</v>
      </c>
      <c r="S511" s="117" t="s">
        <v>109</v>
      </c>
      <c r="T511" s="117" t="s">
        <v>109</v>
      </c>
      <c r="U511" s="117" t="s">
        <v>128</v>
      </c>
      <c r="V511" s="12">
        <f>+IFERROR(IF(VLOOKUP(Q511,COMISIONES!$C$2:$K$33,9,0)&gt;=VLOOKUP(TC!Q511,COMISIONES!$C$2:$I$33,7,0),1,0),0)</f>
        <v>1</v>
      </c>
      <c r="W511" s="262">
        <f>+IF(H511="Segunda",VLOOKUP(_xlfn.CONCAT(P511,G511,H511,V511),'PUNTOS 2021'!$E$23:$F$30,2,0),TC!L511)</f>
        <v>5</v>
      </c>
      <c r="X511" s="67">
        <f>+VLOOKUP(Q511,COMISIONES!$C$2:$AO$33,39,0)</f>
        <v>60</v>
      </c>
      <c r="Y511" s="67">
        <f t="shared" si="8"/>
        <v>300</v>
      </c>
      <c r="Z511" s="58" t="s">
        <v>80</v>
      </c>
      <c r="AA511" s="13">
        <f>+VLOOKUP(Q511,COMISIONES!$C$2:$C$33,1,0)</f>
        <v>20000661</v>
      </c>
      <c r="AB511" s="13" t="s">
        <v>269</v>
      </c>
    </row>
    <row r="512" spans="1:28" hidden="1">
      <c r="A512" s="117" t="s">
        <v>821</v>
      </c>
      <c r="B512" s="138">
        <v>45161</v>
      </c>
      <c r="C512" s="117" t="s">
        <v>2355</v>
      </c>
      <c r="D512" s="117" t="s">
        <v>2356</v>
      </c>
      <c r="E512" s="117" t="s">
        <v>2357</v>
      </c>
      <c r="F512" s="117"/>
      <c r="G512" s="117" t="s">
        <v>44</v>
      </c>
      <c r="H512" s="117" t="s">
        <v>1</v>
      </c>
      <c r="I512"/>
      <c r="J512"/>
      <c r="K512" s="117" t="s">
        <v>105</v>
      </c>
      <c r="L512">
        <v>5</v>
      </c>
      <c r="M512" s="117" t="s">
        <v>124</v>
      </c>
      <c r="N512" s="117" t="s">
        <v>17</v>
      </c>
      <c r="O512" s="117" t="s">
        <v>52</v>
      </c>
      <c r="P512" s="117" t="s">
        <v>40</v>
      </c>
      <c r="Q512" s="139">
        <v>20006233</v>
      </c>
      <c r="R512" s="117" t="s">
        <v>78</v>
      </c>
      <c r="S512" s="117" t="s">
        <v>109</v>
      </c>
      <c r="T512" s="117" t="s">
        <v>109</v>
      </c>
      <c r="U512" s="117" t="s">
        <v>128</v>
      </c>
      <c r="V512" s="12">
        <f>+IFERROR(IF(VLOOKUP(Q512,COMISIONES!$C$2:$K$33,9,0)&gt;=VLOOKUP(TC!Q512,COMISIONES!$C$2:$I$33,7,0),1,0),0)</f>
        <v>0</v>
      </c>
      <c r="W512" s="262">
        <f>+IF(H512="Segunda",VLOOKUP(_xlfn.CONCAT(P512,G512,H512,V512),'PUNTOS 2021'!$E$23:$F$30,2,0),TC!L512)</f>
        <v>5</v>
      </c>
      <c r="X512" s="67">
        <f>+VLOOKUP(Q512,COMISIONES!$C$2:$AO$33,39,0)</f>
        <v>40</v>
      </c>
      <c r="Y512" s="67">
        <f t="shared" si="8"/>
        <v>200</v>
      </c>
      <c r="Z512" s="58" t="s">
        <v>80</v>
      </c>
      <c r="AA512" s="13">
        <f>+VLOOKUP(Q512,COMISIONES!$C$2:$C$33,1,0)</f>
        <v>20006233</v>
      </c>
      <c r="AB512" s="13" t="s">
        <v>269</v>
      </c>
    </row>
    <row r="513" spans="1:28" hidden="1">
      <c r="A513" s="117" t="s">
        <v>821</v>
      </c>
      <c r="B513" s="138">
        <v>45161</v>
      </c>
      <c r="C513" s="117" t="s">
        <v>2358</v>
      </c>
      <c r="D513" s="117" t="s">
        <v>2359</v>
      </c>
      <c r="E513" s="117" t="s">
        <v>2360</v>
      </c>
      <c r="F513" s="117"/>
      <c r="G513" s="117" t="s">
        <v>43</v>
      </c>
      <c r="H513" s="117" t="s">
        <v>1</v>
      </c>
      <c r="I513"/>
      <c r="J513"/>
      <c r="K513" s="117" t="s">
        <v>129</v>
      </c>
      <c r="L513">
        <v>3</v>
      </c>
      <c r="M513" s="117" t="s">
        <v>124</v>
      </c>
      <c r="N513" s="117" t="s">
        <v>17</v>
      </c>
      <c r="O513" s="117" t="s">
        <v>52</v>
      </c>
      <c r="P513" s="117" t="s">
        <v>40</v>
      </c>
      <c r="Q513" s="139">
        <v>20006233</v>
      </c>
      <c r="R513" s="117" t="s">
        <v>78</v>
      </c>
      <c r="S513" s="117" t="s">
        <v>109</v>
      </c>
      <c r="T513" s="117" t="s">
        <v>109</v>
      </c>
      <c r="U513" s="117" t="s">
        <v>128</v>
      </c>
      <c r="V513" s="12">
        <f>+IFERROR(IF(VLOOKUP(Q513,COMISIONES!$C$2:$K$33,9,0)&gt;=VLOOKUP(TC!Q513,COMISIONES!$C$2:$I$33,7,0),1,0),0)</f>
        <v>0</v>
      </c>
      <c r="W513" s="262">
        <f>+IF(H513="Segunda",VLOOKUP(_xlfn.CONCAT(P513,G513,H513,V513),'PUNTOS 2021'!$E$23:$F$30,2,0),TC!L513)</f>
        <v>3</v>
      </c>
      <c r="X513" s="67">
        <f>+VLOOKUP(Q513,COMISIONES!$C$2:$AO$33,39,0)</f>
        <v>40</v>
      </c>
      <c r="Y513" s="67">
        <f t="shared" si="8"/>
        <v>120</v>
      </c>
      <c r="Z513" s="58" t="s">
        <v>80</v>
      </c>
      <c r="AA513" s="13">
        <f>+VLOOKUP(Q513,COMISIONES!$C$2:$C$33,1,0)</f>
        <v>20006233</v>
      </c>
      <c r="AB513" s="13" t="s">
        <v>269</v>
      </c>
    </row>
    <row r="514" spans="1:28" hidden="1">
      <c r="A514" s="117" t="s">
        <v>821</v>
      </c>
      <c r="B514" s="138">
        <v>45161</v>
      </c>
      <c r="C514" s="117" t="s">
        <v>2361</v>
      </c>
      <c r="D514" s="117" t="s">
        <v>2362</v>
      </c>
      <c r="E514" s="117" t="s">
        <v>2363</v>
      </c>
      <c r="F514" s="117"/>
      <c r="G514" s="117" t="s">
        <v>45</v>
      </c>
      <c r="H514" s="117" t="s">
        <v>1</v>
      </c>
      <c r="I514"/>
      <c r="J514"/>
      <c r="K514" s="117" t="s">
        <v>129</v>
      </c>
      <c r="L514">
        <v>7</v>
      </c>
      <c r="M514" s="117" t="s">
        <v>270</v>
      </c>
      <c r="N514" s="117" t="s">
        <v>271</v>
      </c>
      <c r="O514" s="117" t="s">
        <v>52</v>
      </c>
      <c r="P514" s="117" t="s">
        <v>40</v>
      </c>
      <c r="Q514" s="139">
        <v>20009592</v>
      </c>
      <c r="R514" s="117" t="s">
        <v>78</v>
      </c>
      <c r="S514" s="117" t="s">
        <v>109</v>
      </c>
      <c r="T514" s="117" t="s">
        <v>109</v>
      </c>
      <c r="U514" s="117" t="s">
        <v>128</v>
      </c>
      <c r="V514" s="12">
        <f>+IFERROR(IF(VLOOKUP(Q514,COMISIONES!$C$2:$K$33,9,0)&gt;=VLOOKUP(TC!Q514,COMISIONES!$C$2:$I$33,7,0),1,0),0)</f>
        <v>1</v>
      </c>
      <c r="W514" s="262">
        <f>+IF(H514="Segunda",VLOOKUP(_xlfn.CONCAT(P514,G514,H514,V514),'PUNTOS 2021'!$E$23:$F$30,2,0),TC!L514)</f>
        <v>7</v>
      </c>
      <c r="X514" s="67">
        <f>+VLOOKUP(Q514,COMISIONES!$C$2:$AO$33,39,0)</f>
        <v>60</v>
      </c>
      <c r="Y514" s="67">
        <f t="shared" si="8"/>
        <v>420</v>
      </c>
      <c r="Z514" s="58" t="s">
        <v>80</v>
      </c>
      <c r="AA514" s="13">
        <f>+VLOOKUP(Q514,COMISIONES!$C$2:$C$33,1,0)</f>
        <v>20009592</v>
      </c>
      <c r="AB514" s="13" t="s">
        <v>269</v>
      </c>
    </row>
    <row r="515" spans="1:28" hidden="1">
      <c r="A515" s="117" t="s">
        <v>821</v>
      </c>
      <c r="B515" s="138">
        <v>45161</v>
      </c>
      <c r="C515" s="117" t="s">
        <v>2364</v>
      </c>
      <c r="D515" s="117" t="s">
        <v>2365</v>
      </c>
      <c r="E515" s="117" t="s">
        <v>2366</v>
      </c>
      <c r="F515" s="117"/>
      <c r="G515" s="117" t="s">
        <v>44</v>
      </c>
      <c r="H515" s="117" t="s">
        <v>1</v>
      </c>
      <c r="I515"/>
      <c r="J515"/>
      <c r="K515" s="117" t="s">
        <v>105</v>
      </c>
      <c r="L515">
        <v>5</v>
      </c>
      <c r="M515" s="117" t="s">
        <v>122</v>
      </c>
      <c r="N515" s="117" t="s">
        <v>5</v>
      </c>
      <c r="O515" s="117" t="s">
        <v>50</v>
      </c>
      <c r="P515" s="117" t="s">
        <v>40</v>
      </c>
      <c r="Q515" s="139">
        <v>20004566</v>
      </c>
      <c r="R515" s="117" t="s">
        <v>78</v>
      </c>
      <c r="S515" s="117" t="s">
        <v>109</v>
      </c>
      <c r="T515" s="117" t="s">
        <v>109</v>
      </c>
      <c r="U515" s="117" t="s">
        <v>128</v>
      </c>
      <c r="V515" s="12">
        <f>+IFERROR(IF(VLOOKUP(Q515,COMISIONES!$C$2:$K$33,9,0)&gt;=VLOOKUP(TC!Q515,COMISIONES!$C$2:$I$33,7,0),1,0),0)</f>
        <v>1</v>
      </c>
      <c r="W515" s="262">
        <f>+IF(H515="Segunda",VLOOKUP(_xlfn.CONCAT(P515,G515,H515,V515),'PUNTOS 2021'!$E$23:$F$30,2,0),TC!L515)</f>
        <v>5</v>
      </c>
      <c r="X515" s="67">
        <f>+VLOOKUP(Q515,COMISIONES!$C$2:$AO$33,39,0)</f>
        <v>60</v>
      </c>
      <c r="Y515" s="67">
        <f t="shared" si="8"/>
        <v>300</v>
      </c>
      <c r="Z515" s="58" t="s">
        <v>80</v>
      </c>
      <c r="AA515" s="13">
        <f>+VLOOKUP(Q515,COMISIONES!$C$2:$C$33,1,0)</f>
        <v>20004566</v>
      </c>
      <c r="AB515" s="13" t="s">
        <v>269</v>
      </c>
    </row>
    <row r="516" spans="1:28" hidden="1">
      <c r="A516" s="117" t="s">
        <v>821</v>
      </c>
      <c r="B516" s="138">
        <v>45161</v>
      </c>
      <c r="C516" s="117" t="s">
        <v>2367</v>
      </c>
      <c r="D516" s="117" t="s">
        <v>2368</v>
      </c>
      <c r="E516" s="117" t="s">
        <v>2369</v>
      </c>
      <c r="F516" s="117"/>
      <c r="G516" s="117" t="s">
        <v>45</v>
      </c>
      <c r="H516" s="117" t="s">
        <v>1</v>
      </c>
      <c r="I516"/>
      <c r="J516"/>
      <c r="K516" s="117" t="s">
        <v>105</v>
      </c>
      <c r="L516">
        <v>7</v>
      </c>
      <c r="M516" s="117" t="s">
        <v>270</v>
      </c>
      <c r="N516" s="117" t="s">
        <v>271</v>
      </c>
      <c r="O516" s="117" t="s">
        <v>52</v>
      </c>
      <c r="P516" s="117" t="s">
        <v>40</v>
      </c>
      <c r="Q516" s="139">
        <v>20009592</v>
      </c>
      <c r="R516" s="117" t="s">
        <v>78</v>
      </c>
      <c r="S516" s="117" t="s">
        <v>109</v>
      </c>
      <c r="T516" s="117" t="s">
        <v>109</v>
      </c>
      <c r="U516" s="117" t="s">
        <v>128</v>
      </c>
      <c r="V516" s="12">
        <f>+IFERROR(IF(VLOOKUP(Q516,COMISIONES!$C$2:$K$33,9,0)&gt;=VLOOKUP(TC!Q516,COMISIONES!$C$2:$I$33,7,0),1,0),0)</f>
        <v>1</v>
      </c>
      <c r="W516" s="262">
        <f>+IF(H516="Segunda",VLOOKUP(_xlfn.CONCAT(P516,G516,H516,V516),'PUNTOS 2021'!$E$23:$F$30,2,0),TC!L516)</f>
        <v>7</v>
      </c>
      <c r="X516" s="67">
        <f>+VLOOKUP(Q516,COMISIONES!$C$2:$AO$33,39,0)</f>
        <v>60</v>
      </c>
      <c r="Y516" s="67">
        <f t="shared" si="8"/>
        <v>420</v>
      </c>
      <c r="Z516" s="58" t="s">
        <v>80</v>
      </c>
      <c r="AA516" s="13">
        <f>+VLOOKUP(Q516,COMISIONES!$C$2:$C$33,1,0)</f>
        <v>20009592</v>
      </c>
      <c r="AB516" s="13" t="s">
        <v>269</v>
      </c>
    </row>
    <row r="517" spans="1:28" hidden="1">
      <c r="A517" s="117" t="s">
        <v>821</v>
      </c>
      <c r="B517" s="138">
        <v>45161</v>
      </c>
      <c r="C517" s="117" t="s">
        <v>2370</v>
      </c>
      <c r="D517" s="117" t="s">
        <v>2371</v>
      </c>
      <c r="E517" s="117" t="s">
        <v>2372</v>
      </c>
      <c r="F517" s="117"/>
      <c r="G517" s="117" t="s">
        <v>44</v>
      </c>
      <c r="H517" s="117" t="s">
        <v>1</v>
      </c>
      <c r="I517"/>
      <c r="J517"/>
      <c r="K517" s="117" t="s">
        <v>105</v>
      </c>
      <c r="L517">
        <v>5</v>
      </c>
      <c r="M517" s="117" t="s">
        <v>402</v>
      </c>
      <c r="N517" s="117" t="s">
        <v>389</v>
      </c>
      <c r="O517" s="117" t="s">
        <v>50</v>
      </c>
      <c r="P517" s="117" t="s">
        <v>40</v>
      </c>
      <c r="Q517" s="139">
        <v>20010604</v>
      </c>
      <c r="R517" s="117" t="s">
        <v>78</v>
      </c>
      <c r="S517" s="117" t="s">
        <v>109</v>
      </c>
      <c r="T517" s="117" t="s">
        <v>109</v>
      </c>
      <c r="U517" s="117" t="s">
        <v>128</v>
      </c>
      <c r="V517" s="12">
        <f>+IFERROR(IF(VLOOKUP(Q517,COMISIONES!$C$2:$K$33,9,0)&gt;=VLOOKUP(TC!Q517,COMISIONES!$C$2:$I$33,7,0),1,0),0)</f>
        <v>0</v>
      </c>
      <c r="W517" s="262">
        <f>+IF(H517="Segunda",VLOOKUP(_xlfn.CONCAT(P517,G517,H517,V517),'PUNTOS 2021'!$E$23:$F$30,2,0),TC!L517)</f>
        <v>5</v>
      </c>
      <c r="X517" s="67">
        <f>+VLOOKUP(Q517,COMISIONES!$C$2:$AO$33,39,0)</f>
        <v>40</v>
      </c>
      <c r="Y517" s="67">
        <f t="shared" si="8"/>
        <v>200</v>
      </c>
      <c r="Z517" s="58" t="s">
        <v>80</v>
      </c>
      <c r="AA517" s="13">
        <f>+VLOOKUP(Q517,COMISIONES!$C$2:$C$33,1,0)</f>
        <v>20010604</v>
      </c>
      <c r="AB517" s="13" t="s">
        <v>269</v>
      </c>
    </row>
    <row r="518" spans="1:28">
      <c r="A518" s="117" t="s">
        <v>821</v>
      </c>
      <c r="B518" s="138">
        <v>45161</v>
      </c>
      <c r="C518" s="117" t="s">
        <v>2373</v>
      </c>
      <c r="D518" s="117" t="s">
        <v>2374</v>
      </c>
      <c r="E518" s="117" t="s">
        <v>2375</v>
      </c>
      <c r="F518" s="117"/>
      <c r="G518" s="117" t="s">
        <v>43</v>
      </c>
      <c r="H518" s="117" t="s">
        <v>2</v>
      </c>
      <c r="I518"/>
      <c r="J518"/>
      <c r="K518" s="117" t="s">
        <v>105</v>
      </c>
      <c r="L518">
        <v>1</v>
      </c>
      <c r="M518" s="117" t="s">
        <v>111</v>
      </c>
      <c r="N518" s="117" t="s">
        <v>14</v>
      </c>
      <c r="O518" s="117" t="s">
        <v>50</v>
      </c>
      <c r="P518" s="117" t="s">
        <v>40</v>
      </c>
      <c r="Q518" s="139">
        <v>20006360</v>
      </c>
      <c r="R518" s="117" t="s">
        <v>78</v>
      </c>
      <c r="S518" s="117" t="s">
        <v>109</v>
      </c>
      <c r="T518" s="117" t="s">
        <v>109</v>
      </c>
      <c r="U518" s="117" t="s">
        <v>128</v>
      </c>
      <c r="V518" s="12">
        <f>+IFERROR(IF(VLOOKUP(Q518,COMISIONES!$C$2:$K$33,9,0)&gt;=VLOOKUP(TC!Q518,COMISIONES!$C$2:$I$33,7,0),1,0),0)</f>
        <v>0</v>
      </c>
      <c r="W518" s="262">
        <f>+IF(H518="Segunda",VLOOKUP(_xlfn.CONCAT(P518,G518,H518,V518),'PUNTOS 2021'!$E$23:$F$30,2,0),TC!L518)</f>
        <v>0.5</v>
      </c>
      <c r="X518" s="67">
        <f>+VLOOKUP(Q518,COMISIONES!$C$2:$AO$33,39,0)</f>
        <v>40</v>
      </c>
      <c r="Y518" s="67">
        <f t="shared" si="8"/>
        <v>20</v>
      </c>
      <c r="Z518" s="58" t="s">
        <v>80</v>
      </c>
      <c r="AA518" s="13">
        <f>+VLOOKUP(Q518,COMISIONES!$C$2:$C$33,1,0)</f>
        <v>20006360</v>
      </c>
      <c r="AB518" s="13" t="s">
        <v>269</v>
      </c>
    </row>
    <row r="519" spans="1:28" hidden="1">
      <c r="A519" s="117" t="s">
        <v>821</v>
      </c>
      <c r="B519" s="138">
        <v>45161</v>
      </c>
      <c r="C519" s="117" t="s">
        <v>2376</v>
      </c>
      <c r="D519" s="117" t="s">
        <v>2377</v>
      </c>
      <c r="E519" s="117" t="s">
        <v>2378</v>
      </c>
      <c r="F519" s="117"/>
      <c r="G519" s="117" t="s">
        <v>45</v>
      </c>
      <c r="H519" s="117" t="s">
        <v>1</v>
      </c>
      <c r="I519"/>
      <c r="J519"/>
      <c r="K519" s="117" t="s">
        <v>105</v>
      </c>
      <c r="L519">
        <v>7</v>
      </c>
      <c r="M519" s="117" t="s">
        <v>121</v>
      </c>
      <c r="N519" s="117" t="s">
        <v>3</v>
      </c>
      <c r="O519" s="117" t="s">
        <v>49</v>
      </c>
      <c r="P519" s="117" t="s">
        <v>40</v>
      </c>
      <c r="Q519" s="139">
        <v>20004161</v>
      </c>
      <c r="R519" s="117" t="s">
        <v>78</v>
      </c>
      <c r="S519" s="117" t="s">
        <v>109</v>
      </c>
      <c r="T519" s="117" t="s">
        <v>109</v>
      </c>
      <c r="U519" s="117" t="s">
        <v>128</v>
      </c>
      <c r="V519" s="12">
        <f>+IFERROR(IF(VLOOKUP(Q519,COMISIONES!$C$2:$K$33,9,0)&gt;=VLOOKUP(TC!Q519,COMISIONES!$C$2:$I$33,7,0),1,0),0)</f>
        <v>1</v>
      </c>
      <c r="W519" s="262">
        <f>+IF(H519="Segunda",VLOOKUP(_xlfn.CONCAT(P519,G519,H519,V519),'PUNTOS 2021'!$E$23:$F$30,2,0),TC!L519)</f>
        <v>7</v>
      </c>
      <c r="X519" s="67">
        <f>+VLOOKUP(Q519,COMISIONES!$C$2:$AO$33,39,0)</f>
        <v>65</v>
      </c>
      <c r="Y519" s="67">
        <f t="shared" si="8"/>
        <v>455</v>
      </c>
      <c r="Z519" s="58" t="s">
        <v>80</v>
      </c>
      <c r="AA519" s="13">
        <f>+VLOOKUP(Q519,COMISIONES!$C$2:$C$33,1,0)</f>
        <v>20004161</v>
      </c>
      <c r="AB519" s="13" t="s">
        <v>269</v>
      </c>
    </row>
    <row r="520" spans="1:28">
      <c r="A520" s="117" t="s">
        <v>821</v>
      </c>
      <c r="B520" s="138">
        <v>45161</v>
      </c>
      <c r="C520" s="117" t="s">
        <v>2379</v>
      </c>
      <c r="D520" s="117" t="s">
        <v>2380</v>
      </c>
      <c r="E520" s="117" t="s">
        <v>2381</v>
      </c>
      <c r="F520" s="117"/>
      <c r="G520" s="117" t="s">
        <v>43</v>
      </c>
      <c r="H520" s="117" t="s">
        <v>2</v>
      </c>
      <c r="I520"/>
      <c r="J520"/>
      <c r="K520" s="117" t="s">
        <v>105</v>
      </c>
      <c r="L520">
        <v>1</v>
      </c>
      <c r="M520" s="117" t="s">
        <v>260</v>
      </c>
      <c r="N520" s="117" t="s">
        <v>261</v>
      </c>
      <c r="O520" s="117" t="s">
        <v>52</v>
      </c>
      <c r="P520" s="117" t="s">
        <v>40</v>
      </c>
      <c r="Q520" s="139">
        <v>20010262</v>
      </c>
      <c r="R520" s="117" t="s">
        <v>78</v>
      </c>
      <c r="S520" s="117" t="s">
        <v>109</v>
      </c>
      <c r="T520" s="117" t="s">
        <v>109</v>
      </c>
      <c r="U520" s="117" t="s">
        <v>128</v>
      </c>
      <c r="V520" s="12">
        <f>+IFERROR(IF(VLOOKUP(Q520,COMISIONES!$C$2:$K$33,9,0)&gt;=VLOOKUP(TC!Q520,COMISIONES!$C$2:$I$33,7,0),1,0),0)</f>
        <v>0</v>
      </c>
      <c r="W520" s="262">
        <f>+IF(H520="Segunda",VLOOKUP(_xlfn.CONCAT(P520,G520,H520,V520),'PUNTOS 2021'!$E$23:$F$30,2,0),TC!L520)</f>
        <v>0.5</v>
      </c>
      <c r="X520" s="67">
        <f>+VLOOKUP(Q520,COMISIONES!$C$2:$AO$33,39,0)</f>
        <v>60</v>
      </c>
      <c r="Y520" s="67">
        <f t="shared" si="8"/>
        <v>30</v>
      </c>
      <c r="Z520" s="58" t="s">
        <v>80</v>
      </c>
      <c r="AA520" s="13">
        <f>+VLOOKUP(Q520,COMISIONES!$C$2:$C$33,1,0)</f>
        <v>20010262</v>
      </c>
      <c r="AB520" s="13" t="s">
        <v>269</v>
      </c>
    </row>
    <row r="521" spans="1:28">
      <c r="A521" s="117" t="s">
        <v>821</v>
      </c>
      <c r="B521" s="138">
        <v>45161</v>
      </c>
      <c r="C521" s="117" t="s">
        <v>2382</v>
      </c>
      <c r="D521" s="117" t="s">
        <v>2383</v>
      </c>
      <c r="E521" s="117" t="s">
        <v>2384</v>
      </c>
      <c r="F521" s="117"/>
      <c r="G521" s="117" t="s">
        <v>45</v>
      </c>
      <c r="H521" s="117" t="s">
        <v>2</v>
      </c>
      <c r="I521"/>
      <c r="J521"/>
      <c r="K521" s="117" t="s">
        <v>105</v>
      </c>
      <c r="L521">
        <v>2</v>
      </c>
      <c r="M521" s="117" t="s">
        <v>110</v>
      </c>
      <c r="N521" s="117" t="s">
        <v>10</v>
      </c>
      <c r="O521" s="117" t="s">
        <v>51</v>
      </c>
      <c r="P521" s="117" t="s">
        <v>40</v>
      </c>
      <c r="Q521" s="139">
        <v>20000661</v>
      </c>
      <c r="R521" s="117" t="s">
        <v>78</v>
      </c>
      <c r="S521" s="117" t="s">
        <v>109</v>
      </c>
      <c r="T521" s="117" t="s">
        <v>109</v>
      </c>
      <c r="U521" s="117" t="s">
        <v>128</v>
      </c>
      <c r="V521" s="12">
        <f>+IFERROR(IF(VLOOKUP(Q521,COMISIONES!$C$2:$K$33,9,0)&gt;=VLOOKUP(TC!Q521,COMISIONES!$C$2:$I$33,7,0),1,0),0)</f>
        <v>1</v>
      </c>
      <c r="W521" s="262">
        <f>+IF(H521="Segunda",VLOOKUP(_xlfn.CONCAT(P521,G521,H521,V521),'PUNTOS 2021'!$E$23:$F$30,2,0),TC!L521)</f>
        <v>2</v>
      </c>
      <c r="X521" s="67">
        <f>+VLOOKUP(Q521,COMISIONES!$C$2:$AO$33,39,0)</f>
        <v>60</v>
      </c>
      <c r="Y521" s="67">
        <f t="shared" si="8"/>
        <v>120</v>
      </c>
      <c r="Z521" s="58" t="s">
        <v>80</v>
      </c>
      <c r="AA521" s="13">
        <f>+VLOOKUP(Q521,COMISIONES!$C$2:$C$33,1,0)</f>
        <v>20000661</v>
      </c>
      <c r="AB521" s="13" t="s">
        <v>269</v>
      </c>
    </row>
    <row r="522" spans="1:28" hidden="1">
      <c r="A522" s="117" t="s">
        <v>821</v>
      </c>
      <c r="B522" s="138">
        <v>45162</v>
      </c>
      <c r="C522" s="117" t="s">
        <v>2385</v>
      </c>
      <c r="D522" s="117" t="s">
        <v>2386</v>
      </c>
      <c r="E522" s="117" t="s">
        <v>2387</v>
      </c>
      <c r="F522" s="117"/>
      <c r="G522" s="117" t="s">
        <v>44</v>
      </c>
      <c r="H522" s="117" t="s">
        <v>1</v>
      </c>
      <c r="I522"/>
      <c r="J522"/>
      <c r="K522" s="117" t="s">
        <v>105</v>
      </c>
      <c r="L522">
        <v>5</v>
      </c>
      <c r="M522" s="117" t="s">
        <v>110</v>
      </c>
      <c r="N522" s="117" t="s">
        <v>10</v>
      </c>
      <c r="O522" s="117" t="s">
        <v>51</v>
      </c>
      <c r="P522" s="117" t="s">
        <v>40</v>
      </c>
      <c r="Q522" s="139">
        <v>20000661</v>
      </c>
      <c r="R522" s="117" t="s">
        <v>78</v>
      </c>
      <c r="S522" s="117" t="s">
        <v>109</v>
      </c>
      <c r="T522" s="117" t="s">
        <v>109</v>
      </c>
      <c r="U522" s="117" t="s">
        <v>128</v>
      </c>
      <c r="V522" s="12">
        <f>+IFERROR(IF(VLOOKUP(Q522,COMISIONES!$C$2:$K$33,9,0)&gt;=VLOOKUP(TC!Q522,COMISIONES!$C$2:$I$33,7,0),1,0),0)</f>
        <v>1</v>
      </c>
      <c r="W522" s="262">
        <f>+IF(H522="Segunda",VLOOKUP(_xlfn.CONCAT(P522,G522,H522,V522),'PUNTOS 2021'!$E$23:$F$30,2,0),TC!L522)</f>
        <v>5</v>
      </c>
      <c r="X522" s="67">
        <f>+VLOOKUP(Q522,COMISIONES!$C$2:$AO$33,39,0)</f>
        <v>60</v>
      </c>
      <c r="Y522" s="67">
        <f t="shared" si="8"/>
        <v>300</v>
      </c>
      <c r="Z522" s="58" t="s">
        <v>80</v>
      </c>
      <c r="AA522" s="13">
        <f>+VLOOKUP(Q522,COMISIONES!$C$2:$C$33,1,0)</f>
        <v>20000661</v>
      </c>
      <c r="AB522" s="13" t="s">
        <v>269</v>
      </c>
    </row>
    <row r="523" spans="1:28" hidden="1">
      <c r="A523" s="117" t="s">
        <v>821</v>
      </c>
      <c r="B523" s="138">
        <v>45162</v>
      </c>
      <c r="C523" s="117" t="s">
        <v>2388</v>
      </c>
      <c r="D523" s="117" t="s">
        <v>2389</v>
      </c>
      <c r="E523" s="117" t="s">
        <v>2390</v>
      </c>
      <c r="F523" s="117"/>
      <c r="G523" s="117" t="s">
        <v>44</v>
      </c>
      <c r="H523" s="117" t="s">
        <v>1</v>
      </c>
      <c r="I523"/>
      <c r="J523"/>
      <c r="K523" s="117" t="s">
        <v>105</v>
      </c>
      <c r="L523">
        <v>5</v>
      </c>
      <c r="M523" s="117" t="s">
        <v>115</v>
      </c>
      <c r="N523" s="117" t="s">
        <v>6</v>
      </c>
      <c r="O523" s="117" t="s">
        <v>51</v>
      </c>
      <c r="P523" s="117" t="s">
        <v>40</v>
      </c>
      <c r="Q523" s="139">
        <v>20001487</v>
      </c>
      <c r="R523" s="117" t="s">
        <v>78</v>
      </c>
      <c r="S523" s="117" t="s">
        <v>109</v>
      </c>
      <c r="T523" s="117" t="s">
        <v>109</v>
      </c>
      <c r="U523" s="117" t="s">
        <v>128</v>
      </c>
      <c r="V523" s="12">
        <f>+IFERROR(IF(VLOOKUP(Q523,COMISIONES!$C$2:$K$33,9,0)&gt;=VLOOKUP(TC!Q523,COMISIONES!$C$2:$I$33,7,0),1,0),0)</f>
        <v>1</v>
      </c>
      <c r="W523" s="262">
        <f>+IF(H523="Segunda",VLOOKUP(_xlfn.CONCAT(P523,G523,H523,V523),'PUNTOS 2021'!$E$23:$F$30,2,0),TC!L523)</f>
        <v>5</v>
      </c>
      <c r="X523" s="67">
        <f>+VLOOKUP(Q523,COMISIONES!$C$2:$AO$33,39,0)</f>
        <v>65</v>
      </c>
      <c r="Y523" s="67">
        <f t="shared" si="8"/>
        <v>325</v>
      </c>
      <c r="Z523" s="58" t="s">
        <v>80</v>
      </c>
      <c r="AA523" s="13">
        <f>+VLOOKUP(Q523,COMISIONES!$C$2:$C$33,1,0)</f>
        <v>20001487</v>
      </c>
      <c r="AB523" s="13" t="s">
        <v>269</v>
      </c>
    </row>
    <row r="524" spans="1:28" hidden="1">
      <c r="A524" s="117" t="s">
        <v>821</v>
      </c>
      <c r="B524" s="138">
        <v>45162</v>
      </c>
      <c r="C524" s="117" t="s">
        <v>2391</v>
      </c>
      <c r="D524" s="117" t="s">
        <v>2392</v>
      </c>
      <c r="E524" s="117" t="s">
        <v>2393</v>
      </c>
      <c r="F524" s="117"/>
      <c r="G524" s="117" t="s">
        <v>44</v>
      </c>
      <c r="H524" s="117" t="s">
        <v>1</v>
      </c>
      <c r="I524"/>
      <c r="J524"/>
      <c r="K524" s="117" t="s">
        <v>105</v>
      </c>
      <c r="L524">
        <v>5</v>
      </c>
      <c r="M524" s="117" t="s">
        <v>127</v>
      </c>
      <c r="N524" s="117" t="s">
        <v>16</v>
      </c>
      <c r="O524" s="117" t="s">
        <v>49</v>
      </c>
      <c r="P524" s="117" t="s">
        <v>40</v>
      </c>
      <c r="Q524" s="139">
        <v>20002708</v>
      </c>
      <c r="R524" s="117" t="s">
        <v>78</v>
      </c>
      <c r="S524" s="117" t="s">
        <v>109</v>
      </c>
      <c r="T524" s="117" t="s">
        <v>109</v>
      </c>
      <c r="U524" s="117" t="s">
        <v>128</v>
      </c>
      <c r="V524" s="12">
        <f>+IFERROR(IF(VLOOKUP(Q524,COMISIONES!$C$2:$K$33,9,0)&gt;=VLOOKUP(TC!Q524,COMISIONES!$C$2:$I$33,7,0),1,0),0)</f>
        <v>0</v>
      </c>
      <c r="W524" s="262">
        <f>+IF(H524="Segunda",VLOOKUP(_xlfn.CONCAT(P524,G524,H524,V524),'PUNTOS 2021'!$E$23:$F$30,2,0),TC!L524)</f>
        <v>5</v>
      </c>
      <c r="X524" s="67">
        <f>+VLOOKUP(Q524,COMISIONES!$C$2:$AO$33,39,0)</f>
        <v>60</v>
      </c>
      <c r="Y524" s="67">
        <f t="shared" si="8"/>
        <v>300</v>
      </c>
      <c r="Z524" s="58" t="s">
        <v>80</v>
      </c>
      <c r="AA524" s="13">
        <f>+VLOOKUP(Q524,COMISIONES!$C$2:$C$33,1,0)</f>
        <v>20002708</v>
      </c>
      <c r="AB524" s="13" t="s">
        <v>269</v>
      </c>
    </row>
    <row r="525" spans="1:28" hidden="1">
      <c r="A525" s="117" t="s">
        <v>821</v>
      </c>
      <c r="B525" s="138">
        <v>45162</v>
      </c>
      <c r="C525" s="117" t="s">
        <v>2394</v>
      </c>
      <c r="D525" s="117" t="s">
        <v>2395</v>
      </c>
      <c r="E525" s="117" t="s">
        <v>2396</v>
      </c>
      <c r="F525" s="117"/>
      <c r="G525" s="117" t="s">
        <v>44</v>
      </c>
      <c r="H525" s="117" t="s">
        <v>1</v>
      </c>
      <c r="I525"/>
      <c r="J525"/>
      <c r="K525" s="117" t="s">
        <v>129</v>
      </c>
      <c r="L525">
        <v>5</v>
      </c>
      <c r="M525" s="117" t="s">
        <v>260</v>
      </c>
      <c r="N525" s="117" t="s">
        <v>261</v>
      </c>
      <c r="O525" s="117" t="s">
        <v>52</v>
      </c>
      <c r="P525" s="117" t="s">
        <v>40</v>
      </c>
      <c r="Q525" s="139">
        <v>20010262</v>
      </c>
      <c r="R525" s="117" t="s">
        <v>78</v>
      </c>
      <c r="S525" s="117" t="s">
        <v>109</v>
      </c>
      <c r="T525" s="117" t="s">
        <v>109</v>
      </c>
      <c r="U525" s="117" t="s">
        <v>128</v>
      </c>
      <c r="V525" s="12">
        <f>+IFERROR(IF(VLOOKUP(Q525,COMISIONES!$C$2:$K$33,9,0)&gt;=VLOOKUP(TC!Q525,COMISIONES!$C$2:$I$33,7,0),1,0),0)</f>
        <v>0</v>
      </c>
      <c r="W525" s="262">
        <f>+IF(H525="Segunda",VLOOKUP(_xlfn.CONCAT(P525,G525,H525,V525),'PUNTOS 2021'!$E$23:$F$30,2,0),TC!L525)</f>
        <v>5</v>
      </c>
      <c r="X525" s="67">
        <f>+VLOOKUP(Q525,COMISIONES!$C$2:$AO$33,39,0)</f>
        <v>60</v>
      </c>
      <c r="Y525" s="67">
        <f t="shared" si="8"/>
        <v>300</v>
      </c>
      <c r="Z525" s="58" t="s">
        <v>80</v>
      </c>
      <c r="AA525" s="13">
        <f>+VLOOKUP(Q525,COMISIONES!$C$2:$C$33,1,0)</f>
        <v>20010262</v>
      </c>
      <c r="AB525" s="13" t="s">
        <v>269</v>
      </c>
    </row>
    <row r="526" spans="1:28" hidden="1">
      <c r="A526" s="117" t="s">
        <v>821</v>
      </c>
      <c r="B526" s="138">
        <v>45162</v>
      </c>
      <c r="C526" s="117" t="s">
        <v>2397</v>
      </c>
      <c r="D526" s="117" t="s">
        <v>2398</v>
      </c>
      <c r="E526" s="117" t="s">
        <v>2399</v>
      </c>
      <c r="F526" s="117"/>
      <c r="G526" s="117" t="s">
        <v>44</v>
      </c>
      <c r="H526" s="117" t="s">
        <v>1</v>
      </c>
      <c r="I526"/>
      <c r="J526"/>
      <c r="K526" s="117" t="s">
        <v>129</v>
      </c>
      <c r="L526">
        <v>5</v>
      </c>
      <c r="M526" s="117" t="s">
        <v>120</v>
      </c>
      <c r="N526" s="117" t="s">
        <v>21</v>
      </c>
      <c r="O526" s="117" t="s">
        <v>50</v>
      </c>
      <c r="P526" s="117" t="s">
        <v>40</v>
      </c>
      <c r="Q526" s="139">
        <v>20008711</v>
      </c>
      <c r="R526" s="117" t="s">
        <v>78</v>
      </c>
      <c r="S526" s="117" t="s">
        <v>109</v>
      </c>
      <c r="T526" s="117" t="s">
        <v>109</v>
      </c>
      <c r="U526" s="117" t="s">
        <v>128</v>
      </c>
      <c r="V526" s="12">
        <f>+IFERROR(IF(VLOOKUP(Q526,COMISIONES!$C$2:$K$33,9,0)&gt;=VLOOKUP(TC!Q526,COMISIONES!$C$2:$I$33,7,0),1,0),0)</f>
        <v>0</v>
      </c>
      <c r="W526" s="262">
        <f>+IF(H526="Segunda",VLOOKUP(_xlfn.CONCAT(P526,G526,H526,V526),'PUNTOS 2021'!$E$23:$F$30,2,0),TC!L526)</f>
        <v>5</v>
      </c>
      <c r="X526" s="67">
        <f>+VLOOKUP(Q526,COMISIONES!$C$2:$AO$33,39,0)</f>
        <v>60</v>
      </c>
      <c r="Y526" s="67">
        <f t="shared" si="8"/>
        <v>300</v>
      </c>
      <c r="Z526" s="58" t="s">
        <v>80</v>
      </c>
      <c r="AA526" s="13">
        <f>+VLOOKUP(Q526,COMISIONES!$C$2:$C$33,1,0)</f>
        <v>20008711</v>
      </c>
      <c r="AB526" s="13" t="s">
        <v>269</v>
      </c>
    </row>
    <row r="527" spans="1:28" hidden="1">
      <c r="A527" s="117" t="s">
        <v>821</v>
      </c>
      <c r="B527" s="138">
        <v>45162</v>
      </c>
      <c r="C527" s="117" t="s">
        <v>2400</v>
      </c>
      <c r="D527" s="117" t="s">
        <v>2401</v>
      </c>
      <c r="E527" s="117" t="s">
        <v>2402</v>
      </c>
      <c r="F527" s="117"/>
      <c r="G527" s="117" t="s">
        <v>45</v>
      </c>
      <c r="H527" s="117" t="s">
        <v>1</v>
      </c>
      <c r="I527"/>
      <c r="J527"/>
      <c r="K527" s="117" t="s">
        <v>105</v>
      </c>
      <c r="L527">
        <v>7</v>
      </c>
      <c r="M527" s="117" t="s">
        <v>125</v>
      </c>
      <c r="N527" s="117" t="s">
        <v>18</v>
      </c>
      <c r="O527" s="117" t="s">
        <v>50</v>
      </c>
      <c r="P527" s="117" t="s">
        <v>40</v>
      </c>
      <c r="Q527" s="139">
        <v>20008439</v>
      </c>
      <c r="R527" s="117" t="s">
        <v>78</v>
      </c>
      <c r="S527" s="117" t="s">
        <v>109</v>
      </c>
      <c r="T527" s="117" t="s">
        <v>109</v>
      </c>
      <c r="U527" s="117" t="s">
        <v>128</v>
      </c>
      <c r="V527" s="12">
        <f>+IFERROR(IF(VLOOKUP(Q527,COMISIONES!$C$2:$K$33,9,0)&gt;=VLOOKUP(TC!Q527,COMISIONES!$C$2:$I$33,7,0),1,0),0)</f>
        <v>1</v>
      </c>
      <c r="W527" s="262">
        <f>+IF(H527="Segunda",VLOOKUP(_xlfn.CONCAT(P527,G527,H527,V527),'PUNTOS 2021'!$E$23:$F$30,2,0),TC!L527)</f>
        <v>7</v>
      </c>
      <c r="X527" s="67">
        <f>+VLOOKUP(Q527,COMISIONES!$C$2:$AO$33,39,0)</f>
        <v>60</v>
      </c>
      <c r="Y527" s="67">
        <f t="shared" si="8"/>
        <v>420</v>
      </c>
      <c r="Z527" s="58" t="s">
        <v>80</v>
      </c>
      <c r="AA527" s="13">
        <f>+VLOOKUP(Q527,COMISIONES!$C$2:$C$33,1,0)</f>
        <v>20008439</v>
      </c>
      <c r="AB527" s="13" t="s">
        <v>269</v>
      </c>
    </row>
    <row r="528" spans="1:28" hidden="1">
      <c r="A528" s="117" t="s">
        <v>821</v>
      </c>
      <c r="B528" s="138">
        <v>45162</v>
      </c>
      <c r="C528" s="117" t="s">
        <v>2403</v>
      </c>
      <c r="D528" s="117" t="s">
        <v>2404</v>
      </c>
      <c r="E528" s="117" t="s">
        <v>2405</v>
      </c>
      <c r="F528" s="117"/>
      <c r="G528" s="117" t="s">
        <v>45</v>
      </c>
      <c r="H528" s="117" t="s">
        <v>1</v>
      </c>
      <c r="I528"/>
      <c r="J528"/>
      <c r="K528" s="117" t="s">
        <v>105</v>
      </c>
      <c r="L528">
        <v>7</v>
      </c>
      <c r="M528" s="117" t="s">
        <v>259</v>
      </c>
      <c r="N528" s="117" t="s">
        <v>20</v>
      </c>
      <c r="O528" s="117" t="s">
        <v>50</v>
      </c>
      <c r="P528" s="117" t="s">
        <v>40</v>
      </c>
      <c r="Q528" s="139">
        <v>20008700</v>
      </c>
      <c r="R528" s="117" t="s">
        <v>78</v>
      </c>
      <c r="S528" s="117" t="s">
        <v>109</v>
      </c>
      <c r="T528" s="117" t="s">
        <v>109</v>
      </c>
      <c r="U528" s="117" t="s">
        <v>128</v>
      </c>
      <c r="V528" s="12">
        <f>+IFERROR(IF(VLOOKUP(Q528,COMISIONES!$C$2:$K$33,9,0)&gt;=VLOOKUP(TC!Q528,COMISIONES!$C$2:$I$33,7,0),1,0),0)</f>
        <v>0</v>
      </c>
      <c r="W528" s="262">
        <f>+IF(H528="Segunda",VLOOKUP(_xlfn.CONCAT(P528,G528,H528,V528),'PUNTOS 2021'!$E$23:$F$30,2,0),TC!L528)</f>
        <v>7</v>
      </c>
      <c r="X528" s="67">
        <f>+VLOOKUP(Q528,COMISIONES!$C$2:$AO$33,39,0)</f>
        <v>40</v>
      </c>
      <c r="Y528" s="67">
        <f t="shared" si="8"/>
        <v>280</v>
      </c>
      <c r="Z528" s="58" t="s">
        <v>80</v>
      </c>
      <c r="AA528" s="13">
        <f>+VLOOKUP(Q528,COMISIONES!$C$2:$C$33,1,0)</f>
        <v>20008700</v>
      </c>
      <c r="AB528" s="13" t="s">
        <v>269</v>
      </c>
    </row>
    <row r="529" spans="1:28" hidden="1">
      <c r="A529" s="117" t="s">
        <v>821</v>
      </c>
      <c r="B529" s="138">
        <v>45162</v>
      </c>
      <c r="C529" s="117" t="s">
        <v>2406</v>
      </c>
      <c r="D529" s="117" t="s">
        <v>2407</v>
      </c>
      <c r="E529" s="117" t="s">
        <v>2408</v>
      </c>
      <c r="F529" s="117"/>
      <c r="G529" s="117" t="s">
        <v>45</v>
      </c>
      <c r="H529" s="117" t="s">
        <v>1</v>
      </c>
      <c r="I529"/>
      <c r="J529"/>
      <c r="K529" s="117" t="s">
        <v>105</v>
      </c>
      <c r="L529">
        <v>7</v>
      </c>
      <c r="M529" s="117" t="s">
        <v>127</v>
      </c>
      <c r="N529" s="117" t="s">
        <v>16</v>
      </c>
      <c r="O529" s="117" t="s">
        <v>49</v>
      </c>
      <c r="P529" s="117" t="s">
        <v>40</v>
      </c>
      <c r="Q529" s="139">
        <v>20002708</v>
      </c>
      <c r="R529" s="117" t="s">
        <v>78</v>
      </c>
      <c r="S529" s="117" t="s">
        <v>109</v>
      </c>
      <c r="T529" s="117" t="s">
        <v>109</v>
      </c>
      <c r="U529" s="117" t="s">
        <v>128</v>
      </c>
      <c r="V529" s="12">
        <f>+IFERROR(IF(VLOOKUP(Q529,COMISIONES!$C$2:$K$33,9,0)&gt;=VLOOKUP(TC!Q529,COMISIONES!$C$2:$I$33,7,0),1,0),0)</f>
        <v>0</v>
      </c>
      <c r="W529" s="262">
        <f>+IF(H529="Segunda",VLOOKUP(_xlfn.CONCAT(P529,G529,H529,V529),'PUNTOS 2021'!$E$23:$F$30,2,0),TC!L529)</f>
        <v>7</v>
      </c>
      <c r="X529" s="67">
        <f>+VLOOKUP(Q529,COMISIONES!$C$2:$AO$33,39,0)</f>
        <v>60</v>
      </c>
      <c r="Y529" s="67">
        <f t="shared" si="8"/>
        <v>420</v>
      </c>
      <c r="Z529" s="58" t="s">
        <v>80</v>
      </c>
      <c r="AA529" s="13">
        <f>+VLOOKUP(Q529,COMISIONES!$C$2:$C$33,1,0)</f>
        <v>20002708</v>
      </c>
      <c r="AB529" s="13" t="s">
        <v>269</v>
      </c>
    </row>
    <row r="530" spans="1:28" hidden="1">
      <c r="A530" s="117" t="s">
        <v>821</v>
      </c>
      <c r="B530" s="138">
        <v>45162</v>
      </c>
      <c r="C530" s="117" t="s">
        <v>2409</v>
      </c>
      <c r="D530" s="117" t="s">
        <v>2410</v>
      </c>
      <c r="E530" s="117" t="s">
        <v>2411</v>
      </c>
      <c r="F530" s="117"/>
      <c r="G530" s="117" t="s">
        <v>44</v>
      </c>
      <c r="H530" s="117" t="s">
        <v>1</v>
      </c>
      <c r="I530"/>
      <c r="J530"/>
      <c r="K530" s="117" t="s">
        <v>105</v>
      </c>
      <c r="L530">
        <v>5</v>
      </c>
      <c r="M530" s="117" t="s">
        <v>110</v>
      </c>
      <c r="N530" s="117" t="s">
        <v>10</v>
      </c>
      <c r="O530" s="117" t="s">
        <v>51</v>
      </c>
      <c r="P530" s="117" t="s">
        <v>40</v>
      </c>
      <c r="Q530" s="139">
        <v>20000661</v>
      </c>
      <c r="R530" s="117" t="s">
        <v>78</v>
      </c>
      <c r="S530" s="117" t="s">
        <v>109</v>
      </c>
      <c r="T530" s="117" t="s">
        <v>109</v>
      </c>
      <c r="U530" s="117" t="s">
        <v>128</v>
      </c>
      <c r="V530" s="12">
        <f>+IFERROR(IF(VLOOKUP(Q530,COMISIONES!$C$2:$K$33,9,0)&gt;=VLOOKUP(TC!Q530,COMISIONES!$C$2:$I$33,7,0),1,0),0)</f>
        <v>1</v>
      </c>
      <c r="W530" s="262">
        <f>+IF(H530="Segunda",VLOOKUP(_xlfn.CONCAT(P530,G530,H530,V530),'PUNTOS 2021'!$E$23:$F$30,2,0),TC!L530)</f>
        <v>5</v>
      </c>
      <c r="X530" s="67">
        <f>+VLOOKUP(Q530,COMISIONES!$C$2:$AO$33,39,0)</f>
        <v>60</v>
      </c>
      <c r="Y530" s="67">
        <f t="shared" si="8"/>
        <v>300</v>
      </c>
      <c r="Z530" s="58" t="s">
        <v>80</v>
      </c>
      <c r="AA530" s="13">
        <f>+VLOOKUP(Q530,COMISIONES!$C$2:$C$33,1,0)</f>
        <v>20000661</v>
      </c>
      <c r="AB530" s="13" t="s">
        <v>269</v>
      </c>
    </row>
    <row r="531" spans="1:28" hidden="1">
      <c r="A531" s="117" t="s">
        <v>821</v>
      </c>
      <c r="B531" s="138">
        <v>45162</v>
      </c>
      <c r="C531" s="117" t="s">
        <v>2412</v>
      </c>
      <c r="D531" s="117" t="s">
        <v>2413</v>
      </c>
      <c r="E531" s="117" t="s">
        <v>2414</v>
      </c>
      <c r="F531" s="117"/>
      <c r="G531" s="117" t="s">
        <v>45</v>
      </c>
      <c r="H531" s="117" t="s">
        <v>1</v>
      </c>
      <c r="I531"/>
      <c r="J531"/>
      <c r="K531" s="117" t="s">
        <v>105</v>
      </c>
      <c r="L531">
        <v>7</v>
      </c>
      <c r="M531" s="117" t="s">
        <v>106</v>
      </c>
      <c r="N531" s="117" t="s">
        <v>8</v>
      </c>
      <c r="O531" s="117" t="s">
        <v>51</v>
      </c>
      <c r="P531" s="117" t="s">
        <v>40</v>
      </c>
      <c r="Q531" s="139">
        <v>20002636</v>
      </c>
      <c r="R531" s="117" t="s">
        <v>78</v>
      </c>
      <c r="S531" s="117" t="s">
        <v>109</v>
      </c>
      <c r="T531" s="117" t="s">
        <v>109</v>
      </c>
      <c r="U531" s="117" t="s">
        <v>128</v>
      </c>
      <c r="V531" s="12">
        <f>+IFERROR(IF(VLOOKUP(Q531,COMISIONES!$C$2:$K$33,9,0)&gt;=VLOOKUP(TC!Q531,COMISIONES!$C$2:$I$33,7,0),1,0),0)</f>
        <v>0</v>
      </c>
      <c r="W531" s="262">
        <f>+IF(H531="Segunda",VLOOKUP(_xlfn.CONCAT(P531,G531,H531,V531),'PUNTOS 2021'!$E$23:$F$30,2,0),TC!L531)</f>
        <v>7</v>
      </c>
      <c r="X531" s="67">
        <f>+VLOOKUP(Q531,COMISIONES!$C$2:$AO$33,39,0)</f>
        <v>40</v>
      </c>
      <c r="Y531" s="67">
        <f t="shared" si="8"/>
        <v>280</v>
      </c>
      <c r="Z531" s="58" t="s">
        <v>80</v>
      </c>
      <c r="AA531" s="13">
        <f>+VLOOKUP(Q531,COMISIONES!$C$2:$C$33,1,0)</f>
        <v>20002636</v>
      </c>
      <c r="AB531" s="13" t="s">
        <v>269</v>
      </c>
    </row>
    <row r="532" spans="1:28" hidden="1">
      <c r="A532" s="117" t="s">
        <v>821</v>
      </c>
      <c r="B532" s="138">
        <v>45162</v>
      </c>
      <c r="C532" s="117" t="s">
        <v>2415</v>
      </c>
      <c r="D532" s="117" t="s">
        <v>2416</v>
      </c>
      <c r="E532" s="117" t="s">
        <v>2417</v>
      </c>
      <c r="F532" s="117"/>
      <c r="G532" s="117" t="s">
        <v>43</v>
      </c>
      <c r="H532" s="117" t="s">
        <v>1</v>
      </c>
      <c r="I532"/>
      <c r="J532"/>
      <c r="K532" s="117" t="s">
        <v>105</v>
      </c>
      <c r="L532">
        <v>3</v>
      </c>
      <c r="M532" s="117" t="s">
        <v>1946</v>
      </c>
      <c r="N532" s="117" t="s">
        <v>1947</v>
      </c>
      <c r="O532" s="117" t="s">
        <v>51</v>
      </c>
      <c r="P532" s="117" t="s">
        <v>40</v>
      </c>
      <c r="Q532" s="139">
        <v>20010766</v>
      </c>
      <c r="R532" s="117" t="s">
        <v>78</v>
      </c>
      <c r="S532" s="117" t="s">
        <v>109</v>
      </c>
      <c r="T532" s="117" t="s">
        <v>109</v>
      </c>
      <c r="U532" s="117" t="s">
        <v>128</v>
      </c>
      <c r="V532" s="12">
        <f>+IFERROR(IF(VLOOKUP(Q532,COMISIONES!$C$2:$K$33,9,0)&gt;=VLOOKUP(TC!Q532,COMISIONES!$C$2:$I$33,7,0),1,0),0)</f>
        <v>0</v>
      </c>
      <c r="W532" s="262">
        <f>+IF(H532="Segunda",VLOOKUP(_xlfn.CONCAT(P532,G532,H532,V532),'PUNTOS 2021'!$E$23:$F$30,2,0),TC!L532)</f>
        <v>3</v>
      </c>
      <c r="X532" s="67">
        <f>+VLOOKUP(Q532,COMISIONES!$C$2:$AO$33,39,0)</f>
        <v>20</v>
      </c>
      <c r="Y532" s="67">
        <f t="shared" si="8"/>
        <v>60</v>
      </c>
      <c r="Z532" s="58" t="s">
        <v>80</v>
      </c>
      <c r="AA532" s="13">
        <f>+VLOOKUP(Q532,COMISIONES!$C$2:$C$33,1,0)</f>
        <v>20010766</v>
      </c>
      <c r="AB532" s="13" t="s">
        <v>269</v>
      </c>
    </row>
    <row r="533" spans="1:28" hidden="1">
      <c r="A533" s="117" t="s">
        <v>821</v>
      </c>
      <c r="B533" s="138">
        <v>45162</v>
      </c>
      <c r="C533" s="117" t="s">
        <v>2418</v>
      </c>
      <c r="D533" s="117" t="s">
        <v>2419</v>
      </c>
      <c r="E533" s="117" t="s">
        <v>2420</v>
      </c>
      <c r="F533" s="117"/>
      <c r="G533" s="117" t="s">
        <v>43</v>
      </c>
      <c r="H533" s="117" t="s">
        <v>1</v>
      </c>
      <c r="I533"/>
      <c r="J533"/>
      <c r="K533" s="117" t="s">
        <v>105</v>
      </c>
      <c r="L533">
        <v>3</v>
      </c>
      <c r="M533" s="117" t="s">
        <v>119</v>
      </c>
      <c r="N533" s="117" t="s">
        <v>22</v>
      </c>
      <c r="O533" s="117" t="s">
        <v>52</v>
      </c>
      <c r="P533" s="117" t="s">
        <v>40</v>
      </c>
      <c r="Q533" s="139">
        <v>20009174</v>
      </c>
      <c r="R533" s="117" t="s">
        <v>78</v>
      </c>
      <c r="S533" s="117" t="s">
        <v>109</v>
      </c>
      <c r="T533" s="117" t="s">
        <v>109</v>
      </c>
      <c r="U533" s="117" t="s">
        <v>128</v>
      </c>
      <c r="V533" s="12">
        <f>+IFERROR(IF(VLOOKUP(Q533,COMISIONES!$C$2:$K$33,9,0)&gt;=VLOOKUP(TC!Q533,COMISIONES!$C$2:$I$33,7,0),1,0),0)</f>
        <v>0</v>
      </c>
      <c r="W533" s="262">
        <f>+IF(H533="Segunda",VLOOKUP(_xlfn.CONCAT(P533,G533,H533,V533),'PUNTOS 2021'!$E$23:$F$30,2,0),TC!L533)</f>
        <v>3</v>
      </c>
      <c r="X533" s="67">
        <f>+VLOOKUP(Q533,COMISIONES!$C$2:$AO$33,39,0)</f>
        <v>60</v>
      </c>
      <c r="Y533" s="67">
        <f t="shared" si="8"/>
        <v>180</v>
      </c>
      <c r="Z533" s="58" t="s">
        <v>80</v>
      </c>
      <c r="AA533" s="13">
        <f>+VLOOKUP(Q533,COMISIONES!$C$2:$C$33,1,0)</f>
        <v>20009174</v>
      </c>
      <c r="AB533" s="13" t="s">
        <v>269</v>
      </c>
    </row>
    <row r="534" spans="1:28" hidden="1">
      <c r="A534" s="117" t="s">
        <v>821</v>
      </c>
      <c r="B534" s="138">
        <v>45162</v>
      </c>
      <c r="C534" s="117" t="s">
        <v>2421</v>
      </c>
      <c r="D534" s="117" t="s">
        <v>2422</v>
      </c>
      <c r="E534" s="117" t="s">
        <v>2423</v>
      </c>
      <c r="F534" s="117"/>
      <c r="G534" s="117" t="s">
        <v>45</v>
      </c>
      <c r="H534" s="117" t="s">
        <v>1</v>
      </c>
      <c r="I534"/>
      <c r="J534"/>
      <c r="K534" s="117" t="s">
        <v>105</v>
      </c>
      <c r="L534">
        <v>7</v>
      </c>
      <c r="M534" s="117" t="s">
        <v>255</v>
      </c>
      <c r="N534" s="117" t="s">
        <v>4</v>
      </c>
      <c r="O534" s="117" t="s">
        <v>51</v>
      </c>
      <c r="P534" s="117" t="s">
        <v>40</v>
      </c>
      <c r="Q534" s="139">
        <v>20000033</v>
      </c>
      <c r="R534" s="117" t="s">
        <v>78</v>
      </c>
      <c r="S534" s="117" t="s">
        <v>109</v>
      </c>
      <c r="T534" s="117" t="s">
        <v>109</v>
      </c>
      <c r="U534" s="117" t="s">
        <v>128</v>
      </c>
      <c r="V534" s="12">
        <f>+IFERROR(IF(VLOOKUP(Q534,COMISIONES!$C$2:$K$33,9,0)&gt;=VLOOKUP(TC!Q534,COMISIONES!$C$2:$I$33,7,0),1,0),0)</f>
        <v>1</v>
      </c>
      <c r="W534" s="262">
        <f>+IF(H534="Segunda",VLOOKUP(_xlfn.CONCAT(P534,G534,H534,V534),'PUNTOS 2021'!$E$23:$F$30,2,0),TC!L534)</f>
        <v>7</v>
      </c>
      <c r="X534" s="67">
        <f>+VLOOKUP(Q534,COMISIONES!$C$2:$AO$33,39,0)</f>
        <v>60</v>
      </c>
      <c r="Y534" s="67">
        <f t="shared" si="8"/>
        <v>420</v>
      </c>
      <c r="Z534" s="58" t="s">
        <v>80</v>
      </c>
      <c r="AA534" s="13">
        <f>+VLOOKUP(Q534,COMISIONES!$C$2:$C$33,1,0)</f>
        <v>20000033</v>
      </c>
      <c r="AB534" s="13" t="s">
        <v>269</v>
      </c>
    </row>
    <row r="535" spans="1:28" hidden="1">
      <c r="A535" s="117" t="s">
        <v>821</v>
      </c>
      <c r="B535" s="138">
        <v>45162</v>
      </c>
      <c r="C535" s="117" t="s">
        <v>2424</v>
      </c>
      <c r="D535" s="117" t="s">
        <v>2425</v>
      </c>
      <c r="E535" s="117" t="s">
        <v>2426</v>
      </c>
      <c r="F535" s="117"/>
      <c r="G535" s="117" t="s">
        <v>45</v>
      </c>
      <c r="H535" s="117" t="s">
        <v>1</v>
      </c>
      <c r="I535"/>
      <c r="J535"/>
      <c r="K535" s="117" t="s">
        <v>105</v>
      </c>
      <c r="L535">
        <v>7</v>
      </c>
      <c r="M535" s="117" t="s">
        <v>113</v>
      </c>
      <c r="N535" s="117" t="s">
        <v>12</v>
      </c>
      <c r="O535" s="117" t="s">
        <v>49</v>
      </c>
      <c r="P535" s="117" t="s">
        <v>40</v>
      </c>
      <c r="Q535" s="139">
        <v>20007726</v>
      </c>
      <c r="R535" s="117" t="s">
        <v>78</v>
      </c>
      <c r="S535" s="117" t="s">
        <v>109</v>
      </c>
      <c r="T535" s="117" t="s">
        <v>109</v>
      </c>
      <c r="U535" s="117" t="s">
        <v>128</v>
      </c>
      <c r="V535" s="12">
        <f>+IFERROR(IF(VLOOKUP(Q535,COMISIONES!$C$2:$K$33,9,0)&gt;=VLOOKUP(TC!Q535,COMISIONES!$C$2:$I$33,7,0),1,0),0)</f>
        <v>1</v>
      </c>
      <c r="W535" s="262">
        <f>+IF(H535="Segunda",VLOOKUP(_xlfn.CONCAT(P535,G535,H535,V535),'PUNTOS 2021'!$E$23:$F$30,2,0),TC!L535)</f>
        <v>7</v>
      </c>
      <c r="X535" s="67">
        <f>+VLOOKUP(Q535,COMISIONES!$C$2:$AO$33,39,0)</f>
        <v>65</v>
      </c>
      <c r="Y535" s="67">
        <f t="shared" si="8"/>
        <v>455</v>
      </c>
      <c r="Z535" s="58" t="s">
        <v>80</v>
      </c>
      <c r="AA535" s="13">
        <f>+VLOOKUP(Q535,COMISIONES!$C$2:$C$33,1,0)</f>
        <v>20007726</v>
      </c>
      <c r="AB535" s="13" t="s">
        <v>269</v>
      </c>
    </row>
    <row r="536" spans="1:28" hidden="1">
      <c r="A536" s="117" t="s">
        <v>821</v>
      </c>
      <c r="B536" s="138">
        <v>45162</v>
      </c>
      <c r="C536" s="117" t="s">
        <v>2427</v>
      </c>
      <c r="D536" s="117" t="s">
        <v>2428</v>
      </c>
      <c r="E536" s="117" t="s">
        <v>2429</v>
      </c>
      <c r="F536" s="117"/>
      <c r="G536" s="117" t="s">
        <v>43</v>
      </c>
      <c r="H536" s="117" t="s">
        <v>1</v>
      </c>
      <c r="I536"/>
      <c r="J536"/>
      <c r="K536" s="117" t="s">
        <v>105</v>
      </c>
      <c r="L536">
        <v>3</v>
      </c>
      <c r="M536" s="117" t="s">
        <v>258</v>
      </c>
      <c r="N536" s="117" t="s">
        <v>237</v>
      </c>
      <c r="O536" s="117" t="s">
        <v>51</v>
      </c>
      <c r="P536" s="117" t="s">
        <v>40</v>
      </c>
      <c r="Q536" s="139">
        <v>20006893</v>
      </c>
      <c r="R536" s="117" t="s">
        <v>78</v>
      </c>
      <c r="S536" s="117" t="s">
        <v>109</v>
      </c>
      <c r="T536" s="117" t="s">
        <v>109</v>
      </c>
      <c r="U536" s="117" t="s">
        <v>128</v>
      </c>
      <c r="V536" s="12">
        <f>+IFERROR(IF(VLOOKUP(Q536,COMISIONES!$C$2:$K$33,9,0)&gt;=VLOOKUP(TC!Q536,COMISIONES!$C$2:$I$33,7,0),1,0),0)</f>
        <v>0</v>
      </c>
      <c r="W536" s="262">
        <f>+IF(H536="Segunda",VLOOKUP(_xlfn.CONCAT(P536,G536,H536,V536),'PUNTOS 2021'!$E$23:$F$30,2,0),TC!L536)</f>
        <v>3</v>
      </c>
      <c r="X536" s="67">
        <f>+VLOOKUP(Q536,COMISIONES!$C$2:$AO$33,39,0)</f>
        <v>40</v>
      </c>
      <c r="Y536" s="67">
        <f t="shared" si="8"/>
        <v>120</v>
      </c>
      <c r="Z536" s="58" t="s">
        <v>80</v>
      </c>
      <c r="AA536" s="13">
        <f>+VLOOKUP(Q536,COMISIONES!$C$2:$C$33,1,0)</f>
        <v>20006893</v>
      </c>
      <c r="AB536" s="13" t="s">
        <v>269</v>
      </c>
    </row>
    <row r="537" spans="1:28" hidden="1">
      <c r="A537" s="117" t="s">
        <v>821</v>
      </c>
      <c r="B537" s="138">
        <v>45162</v>
      </c>
      <c r="C537" s="117" t="s">
        <v>2430</v>
      </c>
      <c r="D537" s="117" t="s">
        <v>2431</v>
      </c>
      <c r="E537" s="117" t="s">
        <v>2432</v>
      </c>
      <c r="F537" s="117"/>
      <c r="G537" s="117" t="s">
        <v>45</v>
      </c>
      <c r="H537" s="117" t="s">
        <v>1</v>
      </c>
      <c r="I537"/>
      <c r="J537"/>
      <c r="K537" s="117" t="s">
        <v>105</v>
      </c>
      <c r="L537">
        <v>7</v>
      </c>
      <c r="M537" s="117" t="s">
        <v>113</v>
      </c>
      <c r="N537" s="117" t="s">
        <v>12</v>
      </c>
      <c r="O537" s="117" t="s">
        <v>49</v>
      </c>
      <c r="P537" s="117" t="s">
        <v>40</v>
      </c>
      <c r="Q537" s="139">
        <v>20007726</v>
      </c>
      <c r="R537" s="117" t="s">
        <v>78</v>
      </c>
      <c r="S537" s="117" t="s">
        <v>109</v>
      </c>
      <c r="T537" s="117" t="s">
        <v>109</v>
      </c>
      <c r="U537" s="117" t="s">
        <v>128</v>
      </c>
      <c r="V537" s="12">
        <f>+IFERROR(IF(VLOOKUP(Q537,COMISIONES!$C$2:$K$33,9,0)&gt;=VLOOKUP(TC!Q537,COMISIONES!$C$2:$I$33,7,0),1,0),0)</f>
        <v>1</v>
      </c>
      <c r="W537" s="262">
        <f>+IF(H537="Segunda",VLOOKUP(_xlfn.CONCAT(P537,G537,H537,V537),'PUNTOS 2021'!$E$23:$F$30,2,0),TC!L537)</f>
        <v>7</v>
      </c>
      <c r="X537" s="67">
        <f>+VLOOKUP(Q537,COMISIONES!$C$2:$AO$33,39,0)</f>
        <v>65</v>
      </c>
      <c r="Y537" s="67">
        <f t="shared" si="8"/>
        <v>455</v>
      </c>
      <c r="Z537" s="58" t="s">
        <v>80</v>
      </c>
      <c r="AA537" s="13">
        <f>+VLOOKUP(Q537,COMISIONES!$C$2:$C$33,1,0)</f>
        <v>20007726</v>
      </c>
      <c r="AB537" s="13" t="s">
        <v>269</v>
      </c>
    </row>
    <row r="538" spans="1:28" hidden="1">
      <c r="A538" s="117" t="s">
        <v>821</v>
      </c>
      <c r="B538" s="138">
        <v>45162</v>
      </c>
      <c r="C538" s="117" t="s">
        <v>2433</v>
      </c>
      <c r="D538" s="117" t="s">
        <v>2434</v>
      </c>
      <c r="E538" s="117" t="s">
        <v>2435</v>
      </c>
      <c r="F538" s="117"/>
      <c r="G538" s="117" t="s">
        <v>45</v>
      </c>
      <c r="H538" s="117" t="s">
        <v>1</v>
      </c>
      <c r="I538"/>
      <c r="J538"/>
      <c r="K538" s="117" t="s">
        <v>105</v>
      </c>
      <c r="L538">
        <v>7</v>
      </c>
      <c r="M538" s="117" t="s">
        <v>113</v>
      </c>
      <c r="N538" s="117" t="s">
        <v>12</v>
      </c>
      <c r="O538" s="117" t="s">
        <v>49</v>
      </c>
      <c r="P538" s="117" t="s">
        <v>40</v>
      </c>
      <c r="Q538" s="139">
        <v>20007726</v>
      </c>
      <c r="R538" s="117" t="s">
        <v>78</v>
      </c>
      <c r="S538" s="117" t="s">
        <v>109</v>
      </c>
      <c r="T538" s="117" t="s">
        <v>109</v>
      </c>
      <c r="U538" s="117" t="s">
        <v>128</v>
      </c>
      <c r="V538" s="12">
        <f>+IFERROR(IF(VLOOKUP(Q538,COMISIONES!$C$2:$K$33,9,0)&gt;=VLOOKUP(TC!Q538,COMISIONES!$C$2:$I$33,7,0),1,0),0)</f>
        <v>1</v>
      </c>
      <c r="W538" s="262">
        <f>+IF(H538="Segunda",VLOOKUP(_xlfn.CONCAT(P538,G538,H538,V538),'PUNTOS 2021'!$E$23:$F$30,2,0),TC!L538)</f>
        <v>7</v>
      </c>
      <c r="X538" s="67">
        <f>+VLOOKUP(Q538,COMISIONES!$C$2:$AO$33,39,0)</f>
        <v>65</v>
      </c>
      <c r="Y538" s="67">
        <f t="shared" si="8"/>
        <v>455</v>
      </c>
      <c r="Z538" s="58" t="s">
        <v>80</v>
      </c>
      <c r="AA538" s="13">
        <f>+VLOOKUP(Q538,COMISIONES!$C$2:$C$33,1,0)</f>
        <v>20007726</v>
      </c>
      <c r="AB538" s="13" t="s">
        <v>269</v>
      </c>
    </row>
    <row r="539" spans="1:28" hidden="1">
      <c r="A539" s="117" t="s">
        <v>821</v>
      </c>
      <c r="B539" s="138">
        <v>45162</v>
      </c>
      <c r="C539" s="117" t="s">
        <v>2436</v>
      </c>
      <c r="D539" s="117" t="s">
        <v>2437</v>
      </c>
      <c r="E539" s="117" t="s">
        <v>2438</v>
      </c>
      <c r="F539" s="117"/>
      <c r="G539" s="117" t="s">
        <v>43</v>
      </c>
      <c r="H539" s="117" t="s">
        <v>1</v>
      </c>
      <c r="I539"/>
      <c r="J539"/>
      <c r="K539" s="117" t="s">
        <v>129</v>
      </c>
      <c r="L539">
        <v>3</v>
      </c>
      <c r="M539" s="117" t="s">
        <v>255</v>
      </c>
      <c r="N539" s="117" t="s">
        <v>4</v>
      </c>
      <c r="O539" s="117" t="s">
        <v>51</v>
      </c>
      <c r="P539" s="117" t="s">
        <v>40</v>
      </c>
      <c r="Q539" s="139">
        <v>20000033</v>
      </c>
      <c r="R539" s="117" t="s">
        <v>78</v>
      </c>
      <c r="S539" s="117" t="s">
        <v>109</v>
      </c>
      <c r="T539" s="117" t="s">
        <v>109</v>
      </c>
      <c r="U539" s="117" t="s">
        <v>128</v>
      </c>
      <c r="V539" s="12">
        <f>+IFERROR(IF(VLOOKUP(Q539,COMISIONES!$C$2:$K$33,9,0)&gt;=VLOOKUP(TC!Q539,COMISIONES!$C$2:$I$33,7,0),1,0),0)</f>
        <v>1</v>
      </c>
      <c r="W539" s="262">
        <f>+IF(H539="Segunda",VLOOKUP(_xlfn.CONCAT(P539,G539,H539,V539),'PUNTOS 2021'!$E$23:$F$30,2,0),TC!L539)</f>
        <v>3</v>
      </c>
      <c r="X539" s="67">
        <f>+VLOOKUP(Q539,COMISIONES!$C$2:$AO$33,39,0)</f>
        <v>60</v>
      </c>
      <c r="Y539" s="67">
        <f t="shared" si="8"/>
        <v>180</v>
      </c>
      <c r="Z539" s="58" t="s">
        <v>80</v>
      </c>
      <c r="AA539" s="13">
        <f>+VLOOKUP(Q539,COMISIONES!$C$2:$C$33,1,0)</f>
        <v>20000033</v>
      </c>
      <c r="AB539" s="13" t="s">
        <v>269</v>
      </c>
    </row>
    <row r="540" spans="1:28" hidden="1">
      <c r="A540" s="117" t="s">
        <v>821</v>
      </c>
      <c r="B540" s="138">
        <v>45163</v>
      </c>
      <c r="C540" s="117" t="s">
        <v>2439</v>
      </c>
      <c r="D540" s="117" t="s">
        <v>2440</v>
      </c>
      <c r="E540" s="117" t="s">
        <v>2441</v>
      </c>
      <c r="F540" s="117"/>
      <c r="G540" s="117" t="s">
        <v>44</v>
      </c>
      <c r="H540" s="117" t="s">
        <v>1</v>
      </c>
      <c r="I540"/>
      <c r="J540"/>
      <c r="K540" s="117" t="s">
        <v>2442</v>
      </c>
      <c r="L540">
        <v>5</v>
      </c>
      <c r="M540" s="117" t="s">
        <v>159</v>
      </c>
      <c r="N540" s="117" t="s">
        <v>227</v>
      </c>
      <c r="O540" s="117" t="s">
        <v>49</v>
      </c>
      <c r="P540" s="117" t="s">
        <v>40</v>
      </c>
      <c r="Q540" s="139">
        <v>20009690</v>
      </c>
      <c r="R540" s="117" t="s">
        <v>78</v>
      </c>
      <c r="S540" s="117" t="s">
        <v>109</v>
      </c>
      <c r="T540" s="117" t="s">
        <v>109</v>
      </c>
      <c r="U540" s="117" t="s">
        <v>128</v>
      </c>
      <c r="V540" s="12">
        <f>+IFERROR(IF(VLOOKUP(Q540,COMISIONES!$C$2:$K$33,9,0)&gt;=VLOOKUP(TC!Q540,COMISIONES!$C$2:$I$33,7,0),1,0),0)</f>
        <v>0</v>
      </c>
      <c r="W540" s="262">
        <f>+IF(H540="Segunda",VLOOKUP(_xlfn.CONCAT(P540,G540,H540,V540),'PUNTOS 2021'!$E$23:$F$30,2,0),TC!L540)</f>
        <v>5</v>
      </c>
      <c r="X540" s="67">
        <f>+VLOOKUP(Q540,COMISIONES!$C$2:$AO$33,39,0)</f>
        <v>45</v>
      </c>
      <c r="Y540" s="67">
        <f t="shared" si="8"/>
        <v>225</v>
      </c>
      <c r="Z540" s="58" t="s">
        <v>80</v>
      </c>
      <c r="AA540" s="13">
        <f>+VLOOKUP(Q540,COMISIONES!$C$2:$C$33,1,0)</f>
        <v>20009690</v>
      </c>
      <c r="AB540" s="13" t="s">
        <v>269</v>
      </c>
    </row>
    <row r="541" spans="1:28" hidden="1">
      <c r="A541" s="117" t="s">
        <v>821</v>
      </c>
      <c r="B541" s="138">
        <v>45163</v>
      </c>
      <c r="C541" s="117" t="s">
        <v>2443</v>
      </c>
      <c r="D541" s="117" t="s">
        <v>2444</v>
      </c>
      <c r="E541" s="117" t="s">
        <v>2445</v>
      </c>
      <c r="F541" s="117"/>
      <c r="G541" s="117" t="s">
        <v>45</v>
      </c>
      <c r="H541" s="117" t="s">
        <v>1</v>
      </c>
      <c r="I541"/>
      <c r="J541"/>
      <c r="K541" s="117" t="s">
        <v>105</v>
      </c>
      <c r="L541">
        <v>7</v>
      </c>
      <c r="M541" s="117" t="s">
        <v>127</v>
      </c>
      <c r="N541" s="117" t="s">
        <v>16</v>
      </c>
      <c r="O541" s="117" t="s">
        <v>49</v>
      </c>
      <c r="P541" s="117" t="s">
        <v>40</v>
      </c>
      <c r="Q541" s="139">
        <v>20002708</v>
      </c>
      <c r="R541" s="117" t="s">
        <v>78</v>
      </c>
      <c r="S541" s="117" t="s">
        <v>109</v>
      </c>
      <c r="T541" s="117" t="s">
        <v>109</v>
      </c>
      <c r="U541" s="117" t="s">
        <v>128</v>
      </c>
      <c r="V541" s="12">
        <f>+IFERROR(IF(VLOOKUP(Q541,COMISIONES!$C$2:$K$33,9,0)&gt;=VLOOKUP(TC!Q541,COMISIONES!$C$2:$I$33,7,0),1,0),0)</f>
        <v>0</v>
      </c>
      <c r="W541" s="262">
        <f>+IF(H541="Segunda",VLOOKUP(_xlfn.CONCAT(P541,G541,H541,V541),'PUNTOS 2021'!$E$23:$F$30,2,0),TC!L541)</f>
        <v>7</v>
      </c>
      <c r="X541" s="67">
        <f>+VLOOKUP(Q541,COMISIONES!$C$2:$AO$33,39,0)</f>
        <v>60</v>
      </c>
      <c r="Y541" s="67">
        <f t="shared" si="8"/>
        <v>420</v>
      </c>
      <c r="Z541" s="58" t="s">
        <v>80</v>
      </c>
      <c r="AA541" s="13">
        <f>+VLOOKUP(Q541,COMISIONES!$C$2:$C$33,1,0)</f>
        <v>20002708</v>
      </c>
      <c r="AB541" s="13" t="s">
        <v>269</v>
      </c>
    </row>
    <row r="542" spans="1:28" hidden="1">
      <c r="A542" s="117" t="s">
        <v>821</v>
      </c>
      <c r="B542" s="138">
        <v>45163</v>
      </c>
      <c r="C542" s="117" t="s">
        <v>2446</v>
      </c>
      <c r="D542" s="117" t="s">
        <v>2447</v>
      </c>
      <c r="E542" s="117" t="s">
        <v>2448</v>
      </c>
      <c r="F542" s="117"/>
      <c r="G542" s="117" t="s">
        <v>45</v>
      </c>
      <c r="H542" s="117" t="s">
        <v>1</v>
      </c>
      <c r="I542"/>
      <c r="J542"/>
      <c r="K542" s="117" t="s">
        <v>105</v>
      </c>
      <c r="L542">
        <v>7</v>
      </c>
      <c r="M542" s="117" t="s">
        <v>259</v>
      </c>
      <c r="N542" s="117" t="s">
        <v>20</v>
      </c>
      <c r="O542" s="117" t="s">
        <v>50</v>
      </c>
      <c r="P542" s="117" t="s">
        <v>40</v>
      </c>
      <c r="Q542" s="139">
        <v>20008700</v>
      </c>
      <c r="R542" s="117" t="s">
        <v>78</v>
      </c>
      <c r="S542" s="117" t="s">
        <v>109</v>
      </c>
      <c r="T542" s="117" t="s">
        <v>109</v>
      </c>
      <c r="U542" s="117" t="s">
        <v>128</v>
      </c>
      <c r="V542" s="12">
        <f>+IFERROR(IF(VLOOKUP(Q542,COMISIONES!$C$2:$K$33,9,0)&gt;=VLOOKUP(TC!Q542,COMISIONES!$C$2:$I$33,7,0),1,0),0)</f>
        <v>0</v>
      </c>
      <c r="W542" s="262">
        <f>+IF(H542="Segunda",VLOOKUP(_xlfn.CONCAT(P542,G542,H542,V542),'PUNTOS 2021'!$E$23:$F$30,2,0),TC!L542)</f>
        <v>7</v>
      </c>
      <c r="X542" s="67">
        <f>+VLOOKUP(Q542,COMISIONES!$C$2:$AO$33,39,0)</f>
        <v>40</v>
      </c>
      <c r="Y542" s="67">
        <f t="shared" si="8"/>
        <v>280</v>
      </c>
      <c r="Z542" s="58" t="s">
        <v>80</v>
      </c>
      <c r="AA542" s="13">
        <f>+VLOOKUP(Q542,COMISIONES!$C$2:$C$33,1,0)</f>
        <v>20008700</v>
      </c>
      <c r="AB542" s="13" t="s">
        <v>269</v>
      </c>
    </row>
    <row r="543" spans="1:28" hidden="1">
      <c r="A543" s="117" t="s">
        <v>821</v>
      </c>
      <c r="B543" s="138">
        <v>45163</v>
      </c>
      <c r="C543" s="117" t="s">
        <v>2449</v>
      </c>
      <c r="D543" s="117" t="s">
        <v>2450</v>
      </c>
      <c r="E543" s="117" t="s">
        <v>2451</v>
      </c>
      <c r="F543" s="117"/>
      <c r="G543" s="117" t="s">
        <v>45</v>
      </c>
      <c r="H543" s="117" t="s">
        <v>1</v>
      </c>
      <c r="I543"/>
      <c r="J543"/>
      <c r="K543" s="117" t="s">
        <v>105</v>
      </c>
      <c r="L543">
        <v>7</v>
      </c>
      <c r="M543" s="117" t="s">
        <v>115</v>
      </c>
      <c r="N543" s="117" t="s">
        <v>6</v>
      </c>
      <c r="O543" s="117" t="s">
        <v>51</v>
      </c>
      <c r="P543" s="117" t="s">
        <v>40</v>
      </c>
      <c r="Q543" s="139">
        <v>20001487</v>
      </c>
      <c r="R543" s="117" t="s">
        <v>78</v>
      </c>
      <c r="S543" s="117" t="s">
        <v>109</v>
      </c>
      <c r="T543" s="117" t="s">
        <v>109</v>
      </c>
      <c r="U543" s="117" t="s">
        <v>128</v>
      </c>
      <c r="V543" s="12">
        <f>+IFERROR(IF(VLOOKUP(Q543,COMISIONES!$C$2:$K$33,9,0)&gt;=VLOOKUP(TC!Q543,COMISIONES!$C$2:$I$33,7,0),1,0),0)</f>
        <v>1</v>
      </c>
      <c r="W543" s="262">
        <f>+IF(H543="Segunda",VLOOKUP(_xlfn.CONCAT(P543,G543,H543,V543),'PUNTOS 2021'!$E$23:$F$30,2,0),TC!L543)</f>
        <v>7</v>
      </c>
      <c r="X543" s="67">
        <f>+VLOOKUP(Q543,COMISIONES!$C$2:$AO$33,39,0)</f>
        <v>65</v>
      </c>
      <c r="Y543" s="67">
        <f t="shared" si="8"/>
        <v>455</v>
      </c>
      <c r="Z543" s="58" t="s">
        <v>80</v>
      </c>
      <c r="AA543" s="13">
        <f>+VLOOKUP(Q543,COMISIONES!$C$2:$C$33,1,0)</f>
        <v>20001487</v>
      </c>
      <c r="AB543" s="13" t="s">
        <v>269</v>
      </c>
    </row>
    <row r="544" spans="1:28" hidden="1">
      <c r="A544" s="117" t="s">
        <v>821</v>
      </c>
      <c r="B544" s="138">
        <v>45163</v>
      </c>
      <c r="C544" s="117" t="s">
        <v>2452</v>
      </c>
      <c r="D544" s="117" t="s">
        <v>2453</v>
      </c>
      <c r="E544" s="117" t="s">
        <v>2454</v>
      </c>
      <c r="F544" s="117"/>
      <c r="G544" s="117" t="s">
        <v>43</v>
      </c>
      <c r="H544" s="117" t="s">
        <v>1</v>
      </c>
      <c r="I544"/>
      <c r="J544"/>
      <c r="K544" s="117" t="s">
        <v>105</v>
      </c>
      <c r="L544">
        <v>3</v>
      </c>
      <c r="M544" s="117" t="s">
        <v>126</v>
      </c>
      <c r="N544" s="117" t="s">
        <v>11</v>
      </c>
      <c r="O544" s="117" t="s">
        <v>49</v>
      </c>
      <c r="P544" s="117" t="s">
        <v>40</v>
      </c>
      <c r="Q544" s="139">
        <v>20004235</v>
      </c>
      <c r="R544" s="117" t="s">
        <v>78</v>
      </c>
      <c r="S544" s="117" t="s">
        <v>109</v>
      </c>
      <c r="T544" s="117" t="s">
        <v>109</v>
      </c>
      <c r="U544" s="117" t="s">
        <v>128</v>
      </c>
      <c r="V544" s="12">
        <f>+IFERROR(IF(VLOOKUP(Q544,COMISIONES!$C$2:$K$33,9,0)&gt;=VLOOKUP(TC!Q544,COMISIONES!$C$2:$I$33,7,0),1,0),0)</f>
        <v>0</v>
      </c>
      <c r="W544" s="262">
        <f>+IF(H544="Segunda",VLOOKUP(_xlfn.CONCAT(P544,G544,H544,V544),'PUNTOS 2021'!$E$23:$F$30,2,0),TC!L544)</f>
        <v>3</v>
      </c>
      <c r="X544" s="67">
        <f>+VLOOKUP(Q544,COMISIONES!$C$2:$AO$33,39,0)</f>
        <v>40</v>
      </c>
      <c r="Y544" s="67">
        <f t="shared" si="8"/>
        <v>120</v>
      </c>
      <c r="Z544" s="58" t="s">
        <v>80</v>
      </c>
      <c r="AA544" s="13">
        <f>+VLOOKUP(Q544,COMISIONES!$C$2:$C$33,1,0)</f>
        <v>20004235</v>
      </c>
      <c r="AB544" s="13" t="s">
        <v>269</v>
      </c>
    </row>
    <row r="545" spans="1:28" hidden="1">
      <c r="A545" s="117" t="s">
        <v>821</v>
      </c>
      <c r="B545" s="138">
        <v>45163</v>
      </c>
      <c r="C545" s="117" t="s">
        <v>2455</v>
      </c>
      <c r="D545" s="117" t="s">
        <v>2456</v>
      </c>
      <c r="E545" s="117" t="s">
        <v>2457</v>
      </c>
      <c r="F545" s="117"/>
      <c r="G545" s="117" t="s">
        <v>44</v>
      </c>
      <c r="H545" s="117" t="s">
        <v>1</v>
      </c>
      <c r="I545"/>
      <c r="J545"/>
      <c r="K545" s="117" t="s">
        <v>105</v>
      </c>
      <c r="L545">
        <v>5</v>
      </c>
      <c r="M545" s="117" t="s">
        <v>273</v>
      </c>
      <c r="N545" s="117" t="s">
        <v>292</v>
      </c>
      <c r="O545" s="117" t="s">
        <v>51</v>
      </c>
      <c r="P545" s="117" t="s">
        <v>40</v>
      </c>
      <c r="Q545" s="139">
        <v>20007943</v>
      </c>
      <c r="R545" s="117" t="s">
        <v>78</v>
      </c>
      <c r="S545" s="117" t="s">
        <v>109</v>
      </c>
      <c r="T545" s="117" t="s">
        <v>109</v>
      </c>
      <c r="U545" s="117" t="s">
        <v>128</v>
      </c>
      <c r="V545" s="12">
        <f>+IFERROR(IF(VLOOKUP(Q545,COMISIONES!$C$2:$K$33,9,0)&gt;=VLOOKUP(TC!Q545,COMISIONES!$C$2:$I$33,7,0),1,0),0)</f>
        <v>0</v>
      </c>
      <c r="W545" s="262">
        <f>+IF(H545="Segunda",VLOOKUP(_xlfn.CONCAT(P545,G545,H545,V545),'PUNTOS 2021'!$E$23:$F$30,2,0),TC!L545)</f>
        <v>5</v>
      </c>
      <c r="X545" s="67">
        <f>+VLOOKUP(Q545,COMISIONES!$C$2:$AO$33,39,0)</f>
        <v>20</v>
      </c>
      <c r="Y545" s="67">
        <f t="shared" si="8"/>
        <v>100</v>
      </c>
      <c r="Z545" s="58" t="s">
        <v>80</v>
      </c>
      <c r="AA545" s="13">
        <f>+VLOOKUP(Q545,COMISIONES!$C$2:$C$33,1,0)</f>
        <v>20007943</v>
      </c>
      <c r="AB545" s="13" t="s">
        <v>269</v>
      </c>
    </row>
    <row r="546" spans="1:28" hidden="1">
      <c r="A546" s="117" t="s">
        <v>821</v>
      </c>
      <c r="B546" s="138">
        <v>45163</v>
      </c>
      <c r="C546" s="117" t="s">
        <v>2458</v>
      </c>
      <c r="D546" s="117" t="s">
        <v>2459</v>
      </c>
      <c r="E546" s="117" t="s">
        <v>2460</v>
      </c>
      <c r="F546" s="117"/>
      <c r="G546" s="117" t="s">
        <v>45</v>
      </c>
      <c r="H546" s="117" t="s">
        <v>1</v>
      </c>
      <c r="I546"/>
      <c r="J546"/>
      <c r="K546" s="117" t="s">
        <v>105</v>
      </c>
      <c r="L546">
        <v>7</v>
      </c>
      <c r="M546" s="117" t="s">
        <v>115</v>
      </c>
      <c r="N546" s="117" t="s">
        <v>6</v>
      </c>
      <c r="O546" s="117" t="s">
        <v>51</v>
      </c>
      <c r="P546" s="117" t="s">
        <v>40</v>
      </c>
      <c r="Q546" s="139">
        <v>20001487</v>
      </c>
      <c r="R546" s="117" t="s">
        <v>78</v>
      </c>
      <c r="S546" s="117" t="s">
        <v>109</v>
      </c>
      <c r="T546" s="117" t="s">
        <v>109</v>
      </c>
      <c r="U546" s="117" t="s">
        <v>128</v>
      </c>
      <c r="V546" s="12">
        <f>+IFERROR(IF(VLOOKUP(Q546,COMISIONES!$C$2:$K$33,9,0)&gt;=VLOOKUP(TC!Q546,COMISIONES!$C$2:$I$33,7,0),1,0),0)</f>
        <v>1</v>
      </c>
      <c r="W546" s="262">
        <f>+IF(H546="Segunda",VLOOKUP(_xlfn.CONCAT(P546,G546,H546,V546),'PUNTOS 2021'!$E$23:$F$30,2,0),TC!L546)</f>
        <v>7</v>
      </c>
      <c r="X546" s="67">
        <f>+VLOOKUP(Q546,COMISIONES!$C$2:$AO$33,39,0)</f>
        <v>65</v>
      </c>
      <c r="Y546" s="67">
        <f t="shared" si="8"/>
        <v>455</v>
      </c>
      <c r="Z546" s="58" t="s">
        <v>80</v>
      </c>
      <c r="AA546" s="13">
        <f>+VLOOKUP(Q546,COMISIONES!$C$2:$C$33,1,0)</f>
        <v>20001487</v>
      </c>
      <c r="AB546" s="13" t="s">
        <v>269</v>
      </c>
    </row>
    <row r="547" spans="1:28" hidden="1">
      <c r="A547" s="117" t="s">
        <v>821</v>
      </c>
      <c r="B547" s="138">
        <v>45163</v>
      </c>
      <c r="C547" s="117" t="s">
        <v>2461</v>
      </c>
      <c r="D547" s="117" t="s">
        <v>2462</v>
      </c>
      <c r="E547" s="117" t="s">
        <v>2463</v>
      </c>
      <c r="F547" s="117"/>
      <c r="G547" s="117" t="s">
        <v>44</v>
      </c>
      <c r="H547" s="117" t="s">
        <v>1</v>
      </c>
      <c r="I547"/>
      <c r="J547"/>
      <c r="K547" s="117" t="s">
        <v>105</v>
      </c>
      <c r="L547">
        <v>5</v>
      </c>
      <c r="M547" s="117" t="s">
        <v>262</v>
      </c>
      <c r="N547" s="117" t="s">
        <v>7</v>
      </c>
      <c r="O547" s="117" t="s">
        <v>52</v>
      </c>
      <c r="P547" s="117" t="s">
        <v>40</v>
      </c>
      <c r="Q547" s="139">
        <v>20007352</v>
      </c>
      <c r="R547" s="117" t="s">
        <v>78</v>
      </c>
      <c r="S547" s="117" t="s">
        <v>109</v>
      </c>
      <c r="T547" s="117" t="s">
        <v>109</v>
      </c>
      <c r="U547" s="117" t="s">
        <v>128</v>
      </c>
      <c r="V547" s="12">
        <f>+IFERROR(IF(VLOOKUP(Q547,COMISIONES!$C$2:$K$33,9,0)&gt;=VLOOKUP(TC!Q547,COMISIONES!$C$2:$I$33,7,0),1,0),0)</f>
        <v>0</v>
      </c>
      <c r="W547" s="262">
        <f>+IF(H547="Segunda",VLOOKUP(_xlfn.CONCAT(P547,G547,H547,V547),'PUNTOS 2021'!$E$23:$F$30,2,0),TC!L547)</f>
        <v>5</v>
      </c>
      <c r="X547" s="67">
        <f>+VLOOKUP(Q547,COMISIONES!$C$2:$AO$33,39,0)</f>
        <v>30</v>
      </c>
      <c r="Y547" s="67">
        <f t="shared" si="8"/>
        <v>150</v>
      </c>
      <c r="Z547" s="58" t="s">
        <v>80</v>
      </c>
      <c r="AA547" s="13">
        <f>+VLOOKUP(Q547,COMISIONES!$C$2:$C$33,1,0)</f>
        <v>20007352</v>
      </c>
      <c r="AB547" s="13" t="s">
        <v>269</v>
      </c>
    </row>
    <row r="548" spans="1:28">
      <c r="A548" s="117" t="s">
        <v>821</v>
      </c>
      <c r="B548" s="138">
        <v>45163</v>
      </c>
      <c r="C548" s="117" t="s">
        <v>2464</v>
      </c>
      <c r="D548" s="117" t="s">
        <v>2465</v>
      </c>
      <c r="E548" s="117" t="s">
        <v>2466</v>
      </c>
      <c r="F548" s="117"/>
      <c r="G548" s="117" t="s">
        <v>45</v>
      </c>
      <c r="H548" s="117" t="s">
        <v>2</v>
      </c>
      <c r="I548"/>
      <c r="J548"/>
      <c r="K548" s="117" t="s">
        <v>105</v>
      </c>
      <c r="L548">
        <v>2</v>
      </c>
      <c r="M548" s="117" t="s">
        <v>114</v>
      </c>
      <c r="N548" s="117" t="s">
        <v>19</v>
      </c>
      <c r="O548" s="117" t="s">
        <v>49</v>
      </c>
      <c r="P548" s="117" t="s">
        <v>40</v>
      </c>
      <c r="Q548" s="139">
        <v>20008625</v>
      </c>
      <c r="R548" s="117" t="s">
        <v>78</v>
      </c>
      <c r="S548" s="117" t="s">
        <v>109</v>
      </c>
      <c r="T548" s="117" t="s">
        <v>109</v>
      </c>
      <c r="U548" s="117" t="s">
        <v>128</v>
      </c>
      <c r="V548" s="12">
        <f>+IFERROR(IF(VLOOKUP(Q548,COMISIONES!$C$2:$K$33,9,0)&gt;=VLOOKUP(TC!Q548,COMISIONES!$C$2:$I$33,7,0),1,0),0)</f>
        <v>0</v>
      </c>
      <c r="W548" s="262">
        <f>+IF(H548="Segunda",VLOOKUP(_xlfn.CONCAT(P548,G548,H548,V548),'PUNTOS 2021'!$E$23:$F$30,2,0),TC!L548)</f>
        <v>0.5</v>
      </c>
      <c r="X548" s="67">
        <f>+VLOOKUP(Q548,COMISIONES!$C$2:$AO$33,39,0)</f>
        <v>20</v>
      </c>
      <c r="Y548" s="67">
        <f t="shared" si="8"/>
        <v>10</v>
      </c>
      <c r="Z548" s="58" t="s">
        <v>80</v>
      </c>
      <c r="AA548" s="13">
        <f>+VLOOKUP(Q548,COMISIONES!$C$2:$C$33,1,0)</f>
        <v>20008625</v>
      </c>
      <c r="AB548" s="13" t="s">
        <v>269</v>
      </c>
    </row>
    <row r="549" spans="1:28" hidden="1">
      <c r="A549" s="117" t="s">
        <v>821</v>
      </c>
      <c r="B549" s="138">
        <v>45163</v>
      </c>
      <c r="C549" s="117" t="s">
        <v>2467</v>
      </c>
      <c r="D549" s="117" t="s">
        <v>2468</v>
      </c>
      <c r="E549" s="117" t="s">
        <v>2469</v>
      </c>
      <c r="F549" s="117"/>
      <c r="G549" s="117" t="s">
        <v>45</v>
      </c>
      <c r="H549" s="117" t="s">
        <v>48</v>
      </c>
      <c r="I549"/>
      <c r="J549"/>
      <c r="K549" s="117" t="s">
        <v>105</v>
      </c>
      <c r="L549">
        <v>0</v>
      </c>
      <c r="M549" s="117" t="s">
        <v>125</v>
      </c>
      <c r="N549" s="117" t="s">
        <v>18</v>
      </c>
      <c r="O549" s="117" t="s">
        <v>50</v>
      </c>
      <c r="P549" s="117" t="s">
        <v>40</v>
      </c>
      <c r="Q549" s="139">
        <v>20008439</v>
      </c>
      <c r="R549" s="117" t="s">
        <v>78</v>
      </c>
      <c r="S549" s="117" t="s">
        <v>107</v>
      </c>
      <c r="T549" s="117" t="s">
        <v>48</v>
      </c>
      <c r="U549" s="117" t="s">
        <v>128</v>
      </c>
      <c r="V549" s="12">
        <f>+IFERROR(IF(VLOOKUP(Q549,COMISIONES!$C$2:$K$33,9,0)&gt;=VLOOKUP(TC!Q549,COMISIONES!$C$2:$I$33,7,0),1,0),0)</f>
        <v>1</v>
      </c>
      <c r="W549" s="262">
        <f>+IF(H549="Segunda",VLOOKUP(_xlfn.CONCAT(P549,G549,H549,V549),'PUNTOS 2021'!$E$23:$F$30,2,0),TC!L549)</f>
        <v>0</v>
      </c>
      <c r="X549" s="67">
        <f>+VLOOKUP(Q549,COMISIONES!$C$2:$AO$33,39,0)</f>
        <v>60</v>
      </c>
      <c r="Y549" s="67">
        <f t="shared" si="8"/>
        <v>0</v>
      </c>
      <c r="Z549" s="58" t="s">
        <v>80</v>
      </c>
      <c r="AA549" s="13">
        <f>+VLOOKUP(Q549,COMISIONES!$C$2:$C$33,1,0)</f>
        <v>20008439</v>
      </c>
      <c r="AB549" s="13" t="s">
        <v>269</v>
      </c>
    </row>
    <row r="550" spans="1:28" hidden="1">
      <c r="A550" s="117" t="s">
        <v>821</v>
      </c>
      <c r="B550" s="138">
        <v>45163</v>
      </c>
      <c r="C550" s="117" t="s">
        <v>2470</v>
      </c>
      <c r="D550" s="117" t="s">
        <v>2471</v>
      </c>
      <c r="E550" s="117" t="s">
        <v>2472</v>
      </c>
      <c r="F550" s="117"/>
      <c r="G550" s="117" t="s">
        <v>45</v>
      </c>
      <c r="H550" s="117" t="s">
        <v>1</v>
      </c>
      <c r="I550"/>
      <c r="J550"/>
      <c r="K550" s="117" t="s">
        <v>105</v>
      </c>
      <c r="L550">
        <v>7</v>
      </c>
      <c r="M550" s="117" t="s">
        <v>110</v>
      </c>
      <c r="N550" s="117" t="s">
        <v>10</v>
      </c>
      <c r="O550" s="117" t="s">
        <v>51</v>
      </c>
      <c r="P550" s="117" t="s">
        <v>40</v>
      </c>
      <c r="Q550" s="139">
        <v>20000661</v>
      </c>
      <c r="R550" s="117" t="s">
        <v>78</v>
      </c>
      <c r="S550" s="117" t="s">
        <v>109</v>
      </c>
      <c r="T550" s="117" t="s">
        <v>109</v>
      </c>
      <c r="U550" s="117" t="s">
        <v>128</v>
      </c>
      <c r="V550" s="12">
        <f>+IFERROR(IF(VLOOKUP(Q550,COMISIONES!$C$2:$K$33,9,0)&gt;=VLOOKUP(TC!Q550,COMISIONES!$C$2:$I$33,7,0),1,0),0)</f>
        <v>1</v>
      </c>
      <c r="W550" s="262">
        <f>+IF(H550="Segunda",VLOOKUP(_xlfn.CONCAT(P550,G550,H550,V550),'PUNTOS 2021'!$E$23:$F$30,2,0),TC!L550)</f>
        <v>7</v>
      </c>
      <c r="X550" s="67">
        <f>+VLOOKUP(Q550,COMISIONES!$C$2:$AO$33,39,0)</f>
        <v>60</v>
      </c>
      <c r="Y550" s="67">
        <f t="shared" si="8"/>
        <v>420</v>
      </c>
      <c r="Z550" s="58" t="s">
        <v>80</v>
      </c>
      <c r="AA550" s="13">
        <f>+VLOOKUP(Q550,COMISIONES!$C$2:$C$33,1,0)</f>
        <v>20000661</v>
      </c>
      <c r="AB550" s="13" t="s">
        <v>269</v>
      </c>
    </row>
    <row r="551" spans="1:28" hidden="1">
      <c r="A551" s="117" t="s">
        <v>821</v>
      </c>
      <c r="B551" s="138">
        <v>45163</v>
      </c>
      <c r="C551" s="117" t="s">
        <v>2473</v>
      </c>
      <c r="D551" s="117" t="s">
        <v>2474</v>
      </c>
      <c r="E551" s="117" t="s">
        <v>2475</v>
      </c>
      <c r="F551" s="117"/>
      <c r="G551" s="117" t="s">
        <v>44</v>
      </c>
      <c r="H551" s="117" t="s">
        <v>1</v>
      </c>
      <c r="I551"/>
      <c r="J551"/>
      <c r="K551" s="117" t="s">
        <v>105</v>
      </c>
      <c r="L551">
        <v>5</v>
      </c>
      <c r="M551" s="117" t="s">
        <v>112</v>
      </c>
      <c r="N551" s="117" t="s">
        <v>9</v>
      </c>
      <c r="O551" s="117" t="s">
        <v>51</v>
      </c>
      <c r="P551" s="117" t="s">
        <v>40</v>
      </c>
      <c r="Q551" s="139">
        <v>20004638</v>
      </c>
      <c r="R551" s="117" t="s">
        <v>78</v>
      </c>
      <c r="S551" s="117" t="s">
        <v>109</v>
      </c>
      <c r="T551" s="117" t="s">
        <v>109</v>
      </c>
      <c r="U551" s="117" t="s">
        <v>128</v>
      </c>
      <c r="V551" s="12">
        <f>+IFERROR(IF(VLOOKUP(Q551,COMISIONES!$C$2:$K$33,9,0)&gt;=VLOOKUP(TC!Q551,COMISIONES!$C$2:$I$33,7,0),1,0),0)</f>
        <v>0</v>
      </c>
      <c r="W551" s="262">
        <f>+IF(H551="Segunda",VLOOKUP(_xlfn.CONCAT(P551,G551,H551,V551),'PUNTOS 2021'!$E$23:$F$30,2,0),TC!L551)</f>
        <v>5</v>
      </c>
      <c r="X551" s="67">
        <f>+VLOOKUP(Q551,COMISIONES!$C$2:$AO$33,39,0)</f>
        <v>60</v>
      </c>
      <c r="Y551" s="67">
        <f t="shared" si="8"/>
        <v>300</v>
      </c>
      <c r="Z551" s="58" t="s">
        <v>80</v>
      </c>
      <c r="AA551" s="13">
        <f>+VLOOKUP(Q551,COMISIONES!$C$2:$C$33,1,0)</f>
        <v>20004638</v>
      </c>
      <c r="AB551" s="13" t="s">
        <v>269</v>
      </c>
    </row>
    <row r="552" spans="1:28" hidden="1">
      <c r="A552" s="117" t="s">
        <v>821</v>
      </c>
      <c r="B552" s="138">
        <v>45163</v>
      </c>
      <c r="C552" s="117" t="s">
        <v>2476</v>
      </c>
      <c r="D552" s="117" t="s">
        <v>2477</v>
      </c>
      <c r="E552" s="117" t="s">
        <v>2478</v>
      </c>
      <c r="F552" s="117"/>
      <c r="G552" s="117" t="s">
        <v>45</v>
      </c>
      <c r="H552" s="117" t="s">
        <v>1</v>
      </c>
      <c r="I552"/>
      <c r="J552"/>
      <c r="K552" s="117" t="s">
        <v>105</v>
      </c>
      <c r="L552">
        <v>7</v>
      </c>
      <c r="M552" s="117" t="s">
        <v>256</v>
      </c>
      <c r="N552" s="117" t="s">
        <v>236</v>
      </c>
      <c r="O552" s="117" t="s">
        <v>49</v>
      </c>
      <c r="P552" s="117" t="s">
        <v>40</v>
      </c>
      <c r="Q552" s="139">
        <v>20010101</v>
      </c>
      <c r="R552" s="117" t="s">
        <v>78</v>
      </c>
      <c r="S552" s="117" t="s">
        <v>109</v>
      </c>
      <c r="T552" s="117" t="s">
        <v>109</v>
      </c>
      <c r="U552" s="117" t="s">
        <v>128</v>
      </c>
      <c r="V552" s="12">
        <f>+IFERROR(IF(VLOOKUP(Q552,COMISIONES!$C$2:$K$33,9,0)&gt;=VLOOKUP(TC!Q552,COMISIONES!$C$2:$I$33,7,0),1,0),0)</f>
        <v>0</v>
      </c>
      <c r="W552" s="262">
        <f>+IF(H552="Segunda",VLOOKUP(_xlfn.CONCAT(P552,G552,H552,V552),'PUNTOS 2021'!$E$23:$F$30,2,0),TC!L552)</f>
        <v>7</v>
      </c>
      <c r="X552" s="67">
        <f>+VLOOKUP(Q552,COMISIONES!$C$2:$AO$33,39,0)</f>
        <v>65</v>
      </c>
      <c r="Y552" s="67">
        <f t="shared" si="8"/>
        <v>455</v>
      </c>
      <c r="Z552" s="58" t="s">
        <v>80</v>
      </c>
      <c r="AA552" s="13">
        <f>+VLOOKUP(Q552,COMISIONES!$C$2:$C$33,1,0)</f>
        <v>20010101</v>
      </c>
      <c r="AB552" s="13" t="s">
        <v>269</v>
      </c>
    </row>
    <row r="553" spans="1:28" hidden="1">
      <c r="A553" s="117" t="s">
        <v>821</v>
      </c>
      <c r="B553" s="138">
        <v>45163</v>
      </c>
      <c r="C553" s="117" t="s">
        <v>2479</v>
      </c>
      <c r="D553" s="117" t="s">
        <v>2480</v>
      </c>
      <c r="E553" s="117" t="s">
        <v>2481</v>
      </c>
      <c r="F553" s="117"/>
      <c r="G553" s="117" t="s">
        <v>45</v>
      </c>
      <c r="H553" s="117" t="s">
        <v>1</v>
      </c>
      <c r="I553"/>
      <c r="J553"/>
      <c r="K553" s="117" t="s">
        <v>105</v>
      </c>
      <c r="L553">
        <v>7</v>
      </c>
      <c r="M553" s="117" t="s">
        <v>270</v>
      </c>
      <c r="N553" s="117" t="s">
        <v>271</v>
      </c>
      <c r="O553" s="117" t="s">
        <v>52</v>
      </c>
      <c r="P553" s="117" t="s">
        <v>40</v>
      </c>
      <c r="Q553" s="139">
        <v>20009592</v>
      </c>
      <c r="R553" s="117" t="s">
        <v>78</v>
      </c>
      <c r="S553" s="117" t="s">
        <v>109</v>
      </c>
      <c r="T553" s="117" t="s">
        <v>109</v>
      </c>
      <c r="U553" s="117" t="s">
        <v>128</v>
      </c>
      <c r="V553" s="12">
        <f>+IFERROR(IF(VLOOKUP(Q553,COMISIONES!$C$2:$K$33,9,0)&gt;=VLOOKUP(TC!Q553,COMISIONES!$C$2:$I$33,7,0),1,0),0)</f>
        <v>1</v>
      </c>
      <c r="W553" s="262">
        <f>+IF(H553="Segunda",VLOOKUP(_xlfn.CONCAT(P553,G553,H553,V553),'PUNTOS 2021'!$E$23:$F$30,2,0),TC!L553)</f>
        <v>7</v>
      </c>
      <c r="X553" s="67">
        <f>+VLOOKUP(Q553,COMISIONES!$C$2:$AO$33,39,0)</f>
        <v>60</v>
      </c>
      <c r="Y553" s="67">
        <f t="shared" si="8"/>
        <v>420</v>
      </c>
      <c r="Z553" s="58" t="s">
        <v>80</v>
      </c>
      <c r="AA553" s="13">
        <f>+VLOOKUP(Q553,COMISIONES!$C$2:$C$33,1,0)</f>
        <v>20009592</v>
      </c>
      <c r="AB553" s="13" t="s">
        <v>269</v>
      </c>
    </row>
    <row r="554" spans="1:28" hidden="1">
      <c r="A554" s="117" t="s">
        <v>821</v>
      </c>
      <c r="B554" s="138">
        <v>45163</v>
      </c>
      <c r="C554" s="117" t="s">
        <v>2482</v>
      </c>
      <c r="D554" s="117" t="s">
        <v>2483</v>
      </c>
      <c r="E554" s="117" t="s">
        <v>2484</v>
      </c>
      <c r="F554" s="117"/>
      <c r="G554" s="117" t="s">
        <v>43</v>
      </c>
      <c r="H554" s="117" t="s">
        <v>1</v>
      </c>
      <c r="I554"/>
      <c r="J554"/>
      <c r="K554" s="117" t="s">
        <v>105</v>
      </c>
      <c r="L554">
        <v>3</v>
      </c>
      <c r="M554" s="117" t="s">
        <v>255</v>
      </c>
      <c r="N554" s="117" t="s">
        <v>4</v>
      </c>
      <c r="O554" s="117" t="s">
        <v>51</v>
      </c>
      <c r="P554" s="117" t="s">
        <v>40</v>
      </c>
      <c r="Q554" s="139">
        <v>20000033</v>
      </c>
      <c r="R554" s="117" t="s">
        <v>78</v>
      </c>
      <c r="S554" s="117" t="s">
        <v>109</v>
      </c>
      <c r="T554" s="117" t="s">
        <v>109</v>
      </c>
      <c r="U554" s="117" t="s">
        <v>128</v>
      </c>
      <c r="V554" s="12">
        <f>+IFERROR(IF(VLOOKUP(Q554,COMISIONES!$C$2:$K$33,9,0)&gt;=VLOOKUP(TC!Q554,COMISIONES!$C$2:$I$33,7,0),1,0),0)</f>
        <v>1</v>
      </c>
      <c r="W554" s="262">
        <f>+IF(H554="Segunda",VLOOKUP(_xlfn.CONCAT(P554,G554,H554,V554),'PUNTOS 2021'!$E$23:$F$30,2,0),TC!L554)</f>
        <v>3</v>
      </c>
      <c r="X554" s="67">
        <f>+VLOOKUP(Q554,COMISIONES!$C$2:$AO$33,39,0)</f>
        <v>60</v>
      </c>
      <c r="Y554" s="67">
        <f t="shared" si="8"/>
        <v>180</v>
      </c>
      <c r="Z554" s="58" t="s">
        <v>80</v>
      </c>
      <c r="AA554" s="13">
        <f>+VLOOKUP(Q554,COMISIONES!$C$2:$C$33,1,0)</f>
        <v>20000033</v>
      </c>
      <c r="AB554" s="13" t="s">
        <v>269</v>
      </c>
    </row>
    <row r="555" spans="1:28" hidden="1">
      <c r="A555" s="117" t="s">
        <v>821</v>
      </c>
      <c r="B555" s="138">
        <v>45163</v>
      </c>
      <c r="C555" s="117" t="s">
        <v>2485</v>
      </c>
      <c r="D555" s="117" t="s">
        <v>2486</v>
      </c>
      <c r="E555" s="117" t="s">
        <v>2487</v>
      </c>
      <c r="F555" s="117"/>
      <c r="G555" s="117" t="s">
        <v>45</v>
      </c>
      <c r="H555" s="117" t="s">
        <v>1</v>
      </c>
      <c r="I555"/>
      <c r="J555"/>
      <c r="K555" s="117" t="s">
        <v>105</v>
      </c>
      <c r="L555">
        <v>7</v>
      </c>
      <c r="M555" s="117" t="s">
        <v>257</v>
      </c>
      <c r="N555" s="117" t="s">
        <v>15</v>
      </c>
      <c r="O555" s="117" t="s">
        <v>52</v>
      </c>
      <c r="P555" s="117" t="s">
        <v>40</v>
      </c>
      <c r="Q555" s="139">
        <v>20005527</v>
      </c>
      <c r="R555" s="117" t="s">
        <v>78</v>
      </c>
      <c r="S555" s="117" t="s">
        <v>109</v>
      </c>
      <c r="T555" s="117" t="s">
        <v>109</v>
      </c>
      <c r="U555" s="117" t="s">
        <v>128</v>
      </c>
      <c r="V555" s="12">
        <f>+IFERROR(IF(VLOOKUP(Q555,COMISIONES!$C$2:$K$33,9,0)&gt;=VLOOKUP(TC!Q555,COMISIONES!$C$2:$I$33,7,0),1,0),0)</f>
        <v>0</v>
      </c>
      <c r="W555" s="262">
        <f>+IF(H555="Segunda",VLOOKUP(_xlfn.CONCAT(P555,G555,H555,V555),'PUNTOS 2021'!$E$23:$F$30,2,0),TC!L555)</f>
        <v>7</v>
      </c>
      <c r="X555" s="67">
        <f>+VLOOKUP(Q555,COMISIONES!$C$2:$AO$33,39,0)</f>
        <v>40</v>
      </c>
      <c r="Y555" s="67">
        <f t="shared" si="8"/>
        <v>280</v>
      </c>
      <c r="Z555" s="58" t="s">
        <v>80</v>
      </c>
      <c r="AA555" s="13">
        <f>+VLOOKUP(Q555,COMISIONES!$C$2:$C$33,1,0)</f>
        <v>20005527</v>
      </c>
      <c r="AB555" s="13" t="s">
        <v>269</v>
      </c>
    </row>
    <row r="556" spans="1:28" hidden="1">
      <c r="A556" s="117" t="s">
        <v>821</v>
      </c>
      <c r="B556" s="138">
        <v>45163</v>
      </c>
      <c r="C556" s="117" t="s">
        <v>2488</v>
      </c>
      <c r="D556" s="117" t="s">
        <v>2489</v>
      </c>
      <c r="E556" s="117" t="s">
        <v>2490</v>
      </c>
      <c r="F556" s="117"/>
      <c r="G556" s="117" t="s">
        <v>45</v>
      </c>
      <c r="H556" s="117" t="s">
        <v>1</v>
      </c>
      <c r="I556"/>
      <c r="J556"/>
      <c r="K556" s="117" t="s">
        <v>105</v>
      </c>
      <c r="L556">
        <v>7</v>
      </c>
      <c r="M556" s="117" t="s">
        <v>1946</v>
      </c>
      <c r="N556" s="117" t="s">
        <v>1947</v>
      </c>
      <c r="O556" s="117" t="s">
        <v>51</v>
      </c>
      <c r="P556" s="117" t="s">
        <v>40</v>
      </c>
      <c r="Q556" s="139">
        <v>20010766</v>
      </c>
      <c r="R556" s="117" t="s">
        <v>78</v>
      </c>
      <c r="S556" s="117" t="s">
        <v>109</v>
      </c>
      <c r="T556" s="117" t="s">
        <v>109</v>
      </c>
      <c r="U556" s="117" t="s">
        <v>128</v>
      </c>
      <c r="V556" s="12">
        <f>+IFERROR(IF(VLOOKUP(Q556,COMISIONES!$C$2:$K$33,9,0)&gt;=VLOOKUP(TC!Q556,COMISIONES!$C$2:$I$33,7,0),1,0),0)</f>
        <v>0</v>
      </c>
      <c r="W556" s="262">
        <f>+IF(H556="Segunda",VLOOKUP(_xlfn.CONCAT(P556,G556,H556,V556),'PUNTOS 2021'!$E$23:$F$30,2,0),TC!L556)</f>
        <v>7</v>
      </c>
      <c r="X556" s="67">
        <f>+VLOOKUP(Q556,COMISIONES!$C$2:$AO$33,39,0)</f>
        <v>20</v>
      </c>
      <c r="Y556" s="67">
        <f t="shared" si="8"/>
        <v>140</v>
      </c>
      <c r="Z556" s="58" t="s">
        <v>80</v>
      </c>
      <c r="AA556" s="13">
        <f>+VLOOKUP(Q556,COMISIONES!$C$2:$C$33,1,0)</f>
        <v>20010766</v>
      </c>
      <c r="AB556" s="13" t="s">
        <v>269</v>
      </c>
    </row>
    <row r="557" spans="1:28">
      <c r="A557" s="117" t="s">
        <v>821</v>
      </c>
      <c r="B557" s="138">
        <v>45163</v>
      </c>
      <c r="C557" s="117" t="s">
        <v>2491</v>
      </c>
      <c r="D557" s="117" t="s">
        <v>2492</v>
      </c>
      <c r="E557" s="117" t="s">
        <v>2493</v>
      </c>
      <c r="F557" s="117"/>
      <c r="G557" s="117" t="s">
        <v>45</v>
      </c>
      <c r="H557" s="117" t="s">
        <v>2</v>
      </c>
      <c r="I557"/>
      <c r="J557"/>
      <c r="K557" s="117" t="s">
        <v>105</v>
      </c>
      <c r="L557">
        <v>2</v>
      </c>
      <c r="M557" s="117" t="s">
        <v>255</v>
      </c>
      <c r="N557" s="117" t="s">
        <v>4</v>
      </c>
      <c r="O557" s="117" t="s">
        <v>51</v>
      </c>
      <c r="P557" s="117" t="s">
        <v>40</v>
      </c>
      <c r="Q557" s="139">
        <v>20000033</v>
      </c>
      <c r="R557" s="117" t="s">
        <v>78</v>
      </c>
      <c r="S557" s="117" t="s">
        <v>109</v>
      </c>
      <c r="T557" s="117" t="s">
        <v>109</v>
      </c>
      <c r="U557" s="117" t="s">
        <v>128</v>
      </c>
      <c r="V557" s="12">
        <f>+IFERROR(IF(VLOOKUP(Q557,COMISIONES!$C$2:$K$33,9,0)&gt;=VLOOKUP(TC!Q557,COMISIONES!$C$2:$I$33,7,0),1,0),0)</f>
        <v>1</v>
      </c>
      <c r="W557" s="262">
        <f>+IF(H557="Segunda",VLOOKUP(_xlfn.CONCAT(P557,G557,H557,V557),'PUNTOS 2021'!$E$23:$F$30,2,0),TC!L557)</f>
        <v>2</v>
      </c>
      <c r="X557" s="67">
        <f>+VLOOKUP(Q557,COMISIONES!$C$2:$AO$33,39,0)</f>
        <v>60</v>
      </c>
      <c r="Y557" s="67">
        <f t="shared" si="8"/>
        <v>120</v>
      </c>
      <c r="Z557" s="58" t="s">
        <v>80</v>
      </c>
      <c r="AA557" s="13">
        <f>+VLOOKUP(Q557,COMISIONES!$C$2:$C$33,1,0)</f>
        <v>20000033</v>
      </c>
      <c r="AB557" s="13" t="s">
        <v>269</v>
      </c>
    </row>
    <row r="558" spans="1:28" hidden="1">
      <c r="A558" s="117" t="s">
        <v>821</v>
      </c>
      <c r="B558" s="138">
        <v>45163</v>
      </c>
      <c r="C558" s="117" t="s">
        <v>2494</v>
      </c>
      <c r="D558" s="117" t="s">
        <v>2495</v>
      </c>
      <c r="E558" s="117" t="s">
        <v>2496</v>
      </c>
      <c r="F558" s="117"/>
      <c r="G558" s="117" t="s">
        <v>45</v>
      </c>
      <c r="H558" s="117" t="s">
        <v>1</v>
      </c>
      <c r="I558"/>
      <c r="J558"/>
      <c r="K558" s="117" t="s">
        <v>105</v>
      </c>
      <c r="L558">
        <v>7</v>
      </c>
      <c r="M558" s="117" t="s">
        <v>273</v>
      </c>
      <c r="N558" s="117" t="s">
        <v>292</v>
      </c>
      <c r="O558" s="117" t="s">
        <v>51</v>
      </c>
      <c r="P558" s="117" t="s">
        <v>40</v>
      </c>
      <c r="Q558" s="139">
        <v>20007943</v>
      </c>
      <c r="R558" s="117" t="s">
        <v>78</v>
      </c>
      <c r="S558" s="117" t="s">
        <v>109</v>
      </c>
      <c r="T558" s="117" t="s">
        <v>109</v>
      </c>
      <c r="U558" s="117" t="s">
        <v>128</v>
      </c>
      <c r="V558" s="12">
        <f>+IFERROR(IF(VLOOKUP(Q558,COMISIONES!$C$2:$K$33,9,0)&gt;=VLOOKUP(TC!Q558,COMISIONES!$C$2:$I$33,7,0),1,0),0)</f>
        <v>0</v>
      </c>
      <c r="W558" s="262">
        <f>+IF(H558="Segunda",VLOOKUP(_xlfn.CONCAT(P558,G558,H558,V558),'PUNTOS 2021'!$E$23:$F$30,2,0),TC!L558)</f>
        <v>7</v>
      </c>
      <c r="X558" s="67">
        <f>+VLOOKUP(Q558,COMISIONES!$C$2:$AO$33,39,0)</f>
        <v>20</v>
      </c>
      <c r="Y558" s="67">
        <f t="shared" si="8"/>
        <v>140</v>
      </c>
      <c r="Z558" s="58" t="s">
        <v>80</v>
      </c>
      <c r="AA558" s="13">
        <f>+VLOOKUP(Q558,COMISIONES!$C$2:$C$33,1,0)</f>
        <v>20007943</v>
      </c>
      <c r="AB558" s="13" t="s">
        <v>269</v>
      </c>
    </row>
    <row r="559" spans="1:28" hidden="1">
      <c r="A559" s="117" t="s">
        <v>821</v>
      </c>
      <c r="B559" s="138">
        <v>45163</v>
      </c>
      <c r="C559" s="117" t="s">
        <v>2497</v>
      </c>
      <c r="D559" s="117" t="s">
        <v>2498</v>
      </c>
      <c r="E559" s="117" t="s">
        <v>2499</v>
      </c>
      <c r="F559" s="117"/>
      <c r="G559" s="117" t="s">
        <v>43</v>
      </c>
      <c r="H559" s="117" t="s">
        <v>1</v>
      </c>
      <c r="I559"/>
      <c r="J559"/>
      <c r="K559" s="117" t="s">
        <v>105</v>
      </c>
      <c r="L559">
        <v>3</v>
      </c>
      <c r="M559" s="117" t="s">
        <v>270</v>
      </c>
      <c r="N559" s="117" t="s">
        <v>271</v>
      </c>
      <c r="O559" s="117" t="s">
        <v>52</v>
      </c>
      <c r="P559" s="117" t="s">
        <v>40</v>
      </c>
      <c r="Q559" s="139">
        <v>20009592</v>
      </c>
      <c r="R559" s="117" t="s">
        <v>78</v>
      </c>
      <c r="S559" s="117" t="s">
        <v>109</v>
      </c>
      <c r="T559" s="117" t="s">
        <v>109</v>
      </c>
      <c r="U559" s="117" t="s">
        <v>128</v>
      </c>
      <c r="V559" s="12">
        <f>+IFERROR(IF(VLOOKUP(Q559,COMISIONES!$C$2:$K$33,9,0)&gt;=VLOOKUP(TC!Q559,COMISIONES!$C$2:$I$33,7,0),1,0),0)</f>
        <v>1</v>
      </c>
      <c r="W559" s="262">
        <f>+IF(H559="Segunda",VLOOKUP(_xlfn.CONCAT(P559,G559,H559,V559),'PUNTOS 2021'!$E$23:$F$30,2,0),TC!L559)</f>
        <v>3</v>
      </c>
      <c r="X559" s="67">
        <f>+VLOOKUP(Q559,COMISIONES!$C$2:$AO$33,39,0)</f>
        <v>60</v>
      </c>
      <c r="Y559" s="67">
        <f t="shared" si="8"/>
        <v>180</v>
      </c>
      <c r="Z559" s="58" t="s">
        <v>80</v>
      </c>
      <c r="AA559" s="13">
        <f>+VLOOKUP(Q559,COMISIONES!$C$2:$C$33,1,0)</f>
        <v>20009592</v>
      </c>
      <c r="AB559" s="13" t="s">
        <v>269</v>
      </c>
    </row>
    <row r="560" spans="1:28" hidden="1">
      <c r="A560" s="117" t="s">
        <v>821</v>
      </c>
      <c r="B560" s="138">
        <v>45163</v>
      </c>
      <c r="C560" s="117" t="s">
        <v>2500</v>
      </c>
      <c r="D560" s="117" t="s">
        <v>2501</v>
      </c>
      <c r="E560" s="117" t="s">
        <v>2502</v>
      </c>
      <c r="F560" s="117"/>
      <c r="G560" s="117" t="s">
        <v>43</v>
      </c>
      <c r="H560" s="117" t="s">
        <v>1</v>
      </c>
      <c r="I560"/>
      <c r="J560"/>
      <c r="K560" s="117" t="s">
        <v>105</v>
      </c>
      <c r="L560">
        <v>3</v>
      </c>
      <c r="M560" s="117" t="s">
        <v>115</v>
      </c>
      <c r="N560" s="117" t="s">
        <v>6</v>
      </c>
      <c r="O560" s="117" t="s">
        <v>51</v>
      </c>
      <c r="P560" s="117" t="s">
        <v>40</v>
      </c>
      <c r="Q560" s="139">
        <v>20001487</v>
      </c>
      <c r="R560" s="117" t="s">
        <v>78</v>
      </c>
      <c r="S560" s="117" t="s">
        <v>109</v>
      </c>
      <c r="T560" s="117" t="s">
        <v>109</v>
      </c>
      <c r="U560" s="117" t="s">
        <v>128</v>
      </c>
      <c r="V560" s="12">
        <f>+IFERROR(IF(VLOOKUP(Q560,COMISIONES!$C$2:$K$33,9,0)&gt;=VLOOKUP(TC!Q560,COMISIONES!$C$2:$I$33,7,0),1,0),0)</f>
        <v>1</v>
      </c>
      <c r="W560" s="262">
        <f>+IF(H560="Segunda",VLOOKUP(_xlfn.CONCAT(P560,G560,H560,V560),'PUNTOS 2021'!$E$23:$F$30,2,0),TC!L560)</f>
        <v>3</v>
      </c>
      <c r="X560" s="67">
        <f>+VLOOKUP(Q560,COMISIONES!$C$2:$AO$33,39,0)</f>
        <v>65</v>
      </c>
      <c r="Y560" s="67">
        <f t="shared" si="8"/>
        <v>195</v>
      </c>
      <c r="Z560" s="58" t="s">
        <v>80</v>
      </c>
      <c r="AA560" s="13">
        <f>+VLOOKUP(Q560,COMISIONES!$C$2:$C$33,1,0)</f>
        <v>20001487</v>
      </c>
      <c r="AB560" s="13" t="s">
        <v>269</v>
      </c>
    </row>
    <row r="561" spans="1:28" hidden="1">
      <c r="A561" s="117" t="s">
        <v>821</v>
      </c>
      <c r="B561" s="138">
        <v>45163</v>
      </c>
      <c r="C561" s="117" t="s">
        <v>2503</v>
      </c>
      <c r="D561" s="117" t="s">
        <v>2504</v>
      </c>
      <c r="E561" s="117" t="s">
        <v>2505</v>
      </c>
      <c r="F561" s="117"/>
      <c r="G561" s="117" t="s">
        <v>44</v>
      </c>
      <c r="H561" s="117" t="s">
        <v>1</v>
      </c>
      <c r="I561"/>
      <c r="J561"/>
      <c r="K561" s="117" t="s">
        <v>105</v>
      </c>
      <c r="L561">
        <v>5</v>
      </c>
      <c r="M561" s="117" t="s">
        <v>123</v>
      </c>
      <c r="N561" s="117" t="s">
        <v>23</v>
      </c>
      <c r="O561" s="117" t="s">
        <v>49</v>
      </c>
      <c r="P561" s="117" t="s">
        <v>40</v>
      </c>
      <c r="Q561" s="139">
        <v>20009269</v>
      </c>
      <c r="R561" s="117" t="s">
        <v>78</v>
      </c>
      <c r="S561" s="117" t="s">
        <v>109</v>
      </c>
      <c r="T561" s="117" t="s">
        <v>109</v>
      </c>
      <c r="U561" s="117" t="s">
        <v>128</v>
      </c>
      <c r="V561" s="12">
        <f>+IFERROR(IF(VLOOKUP(Q561,COMISIONES!$C$2:$K$33,9,0)&gt;=VLOOKUP(TC!Q561,COMISIONES!$C$2:$I$33,7,0),1,0),0)</f>
        <v>1</v>
      </c>
      <c r="W561" s="262">
        <f>+IF(H561="Segunda",VLOOKUP(_xlfn.CONCAT(P561,G561,H561,V561),'PUNTOS 2021'!$E$23:$F$30,2,0),TC!L561)</f>
        <v>5</v>
      </c>
      <c r="X561" s="67">
        <f>+VLOOKUP(Q561,COMISIONES!$C$2:$AO$33,39,0)</f>
        <v>65</v>
      </c>
      <c r="Y561" s="67">
        <f t="shared" ref="Y561:Y622" si="9">X561*W561</f>
        <v>325</v>
      </c>
      <c r="Z561" s="58" t="s">
        <v>80</v>
      </c>
      <c r="AA561" s="13">
        <f>+VLOOKUP(Q561,COMISIONES!$C$2:$C$33,1,0)</f>
        <v>20009269</v>
      </c>
      <c r="AB561" s="13" t="s">
        <v>269</v>
      </c>
    </row>
    <row r="562" spans="1:28">
      <c r="A562" s="117" t="s">
        <v>821</v>
      </c>
      <c r="B562" s="138">
        <v>45163</v>
      </c>
      <c r="C562" s="117" t="s">
        <v>2506</v>
      </c>
      <c r="D562" s="117" t="s">
        <v>2507</v>
      </c>
      <c r="E562" s="117" t="s">
        <v>2508</v>
      </c>
      <c r="F562" s="117"/>
      <c r="G562" s="117" t="s">
        <v>45</v>
      </c>
      <c r="H562" s="117" t="s">
        <v>2</v>
      </c>
      <c r="I562"/>
      <c r="J562"/>
      <c r="K562" s="117" t="s">
        <v>105</v>
      </c>
      <c r="L562">
        <v>2</v>
      </c>
      <c r="M562" s="117" t="s">
        <v>112</v>
      </c>
      <c r="N562" s="117" t="s">
        <v>9</v>
      </c>
      <c r="O562" s="117" t="s">
        <v>51</v>
      </c>
      <c r="P562" s="117" t="s">
        <v>40</v>
      </c>
      <c r="Q562" s="139">
        <v>20004638</v>
      </c>
      <c r="R562" s="117" t="s">
        <v>78</v>
      </c>
      <c r="S562" s="117" t="s">
        <v>109</v>
      </c>
      <c r="T562" s="117" t="s">
        <v>109</v>
      </c>
      <c r="U562" s="117" t="s">
        <v>128</v>
      </c>
      <c r="V562" s="12">
        <f>+IFERROR(IF(VLOOKUP(Q562,COMISIONES!$C$2:$K$33,9,0)&gt;=VLOOKUP(TC!Q562,COMISIONES!$C$2:$I$33,7,0),1,0),0)</f>
        <v>0</v>
      </c>
      <c r="W562" s="262">
        <f>+IF(H562="Segunda",VLOOKUP(_xlfn.CONCAT(P562,G562,H562,V562),'PUNTOS 2021'!$E$23:$F$30,2,0),TC!L562)</f>
        <v>0.5</v>
      </c>
      <c r="X562" s="67">
        <f>+VLOOKUP(Q562,COMISIONES!$C$2:$AO$33,39,0)</f>
        <v>60</v>
      </c>
      <c r="Y562" s="67">
        <f t="shared" si="9"/>
        <v>30</v>
      </c>
      <c r="Z562" s="58" t="s">
        <v>80</v>
      </c>
      <c r="AA562" s="13">
        <f>+VLOOKUP(Q562,COMISIONES!$C$2:$C$33,1,0)</f>
        <v>20004638</v>
      </c>
      <c r="AB562" s="13" t="s">
        <v>269</v>
      </c>
    </row>
    <row r="563" spans="1:28" hidden="1">
      <c r="A563" s="117" t="s">
        <v>821</v>
      </c>
      <c r="B563" s="138">
        <v>45164</v>
      </c>
      <c r="C563" s="117" t="s">
        <v>2509</v>
      </c>
      <c r="D563" s="117" t="s">
        <v>2510</v>
      </c>
      <c r="E563" s="117" t="s">
        <v>2511</v>
      </c>
      <c r="F563" s="117"/>
      <c r="G563" s="117" t="s">
        <v>44</v>
      </c>
      <c r="H563" s="117" t="s">
        <v>1</v>
      </c>
      <c r="I563"/>
      <c r="J563"/>
      <c r="K563" s="117" t="s">
        <v>105</v>
      </c>
      <c r="L563">
        <v>5</v>
      </c>
      <c r="M563" s="117" t="s">
        <v>122</v>
      </c>
      <c r="N563" s="117" t="s">
        <v>5</v>
      </c>
      <c r="O563" s="117" t="s">
        <v>50</v>
      </c>
      <c r="P563" s="117" t="s">
        <v>40</v>
      </c>
      <c r="Q563" s="139">
        <v>20004566</v>
      </c>
      <c r="R563" s="117" t="s">
        <v>78</v>
      </c>
      <c r="S563" s="117" t="s">
        <v>109</v>
      </c>
      <c r="T563" s="117" t="s">
        <v>109</v>
      </c>
      <c r="U563" s="117" t="s">
        <v>128</v>
      </c>
      <c r="V563" s="12">
        <f>+IFERROR(IF(VLOOKUP(Q563,COMISIONES!$C$2:$K$33,9,0)&gt;=VLOOKUP(TC!Q563,COMISIONES!$C$2:$I$33,7,0),1,0),0)</f>
        <v>1</v>
      </c>
      <c r="W563" s="262">
        <f>+IF(H563="Segunda",VLOOKUP(_xlfn.CONCAT(P563,G563,H563,V563),'PUNTOS 2021'!$E$23:$F$30,2,0),TC!L563)</f>
        <v>5</v>
      </c>
      <c r="X563" s="67">
        <f>+VLOOKUP(Q563,COMISIONES!$C$2:$AO$33,39,0)</f>
        <v>60</v>
      </c>
      <c r="Y563" s="67">
        <f t="shared" si="9"/>
        <v>300</v>
      </c>
      <c r="Z563" s="58" t="s">
        <v>80</v>
      </c>
      <c r="AA563" s="13">
        <f>+VLOOKUP(Q563,COMISIONES!$C$2:$C$33,1,0)</f>
        <v>20004566</v>
      </c>
      <c r="AB563" s="13" t="s">
        <v>269</v>
      </c>
    </row>
    <row r="564" spans="1:28" hidden="1">
      <c r="A564" s="117" t="s">
        <v>821</v>
      </c>
      <c r="B564" s="138">
        <v>45164</v>
      </c>
      <c r="C564" s="117" t="s">
        <v>2512</v>
      </c>
      <c r="D564" s="117" t="s">
        <v>2513</v>
      </c>
      <c r="E564" s="117" t="s">
        <v>2514</v>
      </c>
      <c r="F564" s="117"/>
      <c r="G564" s="117" t="s">
        <v>45</v>
      </c>
      <c r="H564" s="117" t="s">
        <v>1</v>
      </c>
      <c r="I564"/>
      <c r="J564"/>
      <c r="K564" s="117" t="s">
        <v>105</v>
      </c>
      <c r="L564">
        <v>7</v>
      </c>
      <c r="M564" s="117" t="s">
        <v>161</v>
      </c>
      <c r="N564" s="117" t="s">
        <v>158</v>
      </c>
      <c r="O564" s="117" t="s">
        <v>50</v>
      </c>
      <c r="P564" s="117" t="s">
        <v>40</v>
      </c>
      <c r="Q564" s="139">
        <v>20006162</v>
      </c>
      <c r="R564" s="117" t="s">
        <v>78</v>
      </c>
      <c r="S564" s="117" t="s">
        <v>109</v>
      </c>
      <c r="T564" s="117" t="s">
        <v>109</v>
      </c>
      <c r="U564" s="117" t="s">
        <v>128</v>
      </c>
      <c r="V564" s="12">
        <f>+IFERROR(IF(VLOOKUP(Q564,COMISIONES!$C$2:$K$33,9,0)&gt;=VLOOKUP(TC!Q564,COMISIONES!$C$2:$I$33,7,0),1,0),0)</f>
        <v>0</v>
      </c>
      <c r="W564" s="262">
        <f>+IF(H564="Segunda",VLOOKUP(_xlfn.CONCAT(P564,G564,H564,V564),'PUNTOS 2021'!$E$23:$F$30,2,0),TC!L564)</f>
        <v>7</v>
      </c>
      <c r="X564" s="67">
        <f>+VLOOKUP(Q564,COMISIONES!$C$2:$AO$33,39,0)</f>
        <v>60</v>
      </c>
      <c r="Y564" s="67">
        <f t="shared" si="9"/>
        <v>420</v>
      </c>
      <c r="Z564" s="58" t="s">
        <v>80</v>
      </c>
      <c r="AA564" s="13">
        <f>+VLOOKUP(Q564,COMISIONES!$C$2:$C$33,1,0)</f>
        <v>20006162</v>
      </c>
      <c r="AB564" s="13" t="s">
        <v>269</v>
      </c>
    </row>
    <row r="565" spans="1:28" hidden="1">
      <c r="A565" s="117" t="s">
        <v>821</v>
      </c>
      <c r="B565" s="138">
        <v>45164</v>
      </c>
      <c r="C565" s="117" t="s">
        <v>2515</v>
      </c>
      <c r="D565" s="117" t="s">
        <v>2516</v>
      </c>
      <c r="E565" s="117" t="s">
        <v>2517</v>
      </c>
      <c r="F565" s="117"/>
      <c r="G565" s="117" t="s">
        <v>45</v>
      </c>
      <c r="H565" s="117" t="s">
        <v>1</v>
      </c>
      <c r="I565"/>
      <c r="J565"/>
      <c r="K565" s="117" t="s">
        <v>105</v>
      </c>
      <c r="L565">
        <v>7</v>
      </c>
      <c r="M565" s="117" t="s">
        <v>260</v>
      </c>
      <c r="N565" s="117" t="s">
        <v>261</v>
      </c>
      <c r="O565" s="117" t="s">
        <v>52</v>
      </c>
      <c r="P565" s="117" t="s">
        <v>40</v>
      </c>
      <c r="Q565" s="139">
        <v>20010262</v>
      </c>
      <c r="R565" s="117" t="s">
        <v>78</v>
      </c>
      <c r="S565" s="117" t="s">
        <v>109</v>
      </c>
      <c r="T565" s="117" t="s">
        <v>109</v>
      </c>
      <c r="U565" s="117" t="s">
        <v>128</v>
      </c>
      <c r="V565" s="12">
        <f>+IFERROR(IF(VLOOKUP(Q565,COMISIONES!$C$2:$K$33,9,0)&gt;=VLOOKUP(TC!Q565,COMISIONES!$C$2:$I$33,7,0),1,0),0)</f>
        <v>0</v>
      </c>
      <c r="W565" s="262">
        <f>+IF(H565="Segunda",VLOOKUP(_xlfn.CONCAT(P565,G565,H565,V565),'PUNTOS 2021'!$E$23:$F$30,2,0),TC!L565)</f>
        <v>7</v>
      </c>
      <c r="X565" s="67">
        <f>+VLOOKUP(Q565,COMISIONES!$C$2:$AO$33,39,0)</f>
        <v>60</v>
      </c>
      <c r="Y565" s="67">
        <f t="shared" si="9"/>
        <v>420</v>
      </c>
      <c r="Z565" s="58" t="s">
        <v>80</v>
      </c>
      <c r="AA565" s="13">
        <f>+VLOOKUP(Q565,COMISIONES!$C$2:$C$33,1,0)</f>
        <v>20010262</v>
      </c>
      <c r="AB565" s="13" t="s">
        <v>269</v>
      </c>
    </row>
    <row r="566" spans="1:28" hidden="1">
      <c r="A566" s="117" t="s">
        <v>821</v>
      </c>
      <c r="B566" s="138">
        <v>45164</v>
      </c>
      <c r="C566" s="117" t="s">
        <v>2518</v>
      </c>
      <c r="D566" s="117" t="s">
        <v>2519</v>
      </c>
      <c r="E566" s="117" t="s">
        <v>2520</v>
      </c>
      <c r="F566" s="117"/>
      <c r="G566" s="117" t="s">
        <v>45</v>
      </c>
      <c r="H566" s="117" t="s">
        <v>1</v>
      </c>
      <c r="I566"/>
      <c r="J566"/>
      <c r="K566" s="117" t="s">
        <v>105</v>
      </c>
      <c r="L566">
        <v>7</v>
      </c>
      <c r="M566" s="117" t="s">
        <v>159</v>
      </c>
      <c r="N566" s="117" t="s">
        <v>227</v>
      </c>
      <c r="O566" s="117" t="s">
        <v>49</v>
      </c>
      <c r="P566" s="117" t="s">
        <v>40</v>
      </c>
      <c r="Q566" s="139">
        <v>20009690</v>
      </c>
      <c r="R566" s="117" t="s">
        <v>78</v>
      </c>
      <c r="S566" s="117" t="s">
        <v>109</v>
      </c>
      <c r="T566" s="117" t="s">
        <v>109</v>
      </c>
      <c r="U566" s="117" t="s">
        <v>128</v>
      </c>
      <c r="V566" s="12">
        <f>+IFERROR(IF(VLOOKUP(Q566,COMISIONES!$C$2:$K$33,9,0)&gt;=VLOOKUP(TC!Q566,COMISIONES!$C$2:$I$33,7,0),1,0),0)</f>
        <v>0</v>
      </c>
      <c r="W566" s="262">
        <f>+IF(H566="Segunda",VLOOKUP(_xlfn.CONCAT(P566,G566,H566,V566),'PUNTOS 2021'!$E$23:$F$30,2,0),TC!L566)</f>
        <v>7</v>
      </c>
      <c r="X566" s="67">
        <f>+VLOOKUP(Q566,COMISIONES!$C$2:$AO$33,39,0)</f>
        <v>45</v>
      </c>
      <c r="Y566" s="67">
        <f t="shared" si="9"/>
        <v>315</v>
      </c>
      <c r="Z566" s="58" t="s">
        <v>80</v>
      </c>
      <c r="AA566" s="13">
        <f>+VLOOKUP(Q566,COMISIONES!$C$2:$C$33,1,0)</f>
        <v>20009690</v>
      </c>
      <c r="AB566" s="13" t="s">
        <v>269</v>
      </c>
    </row>
    <row r="567" spans="1:28" hidden="1">
      <c r="A567" s="117" t="s">
        <v>821</v>
      </c>
      <c r="B567" s="138">
        <v>45164</v>
      </c>
      <c r="C567" s="117" t="s">
        <v>2521</v>
      </c>
      <c r="D567" s="117" t="s">
        <v>2522</v>
      </c>
      <c r="E567" s="117" t="s">
        <v>2523</v>
      </c>
      <c r="F567" s="117"/>
      <c r="G567" s="117" t="s">
        <v>45</v>
      </c>
      <c r="H567" s="117" t="s">
        <v>1</v>
      </c>
      <c r="I567"/>
      <c r="J567"/>
      <c r="K567" s="117" t="s">
        <v>105</v>
      </c>
      <c r="L567">
        <v>7</v>
      </c>
      <c r="M567" s="117" t="s">
        <v>258</v>
      </c>
      <c r="N567" s="117" t="s">
        <v>237</v>
      </c>
      <c r="O567" s="117" t="s">
        <v>51</v>
      </c>
      <c r="P567" s="117" t="s">
        <v>40</v>
      </c>
      <c r="Q567" s="139">
        <v>20006893</v>
      </c>
      <c r="R567" s="117" t="s">
        <v>78</v>
      </c>
      <c r="S567" s="117" t="s">
        <v>109</v>
      </c>
      <c r="T567" s="117" t="s">
        <v>109</v>
      </c>
      <c r="U567" s="117" t="s">
        <v>128</v>
      </c>
      <c r="V567" s="12">
        <f>+IFERROR(IF(VLOOKUP(Q567,COMISIONES!$C$2:$K$33,9,0)&gt;=VLOOKUP(TC!Q567,COMISIONES!$C$2:$I$33,7,0),1,0),0)</f>
        <v>0</v>
      </c>
      <c r="W567" s="262">
        <f>+IF(H567="Segunda",VLOOKUP(_xlfn.CONCAT(P567,G567,H567,V567),'PUNTOS 2021'!$E$23:$F$30,2,0),TC!L567)</f>
        <v>7</v>
      </c>
      <c r="X567" s="67">
        <f>+VLOOKUP(Q567,COMISIONES!$C$2:$AO$33,39,0)</f>
        <v>40</v>
      </c>
      <c r="Y567" s="67">
        <f t="shared" si="9"/>
        <v>280</v>
      </c>
      <c r="Z567" s="58" t="s">
        <v>80</v>
      </c>
      <c r="AA567" s="13">
        <f>+VLOOKUP(Q567,COMISIONES!$C$2:$C$33,1,0)</f>
        <v>20006893</v>
      </c>
      <c r="AB567" s="13" t="s">
        <v>269</v>
      </c>
    </row>
    <row r="568" spans="1:28" hidden="1">
      <c r="A568" s="117" t="s">
        <v>821</v>
      </c>
      <c r="B568" s="138">
        <v>45164</v>
      </c>
      <c r="C568" s="117" t="s">
        <v>2524</v>
      </c>
      <c r="D568" s="117" t="s">
        <v>2525</v>
      </c>
      <c r="E568" s="117" t="s">
        <v>2526</v>
      </c>
      <c r="F568" s="117"/>
      <c r="G568" s="117" t="s">
        <v>44</v>
      </c>
      <c r="H568" s="117" t="s">
        <v>1</v>
      </c>
      <c r="I568"/>
      <c r="J568"/>
      <c r="K568" s="117" t="s">
        <v>105</v>
      </c>
      <c r="L568">
        <v>5</v>
      </c>
      <c r="M568" s="117" t="s">
        <v>270</v>
      </c>
      <c r="N568" s="117" t="s">
        <v>271</v>
      </c>
      <c r="O568" s="117" t="s">
        <v>52</v>
      </c>
      <c r="P568" s="117" t="s">
        <v>40</v>
      </c>
      <c r="Q568" s="139">
        <v>20009592</v>
      </c>
      <c r="R568" s="117" t="s">
        <v>78</v>
      </c>
      <c r="S568" s="117" t="s">
        <v>109</v>
      </c>
      <c r="T568" s="117" t="s">
        <v>109</v>
      </c>
      <c r="U568" s="117" t="s">
        <v>128</v>
      </c>
      <c r="V568" s="12">
        <f>+IFERROR(IF(VLOOKUP(Q568,COMISIONES!$C$2:$K$33,9,0)&gt;=VLOOKUP(TC!Q568,COMISIONES!$C$2:$I$33,7,0),1,0),0)</f>
        <v>1</v>
      </c>
      <c r="W568" s="262">
        <f>+IF(H568="Segunda",VLOOKUP(_xlfn.CONCAT(P568,G568,H568,V568),'PUNTOS 2021'!$E$23:$F$30,2,0),TC!L568)</f>
        <v>5</v>
      </c>
      <c r="X568" s="67">
        <f>+VLOOKUP(Q568,COMISIONES!$C$2:$AO$33,39,0)</f>
        <v>60</v>
      </c>
      <c r="Y568" s="67">
        <f t="shared" si="9"/>
        <v>300</v>
      </c>
      <c r="Z568" s="58" t="s">
        <v>80</v>
      </c>
      <c r="AA568" s="13">
        <f>+VLOOKUP(Q568,COMISIONES!$C$2:$C$33,1,0)</f>
        <v>20009592</v>
      </c>
      <c r="AB568" s="13" t="s">
        <v>269</v>
      </c>
    </row>
    <row r="569" spans="1:28" hidden="1">
      <c r="A569" s="117" t="s">
        <v>821</v>
      </c>
      <c r="B569" s="138">
        <v>45164</v>
      </c>
      <c r="C569" s="117" t="s">
        <v>2527</v>
      </c>
      <c r="D569" s="117" t="s">
        <v>2528</v>
      </c>
      <c r="E569" s="117" t="s">
        <v>2529</v>
      </c>
      <c r="F569" s="117"/>
      <c r="G569" s="117" t="s">
        <v>43</v>
      </c>
      <c r="H569" s="117" t="s">
        <v>1</v>
      </c>
      <c r="I569"/>
      <c r="J569"/>
      <c r="K569" s="117" t="s">
        <v>105</v>
      </c>
      <c r="L569">
        <v>3</v>
      </c>
      <c r="M569" s="117" t="s">
        <v>255</v>
      </c>
      <c r="N569" s="117" t="s">
        <v>4</v>
      </c>
      <c r="O569" s="117" t="s">
        <v>51</v>
      </c>
      <c r="P569" s="117" t="s">
        <v>40</v>
      </c>
      <c r="Q569" s="139">
        <v>20000033</v>
      </c>
      <c r="R569" s="117" t="s">
        <v>78</v>
      </c>
      <c r="S569" s="117" t="s">
        <v>109</v>
      </c>
      <c r="T569" s="117" t="s">
        <v>109</v>
      </c>
      <c r="U569" s="117" t="s">
        <v>128</v>
      </c>
      <c r="V569" s="12">
        <f>+IFERROR(IF(VLOOKUP(Q569,COMISIONES!$C$2:$K$33,9,0)&gt;=VLOOKUP(TC!Q569,COMISIONES!$C$2:$I$33,7,0),1,0),0)</f>
        <v>1</v>
      </c>
      <c r="W569" s="262">
        <f>+IF(H569="Segunda",VLOOKUP(_xlfn.CONCAT(P569,G569,H569,V569),'PUNTOS 2021'!$E$23:$F$30,2,0),TC!L569)</f>
        <v>3</v>
      </c>
      <c r="X569" s="67">
        <f>+VLOOKUP(Q569,COMISIONES!$C$2:$AO$33,39,0)</f>
        <v>60</v>
      </c>
      <c r="Y569" s="67">
        <f t="shared" si="9"/>
        <v>180</v>
      </c>
      <c r="Z569" s="58" t="s">
        <v>80</v>
      </c>
      <c r="AA569" s="13">
        <f>+VLOOKUP(Q569,COMISIONES!$C$2:$C$33,1,0)</f>
        <v>20000033</v>
      </c>
      <c r="AB569" s="13" t="s">
        <v>269</v>
      </c>
    </row>
    <row r="570" spans="1:28" hidden="1">
      <c r="A570" s="117" t="s">
        <v>821</v>
      </c>
      <c r="B570" s="138">
        <v>45164</v>
      </c>
      <c r="C570" s="117" t="s">
        <v>2530</v>
      </c>
      <c r="D570" s="117" t="s">
        <v>2531</v>
      </c>
      <c r="E570" s="117" t="s">
        <v>2532</v>
      </c>
      <c r="F570" s="117"/>
      <c r="G570" s="117" t="s">
        <v>45</v>
      </c>
      <c r="H570" s="117" t="s">
        <v>1</v>
      </c>
      <c r="I570"/>
      <c r="J570"/>
      <c r="K570" s="117" t="s">
        <v>105</v>
      </c>
      <c r="L570">
        <v>7</v>
      </c>
      <c r="M570" s="117" t="s">
        <v>272</v>
      </c>
      <c r="N570" s="117" t="s">
        <v>275</v>
      </c>
      <c r="O570" s="117" t="s">
        <v>52</v>
      </c>
      <c r="P570" s="117" t="s">
        <v>40</v>
      </c>
      <c r="Q570" s="139">
        <v>20009688</v>
      </c>
      <c r="R570" s="117" t="s">
        <v>78</v>
      </c>
      <c r="S570" s="117" t="s">
        <v>109</v>
      </c>
      <c r="T570" s="117" t="s">
        <v>109</v>
      </c>
      <c r="U570" s="117" t="s">
        <v>128</v>
      </c>
      <c r="V570" s="12">
        <f>+IFERROR(IF(VLOOKUP(Q570,COMISIONES!$C$2:$K$33,9,0)&gt;=VLOOKUP(TC!Q570,COMISIONES!$C$2:$I$33,7,0),1,0),0)</f>
        <v>0</v>
      </c>
      <c r="W570" s="262">
        <f>+IF(H570="Segunda",VLOOKUP(_xlfn.CONCAT(P570,G570,H570,V570),'PUNTOS 2021'!$E$23:$F$30,2,0),TC!L570)</f>
        <v>7</v>
      </c>
      <c r="X570" s="67">
        <f>+VLOOKUP(Q570,COMISIONES!$C$2:$AO$33,39,0)</f>
        <v>30</v>
      </c>
      <c r="Y570" s="67">
        <f t="shared" si="9"/>
        <v>210</v>
      </c>
      <c r="Z570" s="58" t="s">
        <v>80</v>
      </c>
      <c r="AA570" s="13">
        <f>+VLOOKUP(Q570,COMISIONES!$C$2:$C$33,1,0)</f>
        <v>20009688</v>
      </c>
      <c r="AB570" s="13" t="s">
        <v>269</v>
      </c>
    </row>
    <row r="571" spans="1:28" hidden="1">
      <c r="A571" s="117" t="s">
        <v>821</v>
      </c>
      <c r="B571" s="138">
        <v>45164</v>
      </c>
      <c r="C571" s="117" t="s">
        <v>2533</v>
      </c>
      <c r="D571" s="117" t="s">
        <v>2534</v>
      </c>
      <c r="E571" s="117" t="s">
        <v>2535</v>
      </c>
      <c r="F571" s="117"/>
      <c r="G571" s="117" t="s">
        <v>44</v>
      </c>
      <c r="H571" s="117" t="s">
        <v>1</v>
      </c>
      <c r="I571"/>
      <c r="J571"/>
      <c r="K571" s="117" t="s">
        <v>105</v>
      </c>
      <c r="L571">
        <v>5</v>
      </c>
      <c r="M571" s="117" t="s">
        <v>115</v>
      </c>
      <c r="N571" s="117" t="s">
        <v>6</v>
      </c>
      <c r="O571" s="117" t="s">
        <v>51</v>
      </c>
      <c r="P571" s="117" t="s">
        <v>40</v>
      </c>
      <c r="Q571" s="139">
        <v>20001487</v>
      </c>
      <c r="R571" s="117" t="s">
        <v>78</v>
      </c>
      <c r="S571" s="117" t="s">
        <v>109</v>
      </c>
      <c r="T571" s="117" t="s">
        <v>109</v>
      </c>
      <c r="U571" s="117" t="s">
        <v>128</v>
      </c>
      <c r="V571" s="12">
        <f>+IFERROR(IF(VLOOKUP(Q571,COMISIONES!$C$2:$K$33,9,0)&gt;=VLOOKUP(TC!Q571,COMISIONES!$C$2:$I$33,7,0),1,0),0)</f>
        <v>1</v>
      </c>
      <c r="W571" s="262">
        <f>+IF(H571="Segunda",VLOOKUP(_xlfn.CONCAT(P571,G571,H571,V571),'PUNTOS 2021'!$E$23:$F$30,2,0),TC!L571)</f>
        <v>5</v>
      </c>
      <c r="X571" s="67">
        <f>+VLOOKUP(Q571,COMISIONES!$C$2:$AO$33,39,0)</f>
        <v>65</v>
      </c>
      <c r="Y571" s="67">
        <f t="shared" si="9"/>
        <v>325</v>
      </c>
      <c r="Z571" s="58" t="s">
        <v>80</v>
      </c>
      <c r="AA571" s="13">
        <f>+VLOOKUP(Q571,COMISIONES!$C$2:$C$33,1,0)</f>
        <v>20001487</v>
      </c>
      <c r="AB571" s="13" t="s">
        <v>269</v>
      </c>
    </row>
    <row r="572" spans="1:28" hidden="1">
      <c r="A572" s="117" t="s">
        <v>821</v>
      </c>
      <c r="B572" s="138">
        <v>45164</v>
      </c>
      <c r="C572" s="117" t="s">
        <v>2536</v>
      </c>
      <c r="D572" s="117" t="s">
        <v>2537</v>
      </c>
      <c r="E572" s="117" t="s">
        <v>2538</v>
      </c>
      <c r="F572" s="117"/>
      <c r="G572" s="117" t="s">
        <v>44</v>
      </c>
      <c r="H572" s="117" t="s">
        <v>1</v>
      </c>
      <c r="I572"/>
      <c r="J572"/>
      <c r="K572" s="117" t="s">
        <v>105</v>
      </c>
      <c r="L572">
        <v>5</v>
      </c>
      <c r="M572" s="117" t="s">
        <v>124</v>
      </c>
      <c r="N572" s="117" t="s">
        <v>17</v>
      </c>
      <c r="O572" s="117" t="s">
        <v>52</v>
      </c>
      <c r="P572" s="117" t="s">
        <v>40</v>
      </c>
      <c r="Q572" s="139">
        <v>20006233</v>
      </c>
      <c r="R572" s="117" t="s">
        <v>78</v>
      </c>
      <c r="S572" s="117" t="s">
        <v>109</v>
      </c>
      <c r="T572" s="117" t="s">
        <v>109</v>
      </c>
      <c r="U572" s="117" t="s">
        <v>128</v>
      </c>
      <c r="V572" s="12">
        <f>+IFERROR(IF(VLOOKUP(Q572,COMISIONES!$C$2:$K$33,9,0)&gt;=VLOOKUP(TC!Q572,COMISIONES!$C$2:$I$33,7,0),1,0),0)</f>
        <v>0</v>
      </c>
      <c r="W572" s="262">
        <f>+IF(H572="Segunda",VLOOKUP(_xlfn.CONCAT(P572,G572,H572,V572),'PUNTOS 2021'!$E$23:$F$30,2,0),TC!L572)</f>
        <v>5</v>
      </c>
      <c r="X572" s="67">
        <f>+VLOOKUP(Q572,COMISIONES!$C$2:$AO$33,39,0)</f>
        <v>40</v>
      </c>
      <c r="Y572" s="67">
        <f t="shared" si="9"/>
        <v>200</v>
      </c>
      <c r="Z572" s="58" t="s">
        <v>80</v>
      </c>
      <c r="AA572" s="13">
        <f>+VLOOKUP(Q572,COMISIONES!$C$2:$C$33,1,0)</f>
        <v>20006233</v>
      </c>
      <c r="AB572" s="13" t="s">
        <v>269</v>
      </c>
    </row>
    <row r="573" spans="1:28" hidden="1">
      <c r="A573" s="117" t="s">
        <v>821</v>
      </c>
      <c r="B573" s="138">
        <v>45164</v>
      </c>
      <c r="C573" s="117" t="s">
        <v>2539</v>
      </c>
      <c r="D573" s="117" t="s">
        <v>2540</v>
      </c>
      <c r="E573" s="117" t="s">
        <v>2541</v>
      </c>
      <c r="F573" s="117"/>
      <c r="G573" s="117" t="s">
        <v>43</v>
      </c>
      <c r="H573" s="117" t="s">
        <v>1</v>
      </c>
      <c r="I573"/>
      <c r="J573"/>
      <c r="K573" s="117" t="s">
        <v>105</v>
      </c>
      <c r="L573">
        <v>3</v>
      </c>
      <c r="M573" s="117" t="s">
        <v>258</v>
      </c>
      <c r="N573" s="117" t="s">
        <v>237</v>
      </c>
      <c r="O573" s="117" t="s">
        <v>51</v>
      </c>
      <c r="P573" s="117" t="s">
        <v>40</v>
      </c>
      <c r="Q573" s="139">
        <v>20006893</v>
      </c>
      <c r="R573" s="117" t="s">
        <v>78</v>
      </c>
      <c r="S573" s="117" t="s">
        <v>109</v>
      </c>
      <c r="T573" s="117" t="s">
        <v>109</v>
      </c>
      <c r="U573" s="117" t="s">
        <v>128</v>
      </c>
      <c r="V573" s="12">
        <f>+IFERROR(IF(VLOOKUP(Q573,COMISIONES!$C$2:$K$33,9,0)&gt;=VLOOKUP(TC!Q573,COMISIONES!$C$2:$I$33,7,0),1,0),0)</f>
        <v>0</v>
      </c>
      <c r="W573" s="262">
        <f>+IF(H573="Segunda",VLOOKUP(_xlfn.CONCAT(P573,G573,H573,V573),'PUNTOS 2021'!$E$23:$F$30,2,0),TC!L573)</f>
        <v>3</v>
      </c>
      <c r="X573" s="67">
        <f>+VLOOKUP(Q573,COMISIONES!$C$2:$AO$33,39,0)</f>
        <v>40</v>
      </c>
      <c r="Y573" s="67">
        <f t="shared" si="9"/>
        <v>120</v>
      </c>
      <c r="Z573" s="58" t="s">
        <v>80</v>
      </c>
      <c r="AA573" s="13">
        <f>+VLOOKUP(Q573,COMISIONES!$C$2:$C$33,1,0)</f>
        <v>20006893</v>
      </c>
      <c r="AB573" s="13" t="s">
        <v>269</v>
      </c>
    </row>
    <row r="574" spans="1:28" hidden="1">
      <c r="A574" s="117" t="s">
        <v>821</v>
      </c>
      <c r="B574" s="138">
        <v>45164</v>
      </c>
      <c r="C574" s="117" t="s">
        <v>2542</v>
      </c>
      <c r="D574" s="117" t="s">
        <v>2543</v>
      </c>
      <c r="E574" s="117" t="s">
        <v>2544</v>
      </c>
      <c r="F574" s="117"/>
      <c r="G574" s="117" t="s">
        <v>44</v>
      </c>
      <c r="H574" s="117" t="s">
        <v>1</v>
      </c>
      <c r="I574"/>
      <c r="J574"/>
      <c r="K574" s="117" t="s">
        <v>105</v>
      </c>
      <c r="L574">
        <v>5</v>
      </c>
      <c r="M574" s="117" t="s">
        <v>112</v>
      </c>
      <c r="N574" s="117" t="s">
        <v>9</v>
      </c>
      <c r="O574" s="117" t="s">
        <v>51</v>
      </c>
      <c r="P574" s="117" t="s">
        <v>40</v>
      </c>
      <c r="Q574" s="139">
        <v>20004638</v>
      </c>
      <c r="R574" s="117" t="s">
        <v>78</v>
      </c>
      <c r="S574" s="117" t="s">
        <v>109</v>
      </c>
      <c r="T574" s="117" t="s">
        <v>109</v>
      </c>
      <c r="U574" s="117" t="s">
        <v>128</v>
      </c>
      <c r="V574" s="12">
        <f>+IFERROR(IF(VLOOKUP(Q574,COMISIONES!$C$2:$K$33,9,0)&gt;=VLOOKUP(TC!Q574,COMISIONES!$C$2:$I$33,7,0),1,0),0)</f>
        <v>0</v>
      </c>
      <c r="W574" s="262">
        <f>+IF(H574="Segunda",VLOOKUP(_xlfn.CONCAT(P574,G574,H574,V574),'PUNTOS 2021'!$E$23:$F$30,2,0),TC!L574)</f>
        <v>5</v>
      </c>
      <c r="X574" s="67">
        <f>+VLOOKUP(Q574,COMISIONES!$C$2:$AO$33,39,0)</f>
        <v>60</v>
      </c>
      <c r="Y574" s="67">
        <f t="shared" si="9"/>
        <v>300</v>
      </c>
      <c r="Z574" s="58" t="s">
        <v>80</v>
      </c>
      <c r="AA574" s="13">
        <f>+VLOOKUP(Q574,COMISIONES!$C$2:$C$33,1,0)</f>
        <v>20004638</v>
      </c>
      <c r="AB574" s="13" t="s">
        <v>269</v>
      </c>
    </row>
    <row r="575" spans="1:28">
      <c r="A575" s="117" t="s">
        <v>821</v>
      </c>
      <c r="B575" s="138">
        <v>45164</v>
      </c>
      <c r="C575" s="117" t="s">
        <v>2545</v>
      </c>
      <c r="D575" s="117" t="s">
        <v>2546</v>
      </c>
      <c r="E575" s="117" t="s">
        <v>2547</v>
      </c>
      <c r="F575" s="117"/>
      <c r="G575" s="117" t="s">
        <v>45</v>
      </c>
      <c r="H575" s="117" t="s">
        <v>2</v>
      </c>
      <c r="I575"/>
      <c r="J575"/>
      <c r="K575" s="117" t="s">
        <v>105</v>
      </c>
      <c r="L575">
        <v>2</v>
      </c>
      <c r="M575" s="117" t="s">
        <v>257</v>
      </c>
      <c r="N575" s="117" t="s">
        <v>15</v>
      </c>
      <c r="O575" s="117" t="s">
        <v>52</v>
      </c>
      <c r="P575" s="117" t="s">
        <v>40</v>
      </c>
      <c r="Q575" s="139">
        <v>20005527</v>
      </c>
      <c r="R575" s="117" t="s">
        <v>78</v>
      </c>
      <c r="S575" s="117" t="s">
        <v>109</v>
      </c>
      <c r="T575" s="117" t="s">
        <v>109</v>
      </c>
      <c r="U575" s="117" t="s">
        <v>128</v>
      </c>
      <c r="V575" s="12">
        <f>+IFERROR(IF(VLOOKUP(Q575,COMISIONES!$C$2:$K$33,9,0)&gt;=VLOOKUP(TC!Q575,COMISIONES!$C$2:$I$33,7,0),1,0),0)</f>
        <v>0</v>
      </c>
      <c r="W575" s="262">
        <f>+IF(H575="Segunda",VLOOKUP(_xlfn.CONCAT(P575,G575,H575,V575),'PUNTOS 2021'!$E$23:$F$30,2,0),TC!L575)</f>
        <v>0.5</v>
      </c>
      <c r="X575" s="67">
        <f>+VLOOKUP(Q575,COMISIONES!$C$2:$AO$33,39,0)</f>
        <v>40</v>
      </c>
      <c r="Y575" s="67">
        <f t="shared" si="9"/>
        <v>20</v>
      </c>
      <c r="Z575" s="58" t="s">
        <v>80</v>
      </c>
      <c r="AA575" s="13">
        <f>+VLOOKUP(Q575,COMISIONES!$C$2:$C$33,1,0)</f>
        <v>20005527</v>
      </c>
      <c r="AB575" s="13" t="s">
        <v>269</v>
      </c>
    </row>
    <row r="576" spans="1:28" hidden="1">
      <c r="A576" s="117" t="s">
        <v>821</v>
      </c>
      <c r="B576" s="138">
        <v>45164</v>
      </c>
      <c r="C576" s="117" t="s">
        <v>2548</v>
      </c>
      <c r="D576" s="117" t="s">
        <v>2549</v>
      </c>
      <c r="E576" s="117" t="s">
        <v>2550</v>
      </c>
      <c r="F576" s="117"/>
      <c r="G576" s="117" t="s">
        <v>44</v>
      </c>
      <c r="H576" s="117" t="s">
        <v>1</v>
      </c>
      <c r="I576"/>
      <c r="J576"/>
      <c r="K576" s="117" t="s">
        <v>105</v>
      </c>
      <c r="L576">
        <v>5</v>
      </c>
      <c r="M576" s="117" t="s">
        <v>116</v>
      </c>
      <c r="N576" s="117" t="s">
        <v>13</v>
      </c>
      <c r="O576" s="117" t="s">
        <v>50</v>
      </c>
      <c r="P576" s="117" t="s">
        <v>40</v>
      </c>
      <c r="Q576" s="139">
        <v>20007020</v>
      </c>
      <c r="R576" s="117" t="s">
        <v>78</v>
      </c>
      <c r="S576" s="117" t="s">
        <v>109</v>
      </c>
      <c r="T576" s="117" t="s">
        <v>109</v>
      </c>
      <c r="U576" s="117" t="s">
        <v>128</v>
      </c>
      <c r="V576" s="12">
        <f>+IFERROR(IF(VLOOKUP(Q576,COMISIONES!$C$2:$K$33,9,0)&gt;=VLOOKUP(TC!Q576,COMISIONES!$C$2:$I$33,7,0),1,0),0)</f>
        <v>0</v>
      </c>
      <c r="W576" s="262">
        <f>+IF(H576="Segunda",VLOOKUP(_xlfn.CONCAT(P576,G576,H576,V576),'PUNTOS 2021'!$E$23:$F$30,2,0),TC!L576)</f>
        <v>5</v>
      </c>
      <c r="X576" s="67">
        <f>+VLOOKUP(Q576,COMISIONES!$C$2:$AO$33,39,0)</f>
        <v>40</v>
      </c>
      <c r="Y576" s="67">
        <f t="shared" si="9"/>
        <v>200</v>
      </c>
      <c r="Z576" s="58" t="s">
        <v>80</v>
      </c>
      <c r="AA576" s="13">
        <f>+VLOOKUP(Q576,COMISIONES!$C$2:$C$33,1,0)</f>
        <v>20007020</v>
      </c>
      <c r="AB576" s="13" t="s">
        <v>269</v>
      </c>
    </row>
    <row r="577" spans="1:28" hidden="1">
      <c r="A577" s="117" t="s">
        <v>821</v>
      </c>
      <c r="B577" s="138">
        <v>45164</v>
      </c>
      <c r="C577" s="117" t="s">
        <v>2551</v>
      </c>
      <c r="D577" s="117" t="s">
        <v>2552</v>
      </c>
      <c r="E577" s="117" t="s">
        <v>2553</v>
      </c>
      <c r="F577" s="117"/>
      <c r="G577" s="117" t="s">
        <v>43</v>
      </c>
      <c r="H577" s="117" t="s">
        <v>1</v>
      </c>
      <c r="I577"/>
      <c r="J577"/>
      <c r="K577" s="117" t="s">
        <v>105</v>
      </c>
      <c r="L577">
        <v>3</v>
      </c>
      <c r="M577" s="117" t="s">
        <v>1946</v>
      </c>
      <c r="N577" s="117" t="s">
        <v>1947</v>
      </c>
      <c r="O577" s="117" t="s">
        <v>51</v>
      </c>
      <c r="P577" s="117" t="s">
        <v>40</v>
      </c>
      <c r="Q577" s="139">
        <v>20010766</v>
      </c>
      <c r="R577" s="117" t="s">
        <v>78</v>
      </c>
      <c r="S577" s="117" t="s">
        <v>109</v>
      </c>
      <c r="T577" s="117" t="s">
        <v>109</v>
      </c>
      <c r="U577" s="117" t="s">
        <v>128</v>
      </c>
      <c r="V577" s="12">
        <f>+IFERROR(IF(VLOOKUP(Q577,COMISIONES!$C$2:$K$33,9,0)&gt;=VLOOKUP(TC!Q577,COMISIONES!$C$2:$I$33,7,0),1,0),0)</f>
        <v>0</v>
      </c>
      <c r="W577" s="262">
        <f>+IF(H577="Segunda",VLOOKUP(_xlfn.CONCAT(P577,G577,H577,V577),'PUNTOS 2021'!$E$23:$F$30,2,0),TC!L577)</f>
        <v>3</v>
      </c>
      <c r="X577" s="67">
        <f>+VLOOKUP(Q577,COMISIONES!$C$2:$AO$33,39,0)</f>
        <v>20</v>
      </c>
      <c r="Y577" s="67">
        <f t="shared" si="9"/>
        <v>60</v>
      </c>
      <c r="Z577" s="58" t="s">
        <v>80</v>
      </c>
      <c r="AA577" s="13">
        <f>+VLOOKUP(Q577,COMISIONES!$C$2:$C$33,1,0)</f>
        <v>20010766</v>
      </c>
      <c r="AB577" s="13" t="s">
        <v>269</v>
      </c>
    </row>
    <row r="578" spans="1:28" hidden="1">
      <c r="A578" s="117" t="s">
        <v>821</v>
      </c>
      <c r="B578" s="138">
        <v>45164</v>
      </c>
      <c r="C578" s="117" t="s">
        <v>2554</v>
      </c>
      <c r="D578" s="117" t="s">
        <v>2555</v>
      </c>
      <c r="E578" s="117" t="s">
        <v>2556</v>
      </c>
      <c r="F578" s="117"/>
      <c r="G578" s="117" t="s">
        <v>43</v>
      </c>
      <c r="H578" s="117" t="s">
        <v>1</v>
      </c>
      <c r="I578"/>
      <c r="J578"/>
      <c r="K578" s="117" t="s">
        <v>105</v>
      </c>
      <c r="L578">
        <v>3</v>
      </c>
      <c r="M578" s="117" t="s">
        <v>121</v>
      </c>
      <c r="N578" s="117" t="s">
        <v>3</v>
      </c>
      <c r="O578" s="117" t="s">
        <v>49</v>
      </c>
      <c r="P578" s="117" t="s">
        <v>40</v>
      </c>
      <c r="Q578" s="139">
        <v>20004161</v>
      </c>
      <c r="R578" s="117" t="s">
        <v>78</v>
      </c>
      <c r="S578" s="117" t="s">
        <v>109</v>
      </c>
      <c r="T578" s="117" t="s">
        <v>109</v>
      </c>
      <c r="U578" s="117" t="s">
        <v>128</v>
      </c>
      <c r="V578" s="12">
        <f>+IFERROR(IF(VLOOKUP(Q578,COMISIONES!$C$2:$K$33,9,0)&gt;=VLOOKUP(TC!Q578,COMISIONES!$C$2:$I$33,7,0),1,0),0)</f>
        <v>1</v>
      </c>
      <c r="W578" s="262">
        <f>+IF(H578="Segunda",VLOOKUP(_xlfn.CONCAT(P578,G578,H578,V578),'PUNTOS 2021'!$E$23:$F$30,2,0),TC!L578)</f>
        <v>3</v>
      </c>
      <c r="X578" s="67">
        <f>+VLOOKUP(Q578,COMISIONES!$C$2:$AO$33,39,0)</f>
        <v>65</v>
      </c>
      <c r="Y578" s="67">
        <f t="shared" si="9"/>
        <v>195</v>
      </c>
      <c r="Z578" s="58" t="s">
        <v>80</v>
      </c>
      <c r="AA578" s="13">
        <f>+VLOOKUP(Q578,COMISIONES!$C$2:$C$33,1,0)</f>
        <v>20004161</v>
      </c>
      <c r="AB578" s="13" t="s">
        <v>269</v>
      </c>
    </row>
    <row r="579" spans="1:28" hidden="1">
      <c r="A579" s="117" t="s">
        <v>821</v>
      </c>
      <c r="B579" s="138">
        <v>45164</v>
      </c>
      <c r="C579" s="117" t="s">
        <v>2557</v>
      </c>
      <c r="D579" s="117" t="s">
        <v>2558</v>
      </c>
      <c r="E579" s="117" t="s">
        <v>2559</v>
      </c>
      <c r="F579" s="117"/>
      <c r="G579" s="117" t="s">
        <v>44</v>
      </c>
      <c r="H579" s="117" t="s">
        <v>1</v>
      </c>
      <c r="I579"/>
      <c r="J579"/>
      <c r="K579" s="117" t="s">
        <v>105</v>
      </c>
      <c r="L579">
        <v>5</v>
      </c>
      <c r="M579" s="117" t="s">
        <v>119</v>
      </c>
      <c r="N579" s="117" t="s">
        <v>22</v>
      </c>
      <c r="O579" s="117" t="s">
        <v>52</v>
      </c>
      <c r="P579" s="117" t="s">
        <v>40</v>
      </c>
      <c r="Q579" s="139">
        <v>20009174</v>
      </c>
      <c r="R579" s="117" t="s">
        <v>78</v>
      </c>
      <c r="S579" s="117" t="s">
        <v>109</v>
      </c>
      <c r="T579" s="117" t="s">
        <v>109</v>
      </c>
      <c r="U579" s="117" t="s">
        <v>128</v>
      </c>
      <c r="V579" s="12">
        <f>+IFERROR(IF(VLOOKUP(Q579,COMISIONES!$C$2:$K$33,9,0)&gt;=VLOOKUP(TC!Q579,COMISIONES!$C$2:$I$33,7,0),1,0),0)</f>
        <v>0</v>
      </c>
      <c r="W579" s="262">
        <f>+IF(H579="Segunda",VLOOKUP(_xlfn.CONCAT(P579,G579,H579,V579),'PUNTOS 2021'!$E$23:$F$30,2,0),TC!L579)</f>
        <v>5</v>
      </c>
      <c r="X579" s="67">
        <v>0</v>
      </c>
      <c r="Y579" s="67">
        <f t="shared" si="9"/>
        <v>0</v>
      </c>
      <c r="Z579" s="58" t="s">
        <v>80</v>
      </c>
      <c r="AB579" s="13" t="s">
        <v>269</v>
      </c>
    </row>
    <row r="580" spans="1:28" hidden="1">
      <c r="A580" s="117" t="s">
        <v>821</v>
      </c>
      <c r="B580" s="138">
        <v>45164</v>
      </c>
      <c r="C580" s="117" t="s">
        <v>2560</v>
      </c>
      <c r="D580" s="117" t="s">
        <v>2561</v>
      </c>
      <c r="E580" s="117" t="s">
        <v>2562</v>
      </c>
      <c r="F580" s="117"/>
      <c r="G580" s="117" t="s">
        <v>44</v>
      </c>
      <c r="H580" s="117" t="s">
        <v>1</v>
      </c>
      <c r="I580"/>
      <c r="J580"/>
      <c r="K580" s="117" t="s">
        <v>105</v>
      </c>
      <c r="L580">
        <v>5</v>
      </c>
      <c r="M580" s="117" t="s">
        <v>257</v>
      </c>
      <c r="N580" s="117" t="s">
        <v>15</v>
      </c>
      <c r="O580" s="117" t="s">
        <v>52</v>
      </c>
      <c r="P580" s="117" t="s">
        <v>40</v>
      </c>
      <c r="Q580" s="139">
        <v>20005527</v>
      </c>
      <c r="R580" s="117" t="s">
        <v>78</v>
      </c>
      <c r="S580" s="117" t="s">
        <v>109</v>
      </c>
      <c r="T580" s="117" t="s">
        <v>109</v>
      </c>
      <c r="U580" s="117" t="s">
        <v>128</v>
      </c>
      <c r="V580" s="12">
        <f>+IFERROR(IF(VLOOKUP(Q580,COMISIONES!$C$2:$K$33,9,0)&gt;=VLOOKUP(TC!Q580,COMISIONES!$C$2:$I$33,7,0),1,0),0)</f>
        <v>0</v>
      </c>
      <c r="W580" s="262">
        <f>+IF(H580="Segunda",VLOOKUP(_xlfn.CONCAT(P580,G580,H580,V580),'PUNTOS 2021'!$E$23:$F$30,2,0),TC!L580)</f>
        <v>5</v>
      </c>
      <c r="X580" s="67">
        <f>+VLOOKUP(Q580,COMISIONES!$C$2:$AO$33,39,0)</f>
        <v>40</v>
      </c>
      <c r="Y580" s="67">
        <f t="shared" si="9"/>
        <v>200</v>
      </c>
      <c r="Z580" s="58" t="s">
        <v>80</v>
      </c>
      <c r="AA580" s="13">
        <f>+VLOOKUP(Q580,COMISIONES!$C$2:$C$33,1,0)</f>
        <v>20005527</v>
      </c>
      <c r="AB580" s="13" t="s">
        <v>269</v>
      </c>
    </row>
    <row r="581" spans="1:28" hidden="1">
      <c r="A581" s="117" t="s">
        <v>821</v>
      </c>
      <c r="B581" s="138">
        <v>45164</v>
      </c>
      <c r="C581" s="117" t="s">
        <v>2563</v>
      </c>
      <c r="D581" s="117" t="s">
        <v>2564</v>
      </c>
      <c r="E581" s="117" t="s">
        <v>2565</v>
      </c>
      <c r="F581" s="117"/>
      <c r="G581" s="117" t="s">
        <v>45</v>
      </c>
      <c r="H581" s="117" t="s">
        <v>1</v>
      </c>
      <c r="I581"/>
      <c r="J581"/>
      <c r="K581" s="117" t="s">
        <v>105</v>
      </c>
      <c r="L581">
        <v>7</v>
      </c>
      <c r="M581" s="117" t="s">
        <v>122</v>
      </c>
      <c r="N581" s="117" t="s">
        <v>5</v>
      </c>
      <c r="O581" s="117" t="s">
        <v>50</v>
      </c>
      <c r="P581" s="117" t="s">
        <v>40</v>
      </c>
      <c r="Q581" s="139">
        <v>20004566</v>
      </c>
      <c r="R581" s="117" t="s">
        <v>78</v>
      </c>
      <c r="S581" s="117" t="s">
        <v>109</v>
      </c>
      <c r="T581" s="117" t="s">
        <v>109</v>
      </c>
      <c r="U581" s="117" t="s">
        <v>128</v>
      </c>
      <c r="V581" s="12">
        <f>+IFERROR(IF(VLOOKUP(Q581,COMISIONES!$C$2:$K$33,9,0)&gt;=VLOOKUP(TC!Q581,COMISIONES!$C$2:$I$33,7,0),1,0),0)</f>
        <v>1</v>
      </c>
      <c r="W581" s="262">
        <f>+IF(H581="Segunda",VLOOKUP(_xlfn.CONCAT(P581,G581,H581,V581),'PUNTOS 2021'!$E$23:$F$30,2,0),TC!L581)</f>
        <v>7</v>
      </c>
      <c r="X581" s="67">
        <f>+VLOOKUP(Q581,COMISIONES!$C$2:$AO$33,39,0)</f>
        <v>60</v>
      </c>
      <c r="Y581" s="67">
        <f t="shared" si="9"/>
        <v>420</v>
      </c>
      <c r="Z581" s="58" t="s">
        <v>80</v>
      </c>
      <c r="AA581" s="13">
        <f>+VLOOKUP(Q581,COMISIONES!$C$2:$C$33,1,0)</f>
        <v>20004566</v>
      </c>
      <c r="AB581" s="13" t="s">
        <v>269</v>
      </c>
    </row>
    <row r="582" spans="1:28">
      <c r="A582" s="117" t="s">
        <v>821</v>
      </c>
      <c r="B582" s="138">
        <v>45164</v>
      </c>
      <c r="C582" s="117" t="s">
        <v>2566</v>
      </c>
      <c r="D582" s="117" t="s">
        <v>2567</v>
      </c>
      <c r="E582" s="117" t="s">
        <v>2568</v>
      </c>
      <c r="F582" s="117"/>
      <c r="G582" s="117" t="s">
        <v>43</v>
      </c>
      <c r="H582" s="117" t="s">
        <v>2</v>
      </c>
      <c r="I582"/>
      <c r="J582"/>
      <c r="K582" s="117" t="s">
        <v>105</v>
      </c>
      <c r="L582">
        <v>1</v>
      </c>
      <c r="M582" s="117" t="s">
        <v>257</v>
      </c>
      <c r="N582" s="117" t="s">
        <v>15</v>
      </c>
      <c r="O582" s="117" t="s">
        <v>52</v>
      </c>
      <c r="P582" s="117" t="s">
        <v>40</v>
      </c>
      <c r="Q582" s="139">
        <v>20005527</v>
      </c>
      <c r="R582" s="117" t="s">
        <v>78</v>
      </c>
      <c r="S582" s="117" t="s">
        <v>109</v>
      </c>
      <c r="T582" s="117" t="s">
        <v>109</v>
      </c>
      <c r="U582" s="117" t="s">
        <v>128</v>
      </c>
      <c r="V582" s="12">
        <f>+IFERROR(IF(VLOOKUP(Q582,COMISIONES!$C$2:$K$33,9,0)&gt;=VLOOKUP(TC!Q582,COMISIONES!$C$2:$I$33,7,0),1,0),0)</f>
        <v>0</v>
      </c>
      <c r="W582" s="262">
        <f>+IF(H582="Segunda",VLOOKUP(_xlfn.CONCAT(P582,G582,H582,V582),'PUNTOS 2021'!$E$23:$F$30,2,0),TC!L582)</f>
        <v>0.5</v>
      </c>
      <c r="X582" s="67">
        <f>+VLOOKUP(Q582,COMISIONES!$C$2:$AO$33,39,0)</f>
        <v>40</v>
      </c>
      <c r="Y582" s="67">
        <f t="shared" si="9"/>
        <v>20</v>
      </c>
      <c r="Z582" s="58" t="s">
        <v>80</v>
      </c>
      <c r="AA582" s="13">
        <f>+VLOOKUP(Q582,COMISIONES!$C$2:$C$33,1,0)</f>
        <v>20005527</v>
      </c>
      <c r="AB582" s="13" t="s">
        <v>269</v>
      </c>
    </row>
    <row r="583" spans="1:28">
      <c r="A583" s="117" t="s">
        <v>821</v>
      </c>
      <c r="B583" s="138">
        <v>45164</v>
      </c>
      <c r="C583" s="117" t="s">
        <v>2569</v>
      </c>
      <c r="D583" s="117" t="s">
        <v>2570</v>
      </c>
      <c r="E583" s="117" t="s">
        <v>2571</v>
      </c>
      <c r="F583" s="117"/>
      <c r="G583" s="117" t="s">
        <v>45</v>
      </c>
      <c r="H583" s="117" t="s">
        <v>2</v>
      </c>
      <c r="I583"/>
      <c r="J583"/>
      <c r="K583" s="117" t="s">
        <v>105</v>
      </c>
      <c r="L583">
        <v>2</v>
      </c>
      <c r="M583" s="117" t="s">
        <v>113</v>
      </c>
      <c r="N583" s="117" t="s">
        <v>12</v>
      </c>
      <c r="O583" s="117" t="s">
        <v>49</v>
      </c>
      <c r="P583" s="117" t="s">
        <v>40</v>
      </c>
      <c r="Q583" s="139">
        <v>20007726</v>
      </c>
      <c r="R583" s="117" t="s">
        <v>78</v>
      </c>
      <c r="S583" s="117" t="s">
        <v>109</v>
      </c>
      <c r="T583" s="117" t="s">
        <v>109</v>
      </c>
      <c r="U583" s="117" t="s">
        <v>128</v>
      </c>
      <c r="V583" s="12">
        <f>+IFERROR(IF(VLOOKUP(Q583,COMISIONES!$C$2:$K$33,9,0)&gt;=VLOOKUP(TC!Q583,COMISIONES!$C$2:$I$33,7,0),1,0),0)</f>
        <v>1</v>
      </c>
      <c r="W583" s="262">
        <f>+IF(H583="Segunda",VLOOKUP(_xlfn.CONCAT(P583,G583,H583,V583),'PUNTOS 2021'!$E$23:$F$30,2,0),TC!L583)</f>
        <v>2</v>
      </c>
      <c r="X583" s="67">
        <v>0</v>
      </c>
      <c r="Y583" s="67">
        <f t="shared" si="9"/>
        <v>0</v>
      </c>
      <c r="Z583" s="58" t="s">
        <v>80</v>
      </c>
      <c r="AB583" s="13" t="s">
        <v>269</v>
      </c>
    </row>
    <row r="584" spans="1:28" hidden="1">
      <c r="A584" s="117" t="s">
        <v>821</v>
      </c>
      <c r="B584" s="138">
        <v>45164</v>
      </c>
      <c r="C584" s="117" t="s">
        <v>2572</v>
      </c>
      <c r="D584" s="117" t="s">
        <v>2573</v>
      </c>
      <c r="E584" s="117" t="s">
        <v>2574</v>
      </c>
      <c r="F584" s="117"/>
      <c r="G584" s="117" t="s">
        <v>45</v>
      </c>
      <c r="H584" s="117" t="s">
        <v>1</v>
      </c>
      <c r="I584"/>
      <c r="J584"/>
      <c r="K584" s="117" t="s">
        <v>105</v>
      </c>
      <c r="L584">
        <v>7</v>
      </c>
      <c r="M584" s="117" t="s">
        <v>159</v>
      </c>
      <c r="N584" s="117" t="s">
        <v>227</v>
      </c>
      <c r="O584" s="117" t="s">
        <v>49</v>
      </c>
      <c r="P584" s="117" t="s">
        <v>40</v>
      </c>
      <c r="Q584" s="139">
        <v>20009690</v>
      </c>
      <c r="R584" s="117" t="s">
        <v>78</v>
      </c>
      <c r="S584" s="117" t="s">
        <v>109</v>
      </c>
      <c r="T584" s="117" t="s">
        <v>109</v>
      </c>
      <c r="U584" s="117" t="s">
        <v>128</v>
      </c>
      <c r="V584" s="12">
        <f>+IFERROR(IF(VLOOKUP(Q584,COMISIONES!$C$2:$K$33,9,0)&gt;=VLOOKUP(TC!Q584,COMISIONES!$C$2:$I$33,7,0),1,0),0)</f>
        <v>0</v>
      </c>
      <c r="W584" s="262">
        <f>+IF(H584="Segunda",VLOOKUP(_xlfn.CONCAT(P584,G584,H584,V584),'PUNTOS 2021'!$E$23:$F$30,2,0),TC!L584)</f>
        <v>7</v>
      </c>
      <c r="X584" s="67">
        <f>+VLOOKUP(Q584,COMISIONES!$C$2:$AO$33,39,0)</f>
        <v>45</v>
      </c>
      <c r="Y584" s="67">
        <f t="shared" si="9"/>
        <v>315</v>
      </c>
      <c r="Z584" s="58" t="s">
        <v>80</v>
      </c>
      <c r="AA584" s="13">
        <f>+VLOOKUP(Q584,COMISIONES!$C$2:$C$33,1,0)</f>
        <v>20009690</v>
      </c>
      <c r="AB584" s="13" t="s">
        <v>269</v>
      </c>
    </row>
    <row r="585" spans="1:28" hidden="1">
      <c r="A585" s="117" t="s">
        <v>821</v>
      </c>
      <c r="B585" s="138">
        <v>45164</v>
      </c>
      <c r="C585" s="117" t="s">
        <v>2575</v>
      </c>
      <c r="D585" s="117" t="s">
        <v>2576</v>
      </c>
      <c r="E585" s="117" t="s">
        <v>2577</v>
      </c>
      <c r="F585" s="117"/>
      <c r="G585" s="117" t="s">
        <v>45</v>
      </c>
      <c r="H585" s="117" t="s">
        <v>1</v>
      </c>
      <c r="I585"/>
      <c r="J585"/>
      <c r="K585" s="117" t="s">
        <v>105</v>
      </c>
      <c r="L585">
        <v>7</v>
      </c>
      <c r="M585" s="117" t="s">
        <v>126</v>
      </c>
      <c r="N585" s="117" t="s">
        <v>11</v>
      </c>
      <c r="O585" s="117" t="s">
        <v>49</v>
      </c>
      <c r="P585" s="117" t="s">
        <v>40</v>
      </c>
      <c r="Q585" s="139">
        <v>20004235</v>
      </c>
      <c r="R585" s="117" t="s">
        <v>78</v>
      </c>
      <c r="S585" s="117" t="s">
        <v>109</v>
      </c>
      <c r="T585" s="117" t="s">
        <v>109</v>
      </c>
      <c r="U585" s="117" t="s">
        <v>128</v>
      </c>
      <c r="V585" s="12">
        <f>+IFERROR(IF(VLOOKUP(Q585,COMISIONES!$C$2:$K$33,9,0)&gt;=VLOOKUP(TC!Q585,COMISIONES!$C$2:$I$33,7,0),1,0),0)</f>
        <v>0</v>
      </c>
      <c r="W585" s="262">
        <f>+IF(H585="Segunda",VLOOKUP(_xlfn.CONCAT(P585,G585,H585,V585),'PUNTOS 2021'!$E$23:$F$30,2,0),TC!L585)</f>
        <v>7</v>
      </c>
      <c r="X585" s="67">
        <v>0</v>
      </c>
      <c r="Y585" s="67">
        <f t="shared" si="9"/>
        <v>0</v>
      </c>
      <c r="Z585" s="58" t="s">
        <v>80</v>
      </c>
      <c r="AB585" s="13" t="s">
        <v>269</v>
      </c>
    </row>
    <row r="586" spans="1:28">
      <c r="A586" s="117" t="s">
        <v>821</v>
      </c>
      <c r="B586" s="138">
        <v>45164</v>
      </c>
      <c r="C586" s="117" t="s">
        <v>2578</v>
      </c>
      <c r="D586" s="117" t="s">
        <v>2579</v>
      </c>
      <c r="E586" s="117" t="s">
        <v>2580</v>
      </c>
      <c r="F586" s="117"/>
      <c r="G586" s="117" t="s">
        <v>44</v>
      </c>
      <c r="H586" s="117" t="s">
        <v>2</v>
      </c>
      <c r="I586"/>
      <c r="J586"/>
      <c r="K586" s="117" t="s">
        <v>105</v>
      </c>
      <c r="L586">
        <v>1</v>
      </c>
      <c r="M586" s="117" t="s">
        <v>124</v>
      </c>
      <c r="N586" s="117" t="s">
        <v>17</v>
      </c>
      <c r="O586" s="117" t="s">
        <v>52</v>
      </c>
      <c r="P586" s="117" t="s">
        <v>40</v>
      </c>
      <c r="Q586" s="139">
        <v>20006233</v>
      </c>
      <c r="R586" s="117" t="s">
        <v>78</v>
      </c>
      <c r="S586" s="117" t="s">
        <v>109</v>
      </c>
      <c r="T586" s="117" t="s">
        <v>109</v>
      </c>
      <c r="U586" s="117" t="s">
        <v>128</v>
      </c>
      <c r="V586" s="12">
        <f>+IFERROR(IF(VLOOKUP(Q586,COMISIONES!$C$2:$K$33,9,0)&gt;=VLOOKUP(TC!Q586,COMISIONES!$C$2:$I$33,7,0),1,0),0)</f>
        <v>0</v>
      </c>
      <c r="W586" s="262">
        <f>+IF(H586="Segunda",VLOOKUP(_xlfn.CONCAT(P586,G586,H586,V586),'PUNTOS 2021'!$E$23:$F$30,2,0),TC!L586)</f>
        <v>0.5</v>
      </c>
      <c r="X586" s="67">
        <f>+VLOOKUP(Q586,COMISIONES!$C$2:$AO$33,39,0)</f>
        <v>40</v>
      </c>
      <c r="Y586" s="67">
        <f t="shared" si="9"/>
        <v>20</v>
      </c>
      <c r="Z586" s="58" t="s">
        <v>80</v>
      </c>
      <c r="AA586" s="13">
        <f>+VLOOKUP(Q586,COMISIONES!$C$2:$C$33,1,0)</f>
        <v>20006233</v>
      </c>
      <c r="AB586" s="13" t="s">
        <v>269</v>
      </c>
    </row>
    <row r="587" spans="1:28" hidden="1">
      <c r="A587" s="117" t="s">
        <v>821</v>
      </c>
      <c r="B587" s="138">
        <v>45164</v>
      </c>
      <c r="C587" s="117" t="s">
        <v>2581</v>
      </c>
      <c r="D587" s="117" t="s">
        <v>2582</v>
      </c>
      <c r="E587" s="117" t="s">
        <v>2583</v>
      </c>
      <c r="F587" s="117"/>
      <c r="G587" s="117" t="s">
        <v>44</v>
      </c>
      <c r="H587" s="117" t="s">
        <v>1</v>
      </c>
      <c r="I587"/>
      <c r="J587"/>
      <c r="K587" s="117" t="s">
        <v>105</v>
      </c>
      <c r="L587">
        <v>5</v>
      </c>
      <c r="M587" s="117" t="s">
        <v>111</v>
      </c>
      <c r="N587" s="117" t="s">
        <v>14</v>
      </c>
      <c r="O587" s="117" t="s">
        <v>50</v>
      </c>
      <c r="P587" s="117" t="s">
        <v>40</v>
      </c>
      <c r="Q587" s="139">
        <v>20006360</v>
      </c>
      <c r="R587" s="117" t="s">
        <v>78</v>
      </c>
      <c r="S587" s="117" t="s">
        <v>109</v>
      </c>
      <c r="T587" s="117" t="s">
        <v>109</v>
      </c>
      <c r="U587" s="117" t="s">
        <v>128</v>
      </c>
      <c r="V587" s="12">
        <f>+IFERROR(IF(VLOOKUP(Q587,COMISIONES!$C$2:$K$33,9,0)&gt;=VLOOKUP(TC!Q587,COMISIONES!$C$2:$I$33,7,0),1,0),0)</f>
        <v>0</v>
      </c>
      <c r="W587" s="262">
        <f>+IF(H587="Segunda",VLOOKUP(_xlfn.CONCAT(P587,G587,H587,V587),'PUNTOS 2021'!$E$23:$F$30,2,0),TC!L587)</f>
        <v>5</v>
      </c>
      <c r="X587" s="67">
        <f>+VLOOKUP(Q587,COMISIONES!$C$2:$AO$33,39,0)</f>
        <v>40</v>
      </c>
      <c r="Y587" s="67">
        <f t="shared" si="9"/>
        <v>200</v>
      </c>
      <c r="Z587" s="58" t="s">
        <v>80</v>
      </c>
      <c r="AA587" s="13">
        <f>+VLOOKUP(Q587,COMISIONES!$C$2:$C$33,1,0)</f>
        <v>20006360</v>
      </c>
      <c r="AB587" s="13" t="s">
        <v>269</v>
      </c>
    </row>
    <row r="588" spans="1:28" hidden="1">
      <c r="A588" s="117" t="s">
        <v>821</v>
      </c>
      <c r="B588" s="138">
        <v>45164</v>
      </c>
      <c r="C588" s="117" t="s">
        <v>2584</v>
      </c>
      <c r="D588" s="117" t="s">
        <v>2585</v>
      </c>
      <c r="E588" s="117" t="s">
        <v>2586</v>
      </c>
      <c r="F588" s="117"/>
      <c r="G588" s="117" t="s">
        <v>44</v>
      </c>
      <c r="H588" s="117" t="s">
        <v>1</v>
      </c>
      <c r="I588"/>
      <c r="J588"/>
      <c r="K588" s="117" t="s">
        <v>105</v>
      </c>
      <c r="L588">
        <v>5</v>
      </c>
      <c r="M588" s="117" t="s">
        <v>273</v>
      </c>
      <c r="N588" s="117" t="s">
        <v>292</v>
      </c>
      <c r="O588" s="117" t="s">
        <v>51</v>
      </c>
      <c r="P588" s="117" t="s">
        <v>40</v>
      </c>
      <c r="Q588" s="139">
        <v>20007943</v>
      </c>
      <c r="R588" s="117" t="s">
        <v>78</v>
      </c>
      <c r="S588" s="117" t="s">
        <v>109</v>
      </c>
      <c r="T588" s="117" t="s">
        <v>109</v>
      </c>
      <c r="U588" s="117" t="s">
        <v>128</v>
      </c>
      <c r="V588" s="12">
        <f>+IFERROR(IF(VLOOKUP(Q588,COMISIONES!$C$2:$K$33,9,0)&gt;=VLOOKUP(TC!Q588,COMISIONES!$C$2:$I$33,7,0),1,0),0)</f>
        <v>0</v>
      </c>
      <c r="W588" s="262">
        <f>+IF(H588="Segunda",VLOOKUP(_xlfn.CONCAT(P588,G588,H588,V588),'PUNTOS 2021'!$E$23:$F$30,2,0),TC!L588)</f>
        <v>5</v>
      </c>
      <c r="X588" s="67">
        <f>+VLOOKUP(Q588,COMISIONES!$C$2:$AO$33,39,0)</f>
        <v>20</v>
      </c>
      <c r="Y588" s="67">
        <f t="shared" si="9"/>
        <v>100</v>
      </c>
      <c r="Z588" s="58" t="s">
        <v>80</v>
      </c>
      <c r="AA588" s="13">
        <f>+VLOOKUP(Q588,COMISIONES!$C$2:$C$33,1,0)</f>
        <v>20007943</v>
      </c>
      <c r="AB588" s="13" t="s">
        <v>269</v>
      </c>
    </row>
    <row r="589" spans="1:28" hidden="1">
      <c r="A589" s="117" t="s">
        <v>821</v>
      </c>
      <c r="B589" s="138">
        <v>45164</v>
      </c>
      <c r="C589" s="117" t="s">
        <v>2587</v>
      </c>
      <c r="D589" s="117" t="s">
        <v>2588</v>
      </c>
      <c r="E589" s="117" t="s">
        <v>2589</v>
      </c>
      <c r="F589" s="117"/>
      <c r="G589" s="117" t="s">
        <v>43</v>
      </c>
      <c r="H589" s="117" t="s">
        <v>1</v>
      </c>
      <c r="I589"/>
      <c r="J589"/>
      <c r="K589" s="117" t="s">
        <v>105</v>
      </c>
      <c r="L589">
        <v>3</v>
      </c>
      <c r="M589" s="117" t="s">
        <v>258</v>
      </c>
      <c r="N589" s="117" t="s">
        <v>237</v>
      </c>
      <c r="O589" s="117" t="s">
        <v>51</v>
      </c>
      <c r="P589" s="117" t="s">
        <v>40</v>
      </c>
      <c r="Q589" s="139">
        <v>20006893</v>
      </c>
      <c r="R589" s="117" t="s">
        <v>78</v>
      </c>
      <c r="S589" s="117" t="s">
        <v>109</v>
      </c>
      <c r="T589" s="117" t="s">
        <v>109</v>
      </c>
      <c r="U589" s="117" t="s">
        <v>128</v>
      </c>
      <c r="V589" s="12">
        <f>+IFERROR(IF(VLOOKUP(Q589,COMISIONES!$C$2:$K$33,9,0)&gt;=VLOOKUP(TC!Q589,COMISIONES!$C$2:$I$33,7,0),1,0),0)</f>
        <v>0</v>
      </c>
      <c r="W589" s="262">
        <f>+IF(H589="Segunda",VLOOKUP(_xlfn.CONCAT(P589,G589,H589,V589),'PUNTOS 2021'!$E$23:$F$30,2,0),TC!L589)</f>
        <v>3</v>
      </c>
      <c r="X589" s="67">
        <f>+VLOOKUP(Q589,COMISIONES!$C$2:$AO$33,39,0)</f>
        <v>40</v>
      </c>
      <c r="Y589" s="67">
        <f t="shared" si="9"/>
        <v>120</v>
      </c>
      <c r="Z589" s="58" t="s">
        <v>80</v>
      </c>
      <c r="AA589" s="13">
        <f>+VLOOKUP(Q589,COMISIONES!$C$2:$C$33,1,0)</f>
        <v>20006893</v>
      </c>
      <c r="AB589" s="13" t="s">
        <v>269</v>
      </c>
    </row>
    <row r="590" spans="1:28" hidden="1">
      <c r="A590" s="117" t="s">
        <v>821</v>
      </c>
      <c r="B590" s="138">
        <v>45164</v>
      </c>
      <c r="C590" s="117" t="s">
        <v>2590</v>
      </c>
      <c r="D590" s="117" t="s">
        <v>2591</v>
      </c>
      <c r="E590" s="117" t="s">
        <v>2592</v>
      </c>
      <c r="F590" s="117"/>
      <c r="G590" s="117" t="s">
        <v>44</v>
      </c>
      <c r="H590" s="117" t="s">
        <v>1</v>
      </c>
      <c r="I590"/>
      <c r="J590"/>
      <c r="K590" s="117" t="s">
        <v>105</v>
      </c>
      <c r="L590">
        <v>5</v>
      </c>
      <c r="M590" s="117" t="s">
        <v>259</v>
      </c>
      <c r="N590" s="117" t="s">
        <v>20</v>
      </c>
      <c r="O590" s="117" t="s">
        <v>50</v>
      </c>
      <c r="P590" s="117" t="s">
        <v>40</v>
      </c>
      <c r="Q590" s="139">
        <v>20008700</v>
      </c>
      <c r="R590" s="117" t="s">
        <v>78</v>
      </c>
      <c r="S590" s="117" t="s">
        <v>109</v>
      </c>
      <c r="T590" s="117" t="s">
        <v>109</v>
      </c>
      <c r="U590" s="117" t="s">
        <v>128</v>
      </c>
      <c r="V590" s="12">
        <f>+IFERROR(IF(VLOOKUP(Q590,COMISIONES!$C$2:$K$33,9,0)&gt;=VLOOKUP(TC!Q590,COMISIONES!$C$2:$I$33,7,0),1,0),0)</f>
        <v>0</v>
      </c>
      <c r="W590" s="262">
        <f>+IF(H590="Segunda",VLOOKUP(_xlfn.CONCAT(P590,G590,H590,V590),'PUNTOS 2021'!$E$23:$F$30,2,0),TC!L590)</f>
        <v>5</v>
      </c>
      <c r="X590" s="67">
        <f>+VLOOKUP(Q590,COMISIONES!$C$2:$AO$33,39,0)</f>
        <v>40</v>
      </c>
      <c r="Y590" s="67">
        <f t="shared" si="9"/>
        <v>200</v>
      </c>
      <c r="Z590" s="58" t="s">
        <v>80</v>
      </c>
      <c r="AA590" s="13">
        <f>+VLOOKUP(Q590,COMISIONES!$C$2:$C$33,1,0)</f>
        <v>20008700</v>
      </c>
      <c r="AB590" s="13" t="s">
        <v>269</v>
      </c>
    </row>
    <row r="591" spans="1:28" hidden="1">
      <c r="A591" s="117" t="s">
        <v>821</v>
      </c>
      <c r="B591" s="138">
        <v>45164</v>
      </c>
      <c r="C591" s="117" t="s">
        <v>2593</v>
      </c>
      <c r="D591" s="117" t="s">
        <v>2594</v>
      </c>
      <c r="E591" s="117" t="s">
        <v>2595</v>
      </c>
      <c r="F591" s="117"/>
      <c r="G591" s="117" t="s">
        <v>43</v>
      </c>
      <c r="H591" s="117" t="s">
        <v>1</v>
      </c>
      <c r="I591"/>
      <c r="J591"/>
      <c r="K591" s="117" t="s">
        <v>105</v>
      </c>
      <c r="L591">
        <v>3</v>
      </c>
      <c r="M591" s="117" t="s">
        <v>114</v>
      </c>
      <c r="N591" s="117" t="s">
        <v>19</v>
      </c>
      <c r="O591" s="117" t="s">
        <v>49</v>
      </c>
      <c r="P591" s="117" t="s">
        <v>40</v>
      </c>
      <c r="Q591" s="139">
        <v>20008625</v>
      </c>
      <c r="R591" s="117" t="s">
        <v>78</v>
      </c>
      <c r="S591" s="117" t="s">
        <v>109</v>
      </c>
      <c r="T591" s="117" t="s">
        <v>109</v>
      </c>
      <c r="U591" s="117" t="s">
        <v>128</v>
      </c>
      <c r="V591" s="12">
        <f>+IFERROR(IF(VLOOKUP(Q591,COMISIONES!$C$2:$K$33,9,0)&gt;=VLOOKUP(TC!Q591,COMISIONES!$C$2:$I$33,7,0),1,0),0)</f>
        <v>0</v>
      </c>
      <c r="W591" s="262">
        <f>+IF(H591="Segunda",VLOOKUP(_xlfn.CONCAT(P591,G591,H591,V591),'PUNTOS 2021'!$E$23:$F$30,2,0),TC!L591)</f>
        <v>3</v>
      </c>
      <c r="X591" s="67">
        <f>+VLOOKUP(Q591,COMISIONES!$C$2:$AO$33,39,0)</f>
        <v>20</v>
      </c>
      <c r="Y591" s="67">
        <f t="shared" si="9"/>
        <v>60</v>
      </c>
      <c r="Z591" s="58" t="s">
        <v>80</v>
      </c>
      <c r="AA591" s="13">
        <f>+VLOOKUP(Q591,COMISIONES!$C$2:$C$33,1,0)</f>
        <v>20008625</v>
      </c>
      <c r="AB591" s="13" t="s">
        <v>269</v>
      </c>
    </row>
    <row r="592" spans="1:28" hidden="1">
      <c r="A592" s="117" t="s">
        <v>821</v>
      </c>
      <c r="B592" s="138">
        <v>45164</v>
      </c>
      <c r="C592" s="117" t="s">
        <v>2596</v>
      </c>
      <c r="D592" s="117" t="s">
        <v>2597</v>
      </c>
      <c r="E592" s="117" t="s">
        <v>2598</v>
      </c>
      <c r="F592" s="117"/>
      <c r="G592" s="117" t="s">
        <v>43</v>
      </c>
      <c r="H592" s="117" t="s">
        <v>1</v>
      </c>
      <c r="I592"/>
      <c r="J592"/>
      <c r="K592" s="117" t="s">
        <v>105</v>
      </c>
      <c r="L592">
        <v>3</v>
      </c>
      <c r="M592" s="117" t="s">
        <v>111</v>
      </c>
      <c r="N592" s="117" t="s">
        <v>14</v>
      </c>
      <c r="O592" s="117" t="s">
        <v>50</v>
      </c>
      <c r="P592" s="117" t="s">
        <v>40</v>
      </c>
      <c r="Q592" s="139">
        <v>20006360</v>
      </c>
      <c r="R592" s="117" t="s">
        <v>78</v>
      </c>
      <c r="S592" s="117" t="s">
        <v>109</v>
      </c>
      <c r="T592" s="117" t="s">
        <v>109</v>
      </c>
      <c r="U592" s="117" t="s">
        <v>128</v>
      </c>
      <c r="V592" s="12">
        <f>+IFERROR(IF(VLOOKUP(Q592,COMISIONES!$C$2:$K$33,9,0)&gt;=VLOOKUP(TC!Q592,COMISIONES!$C$2:$I$33,7,0),1,0),0)</f>
        <v>0</v>
      </c>
      <c r="W592" s="262">
        <f>+IF(H592="Segunda",VLOOKUP(_xlfn.CONCAT(P592,G592,H592,V592),'PUNTOS 2021'!$E$23:$F$30,2,0),TC!L592)</f>
        <v>3</v>
      </c>
      <c r="X592" s="67">
        <f>+VLOOKUP(Q592,COMISIONES!$C$2:$AO$33,39,0)</f>
        <v>40</v>
      </c>
      <c r="Y592" s="67">
        <f t="shared" si="9"/>
        <v>120</v>
      </c>
      <c r="Z592" s="58" t="s">
        <v>80</v>
      </c>
      <c r="AA592" s="13">
        <f>+VLOOKUP(Q592,COMISIONES!$C$2:$C$33,1,0)</f>
        <v>20006360</v>
      </c>
      <c r="AB592" s="13" t="s">
        <v>269</v>
      </c>
    </row>
    <row r="593" spans="1:28" hidden="1">
      <c r="A593" s="117" t="s">
        <v>821</v>
      </c>
      <c r="B593" s="138">
        <v>45164</v>
      </c>
      <c r="C593" s="117" t="s">
        <v>2599</v>
      </c>
      <c r="D593" s="117" t="s">
        <v>2600</v>
      </c>
      <c r="E593" s="117" t="s">
        <v>2601</v>
      </c>
      <c r="F593" s="117"/>
      <c r="G593" s="117" t="s">
        <v>45</v>
      </c>
      <c r="H593" s="117" t="s">
        <v>1</v>
      </c>
      <c r="I593"/>
      <c r="J593"/>
      <c r="K593" s="117" t="s">
        <v>105</v>
      </c>
      <c r="L593">
        <v>7</v>
      </c>
      <c r="M593" s="117" t="s">
        <v>262</v>
      </c>
      <c r="N593" s="117" t="s">
        <v>7</v>
      </c>
      <c r="O593" s="117" t="s">
        <v>52</v>
      </c>
      <c r="P593" s="117" t="s">
        <v>40</v>
      </c>
      <c r="Q593" s="139">
        <v>20007352</v>
      </c>
      <c r="R593" s="117" t="s">
        <v>78</v>
      </c>
      <c r="S593" s="117" t="s">
        <v>109</v>
      </c>
      <c r="T593" s="117" t="s">
        <v>109</v>
      </c>
      <c r="U593" s="117" t="s">
        <v>128</v>
      </c>
      <c r="V593" s="12">
        <f>+IFERROR(IF(VLOOKUP(Q593,COMISIONES!$C$2:$K$33,9,0)&gt;=VLOOKUP(TC!Q593,COMISIONES!$C$2:$I$33,7,0),1,0),0)</f>
        <v>0</v>
      </c>
      <c r="W593" s="262">
        <f>+IF(H593="Segunda",VLOOKUP(_xlfn.CONCAT(P593,G593,H593,V593),'PUNTOS 2021'!$E$23:$F$30,2,0),TC!L593)</f>
        <v>7</v>
      </c>
      <c r="X593" s="67">
        <f>+VLOOKUP(Q593,COMISIONES!$C$2:$AO$33,39,0)</f>
        <v>30</v>
      </c>
      <c r="Y593" s="67">
        <f t="shared" si="9"/>
        <v>210</v>
      </c>
      <c r="Z593" s="58" t="s">
        <v>80</v>
      </c>
      <c r="AA593" s="13">
        <f>+VLOOKUP(Q593,COMISIONES!$C$2:$C$33,1,0)</f>
        <v>20007352</v>
      </c>
      <c r="AB593" s="13" t="s">
        <v>269</v>
      </c>
    </row>
    <row r="594" spans="1:28">
      <c r="A594" s="117" t="s">
        <v>821</v>
      </c>
      <c r="B594" s="138">
        <v>45164</v>
      </c>
      <c r="C594" s="117" t="s">
        <v>2602</v>
      </c>
      <c r="D594" s="117" t="s">
        <v>2603</v>
      </c>
      <c r="E594" s="117" t="s">
        <v>2604</v>
      </c>
      <c r="F594" s="117"/>
      <c r="G594" s="117" t="s">
        <v>45</v>
      </c>
      <c r="H594" s="117" t="s">
        <v>2</v>
      </c>
      <c r="I594"/>
      <c r="J594"/>
      <c r="K594" s="117" t="s">
        <v>105</v>
      </c>
      <c r="L594">
        <v>2</v>
      </c>
      <c r="M594" s="117" t="s">
        <v>110</v>
      </c>
      <c r="N594" s="117" t="s">
        <v>10</v>
      </c>
      <c r="O594" s="117" t="s">
        <v>51</v>
      </c>
      <c r="P594" s="117" t="s">
        <v>40</v>
      </c>
      <c r="Q594" s="139">
        <v>20000661</v>
      </c>
      <c r="R594" s="117" t="s">
        <v>78</v>
      </c>
      <c r="S594" s="117" t="s">
        <v>109</v>
      </c>
      <c r="T594" s="117" t="s">
        <v>109</v>
      </c>
      <c r="U594" s="117" t="s">
        <v>128</v>
      </c>
      <c r="V594" s="12">
        <f>+IFERROR(IF(VLOOKUP(Q594,COMISIONES!$C$2:$K$33,9,0)&gt;=VLOOKUP(TC!Q594,COMISIONES!$C$2:$I$33,7,0),1,0),0)</f>
        <v>1</v>
      </c>
      <c r="W594" s="262">
        <f>+IF(H594="Segunda",VLOOKUP(_xlfn.CONCAT(P594,G594,H594,V594),'PUNTOS 2021'!$E$23:$F$30,2,0),TC!L594)</f>
        <v>2</v>
      </c>
      <c r="X594" s="67">
        <f>+VLOOKUP(Q594,COMISIONES!$C$2:$AO$33,39,0)</f>
        <v>60</v>
      </c>
      <c r="Y594" s="67">
        <f t="shared" si="9"/>
        <v>120</v>
      </c>
      <c r="Z594" s="58" t="s">
        <v>80</v>
      </c>
      <c r="AA594" s="13">
        <f>+VLOOKUP(Q594,COMISIONES!$C$2:$C$33,1,0)</f>
        <v>20000661</v>
      </c>
      <c r="AB594" s="13" t="s">
        <v>269</v>
      </c>
    </row>
    <row r="595" spans="1:28">
      <c r="A595" s="117" t="s">
        <v>821</v>
      </c>
      <c r="B595" s="138">
        <v>45164</v>
      </c>
      <c r="C595" s="117" t="s">
        <v>2605</v>
      </c>
      <c r="D595" s="117" t="s">
        <v>2606</v>
      </c>
      <c r="E595" s="117" t="s">
        <v>2607</v>
      </c>
      <c r="F595" s="117"/>
      <c r="G595" s="117" t="s">
        <v>45</v>
      </c>
      <c r="H595" s="117" t="s">
        <v>2</v>
      </c>
      <c r="I595"/>
      <c r="J595"/>
      <c r="K595" s="117" t="s">
        <v>105</v>
      </c>
      <c r="L595">
        <v>2</v>
      </c>
      <c r="M595" s="117" t="s">
        <v>121</v>
      </c>
      <c r="N595" s="117" t="s">
        <v>3</v>
      </c>
      <c r="O595" s="117" t="s">
        <v>49</v>
      </c>
      <c r="P595" s="117" t="s">
        <v>40</v>
      </c>
      <c r="Q595" s="139">
        <v>20004161</v>
      </c>
      <c r="R595" s="117" t="s">
        <v>78</v>
      </c>
      <c r="S595" s="117" t="s">
        <v>109</v>
      </c>
      <c r="T595" s="117" t="s">
        <v>109</v>
      </c>
      <c r="U595" s="117" t="s">
        <v>128</v>
      </c>
      <c r="V595" s="12">
        <f>+IFERROR(IF(VLOOKUP(Q595,COMISIONES!$C$2:$K$33,9,0)&gt;=VLOOKUP(TC!Q595,COMISIONES!$C$2:$I$33,7,0),1,0),0)</f>
        <v>1</v>
      </c>
      <c r="W595" s="262">
        <f>+IF(H595="Segunda",VLOOKUP(_xlfn.CONCAT(P595,G595,H595,V595),'PUNTOS 2021'!$E$23:$F$30,2,0),TC!L595)</f>
        <v>2</v>
      </c>
      <c r="X595" s="67">
        <f>+VLOOKUP(Q595,COMISIONES!$C$2:$AO$33,39,0)</f>
        <v>65</v>
      </c>
      <c r="Y595" s="67">
        <f t="shared" si="9"/>
        <v>130</v>
      </c>
      <c r="Z595" s="58" t="s">
        <v>80</v>
      </c>
      <c r="AA595" s="13">
        <f>+VLOOKUP(Q595,COMISIONES!$C$2:$C$33,1,0)</f>
        <v>20004161</v>
      </c>
      <c r="AB595" s="13" t="s">
        <v>269</v>
      </c>
    </row>
    <row r="596" spans="1:28">
      <c r="A596" s="117" t="s">
        <v>821</v>
      </c>
      <c r="B596" s="138">
        <v>45164</v>
      </c>
      <c r="C596" s="117" t="s">
        <v>2608</v>
      </c>
      <c r="D596" s="117" t="s">
        <v>2609</v>
      </c>
      <c r="E596" s="117" t="s">
        <v>2610</v>
      </c>
      <c r="F596" s="117"/>
      <c r="G596" s="117" t="s">
        <v>43</v>
      </c>
      <c r="H596" s="117" t="s">
        <v>2</v>
      </c>
      <c r="I596"/>
      <c r="J596"/>
      <c r="K596" s="117" t="s">
        <v>105</v>
      </c>
      <c r="L596">
        <v>1</v>
      </c>
      <c r="M596" s="117" t="s">
        <v>255</v>
      </c>
      <c r="N596" s="117" t="s">
        <v>4</v>
      </c>
      <c r="O596" s="117" t="s">
        <v>51</v>
      </c>
      <c r="P596" s="117" t="s">
        <v>40</v>
      </c>
      <c r="Q596" s="139">
        <v>20000033</v>
      </c>
      <c r="R596" s="117" t="s">
        <v>78</v>
      </c>
      <c r="S596" s="117" t="s">
        <v>109</v>
      </c>
      <c r="T596" s="117" t="s">
        <v>109</v>
      </c>
      <c r="U596" s="117" t="s">
        <v>128</v>
      </c>
      <c r="V596" s="12">
        <f>+IFERROR(IF(VLOOKUP(Q596,COMISIONES!$C$2:$K$33,9,0)&gt;=VLOOKUP(TC!Q596,COMISIONES!$C$2:$I$33,7,0),1,0),0)</f>
        <v>1</v>
      </c>
      <c r="W596" s="262">
        <f>+IF(H596="Segunda",VLOOKUP(_xlfn.CONCAT(P596,G596,H596,V596),'PUNTOS 2021'!$E$23:$F$30,2,0),TC!L596)</f>
        <v>1</v>
      </c>
      <c r="X596" s="67">
        <f>+VLOOKUP(Q596,COMISIONES!$C$2:$AO$33,39,0)</f>
        <v>60</v>
      </c>
      <c r="Y596" s="67">
        <f t="shared" si="9"/>
        <v>60</v>
      </c>
      <c r="Z596" s="58" t="s">
        <v>80</v>
      </c>
      <c r="AA596" s="13">
        <f>+VLOOKUP(Q596,COMISIONES!$C$2:$C$33,1,0)</f>
        <v>20000033</v>
      </c>
      <c r="AB596" s="13" t="s">
        <v>269</v>
      </c>
    </row>
    <row r="597" spans="1:28" hidden="1">
      <c r="A597" s="117" t="s">
        <v>821</v>
      </c>
      <c r="B597" s="138">
        <v>45164</v>
      </c>
      <c r="C597" s="117" t="s">
        <v>2611</v>
      </c>
      <c r="D597" s="117" t="s">
        <v>2612</v>
      </c>
      <c r="E597" s="117" t="s">
        <v>2613</v>
      </c>
      <c r="F597" s="117"/>
      <c r="G597" s="117" t="s">
        <v>45</v>
      </c>
      <c r="H597" s="117" t="s">
        <v>1</v>
      </c>
      <c r="I597"/>
      <c r="J597"/>
      <c r="K597" s="117" t="s">
        <v>105</v>
      </c>
      <c r="L597">
        <v>7</v>
      </c>
      <c r="M597" s="117" t="s">
        <v>127</v>
      </c>
      <c r="N597" s="117" t="s">
        <v>16</v>
      </c>
      <c r="O597" s="117" t="s">
        <v>49</v>
      </c>
      <c r="P597" s="117" t="s">
        <v>40</v>
      </c>
      <c r="Q597" s="139">
        <v>20002708</v>
      </c>
      <c r="R597" s="117" t="s">
        <v>78</v>
      </c>
      <c r="S597" s="117" t="s">
        <v>109</v>
      </c>
      <c r="T597" s="117" t="s">
        <v>109</v>
      </c>
      <c r="U597" s="117" t="s">
        <v>128</v>
      </c>
      <c r="V597" s="12">
        <f>+IFERROR(IF(VLOOKUP(Q597,COMISIONES!$C$2:$K$33,9,0)&gt;=VLOOKUP(TC!Q597,COMISIONES!$C$2:$I$33,7,0),1,0),0)</f>
        <v>0</v>
      </c>
      <c r="W597" s="262">
        <f>+IF(H597="Segunda",VLOOKUP(_xlfn.CONCAT(P597,G597,H597,V597),'PUNTOS 2021'!$E$23:$F$30,2,0),TC!L597)</f>
        <v>7</v>
      </c>
      <c r="X597" s="67">
        <f>+VLOOKUP(Q597,COMISIONES!$C$2:$AO$33,39,0)</f>
        <v>60</v>
      </c>
      <c r="Y597" s="67">
        <f t="shared" si="9"/>
        <v>420</v>
      </c>
      <c r="Z597" s="58" t="s">
        <v>80</v>
      </c>
      <c r="AA597" s="13">
        <f>+VLOOKUP(Q597,COMISIONES!$C$2:$C$33,1,0)</f>
        <v>20002708</v>
      </c>
      <c r="AB597" s="13" t="s">
        <v>269</v>
      </c>
    </row>
    <row r="598" spans="1:28" hidden="1">
      <c r="A598" s="117" t="s">
        <v>821</v>
      </c>
      <c r="B598" s="138">
        <v>45164</v>
      </c>
      <c r="C598" s="117" t="s">
        <v>2614</v>
      </c>
      <c r="D598" s="117" t="s">
        <v>2615</v>
      </c>
      <c r="E598" s="117" t="s">
        <v>2616</v>
      </c>
      <c r="F598" s="117"/>
      <c r="G598" s="117" t="s">
        <v>45</v>
      </c>
      <c r="H598" s="117" t="s">
        <v>1</v>
      </c>
      <c r="I598"/>
      <c r="J598"/>
      <c r="K598" s="117" t="s">
        <v>105</v>
      </c>
      <c r="L598">
        <v>7</v>
      </c>
      <c r="M598" s="117" t="s">
        <v>127</v>
      </c>
      <c r="N598" s="117" t="s">
        <v>16</v>
      </c>
      <c r="O598" s="117" t="s">
        <v>49</v>
      </c>
      <c r="P598" s="117" t="s">
        <v>40</v>
      </c>
      <c r="Q598" s="139">
        <v>20002708</v>
      </c>
      <c r="R598" s="117" t="s">
        <v>78</v>
      </c>
      <c r="S598" s="117" t="s">
        <v>109</v>
      </c>
      <c r="T598" s="117" t="s">
        <v>109</v>
      </c>
      <c r="U598" s="117" t="s">
        <v>128</v>
      </c>
      <c r="V598" s="12">
        <f>+IFERROR(IF(VLOOKUP(Q598,COMISIONES!$C$2:$K$33,9,0)&gt;=VLOOKUP(TC!Q598,COMISIONES!$C$2:$I$33,7,0),1,0),0)</f>
        <v>0</v>
      </c>
      <c r="W598" s="262">
        <f>+IF(H598="Segunda",VLOOKUP(_xlfn.CONCAT(P598,G598,H598,V598),'PUNTOS 2021'!$E$23:$F$30,2,0),TC!L598)</f>
        <v>7</v>
      </c>
      <c r="X598" s="67">
        <f>+VLOOKUP(Q598,COMISIONES!$C$2:$AO$33,39,0)</f>
        <v>60</v>
      </c>
      <c r="Y598" s="67">
        <f t="shared" si="9"/>
        <v>420</v>
      </c>
      <c r="Z598" s="58" t="s">
        <v>80</v>
      </c>
      <c r="AA598" s="13">
        <f>+VLOOKUP(Q598,COMISIONES!$C$2:$C$33,1,0)</f>
        <v>20002708</v>
      </c>
      <c r="AB598" s="13" t="s">
        <v>269</v>
      </c>
    </row>
    <row r="599" spans="1:28" hidden="1">
      <c r="A599" s="117" t="s">
        <v>821</v>
      </c>
      <c r="B599" s="138">
        <v>45164</v>
      </c>
      <c r="C599" s="117" t="s">
        <v>2617</v>
      </c>
      <c r="D599" s="117" t="s">
        <v>2618</v>
      </c>
      <c r="E599" s="117" t="s">
        <v>2619</v>
      </c>
      <c r="F599" s="117"/>
      <c r="G599" s="117" t="s">
        <v>45</v>
      </c>
      <c r="H599" s="117" t="s">
        <v>1</v>
      </c>
      <c r="I599"/>
      <c r="J599"/>
      <c r="K599" s="117" t="s">
        <v>105</v>
      </c>
      <c r="L599">
        <v>7</v>
      </c>
      <c r="M599" s="117" t="s">
        <v>123</v>
      </c>
      <c r="N599" s="117" t="s">
        <v>23</v>
      </c>
      <c r="O599" s="117" t="s">
        <v>49</v>
      </c>
      <c r="P599" s="117" t="s">
        <v>40</v>
      </c>
      <c r="Q599" s="139">
        <v>20009269</v>
      </c>
      <c r="R599" s="117" t="s">
        <v>78</v>
      </c>
      <c r="S599" s="117" t="s">
        <v>109</v>
      </c>
      <c r="T599" s="117" t="s">
        <v>109</v>
      </c>
      <c r="U599" s="117" t="s">
        <v>128</v>
      </c>
      <c r="V599" s="12">
        <f>+IFERROR(IF(VLOOKUP(Q599,COMISIONES!$C$2:$K$33,9,0)&gt;=VLOOKUP(TC!Q599,COMISIONES!$C$2:$I$33,7,0),1,0),0)</f>
        <v>1</v>
      </c>
      <c r="W599" s="262">
        <f>+IF(H599="Segunda",VLOOKUP(_xlfn.CONCAT(P599,G599,H599,V599),'PUNTOS 2021'!$E$23:$F$30,2,0),TC!L599)</f>
        <v>7</v>
      </c>
      <c r="X599" s="67">
        <f>+VLOOKUP(Q599,COMISIONES!$C$2:$AO$33,39,0)</f>
        <v>65</v>
      </c>
      <c r="Y599" s="67">
        <f t="shared" si="9"/>
        <v>455</v>
      </c>
      <c r="Z599" s="58" t="s">
        <v>80</v>
      </c>
      <c r="AA599" s="13">
        <f>+VLOOKUP(Q599,COMISIONES!$C$2:$C$33,1,0)</f>
        <v>20009269</v>
      </c>
      <c r="AB599" s="13" t="s">
        <v>269</v>
      </c>
    </row>
    <row r="600" spans="1:28" hidden="1">
      <c r="A600" s="117" t="s">
        <v>821</v>
      </c>
      <c r="B600" s="138">
        <v>45164</v>
      </c>
      <c r="C600" s="117" t="s">
        <v>2620</v>
      </c>
      <c r="D600" s="117" t="s">
        <v>2621</v>
      </c>
      <c r="E600" s="117" t="s">
        <v>2622</v>
      </c>
      <c r="F600" s="117"/>
      <c r="G600" s="117" t="s">
        <v>45</v>
      </c>
      <c r="H600" s="117" t="s">
        <v>1</v>
      </c>
      <c r="I600"/>
      <c r="J600"/>
      <c r="K600" s="117" t="s">
        <v>105</v>
      </c>
      <c r="L600">
        <v>7</v>
      </c>
      <c r="M600" s="117" t="s">
        <v>111</v>
      </c>
      <c r="N600" s="117" t="s">
        <v>14</v>
      </c>
      <c r="O600" s="117" t="s">
        <v>50</v>
      </c>
      <c r="P600" s="117" t="s">
        <v>40</v>
      </c>
      <c r="Q600" s="139">
        <v>20006360</v>
      </c>
      <c r="R600" s="117" t="s">
        <v>78</v>
      </c>
      <c r="S600" s="117" t="s">
        <v>109</v>
      </c>
      <c r="T600" s="117" t="s">
        <v>109</v>
      </c>
      <c r="U600" s="117" t="s">
        <v>128</v>
      </c>
      <c r="V600" s="12">
        <f>+IFERROR(IF(VLOOKUP(Q600,COMISIONES!$C$2:$K$33,9,0)&gt;=VLOOKUP(TC!Q600,COMISIONES!$C$2:$I$33,7,0),1,0),0)</f>
        <v>0</v>
      </c>
      <c r="W600" s="262">
        <f>+IF(H600="Segunda",VLOOKUP(_xlfn.CONCAT(P600,G600,H600,V600),'PUNTOS 2021'!$E$23:$F$30,2,0),TC!L600)</f>
        <v>7</v>
      </c>
      <c r="X600" s="67">
        <f>+VLOOKUP(Q600,COMISIONES!$C$2:$AO$33,39,0)</f>
        <v>40</v>
      </c>
      <c r="Y600" s="67">
        <f t="shared" si="9"/>
        <v>280</v>
      </c>
      <c r="Z600" s="58" t="s">
        <v>80</v>
      </c>
      <c r="AA600" s="13">
        <f>+VLOOKUP(Q600,COMISIONES!$C$2:$C$33,1,0)</f>
        <v>20006360</v>
      </c>
      <c r="AB600" s="13" t="s">
        <v>269</v>
      </c>
    </row>
    <row r="601" spans="1:28" hidden="1">
      <c r="A601" s="117" t="s">
        <v>821</v>
      </c>
      <c r="B601" s="138">
        <v>45164</v>
      </c>
      <c r="C601" s="117" t="s">
        <v>2623</v>
      </c>
      <c r="D601" s="117" t="s">
        <v>2624</v>
      </c>
      <c r="E601" s="117" t="s">
        <v>2625</v>
      </c>
      <c r="F601" s="117"/>
      <c r="G601" s="117" t="s">
        <v>43</v>
      </c>
      <c r="H601" s="117" t="s">
        <v>1</v>
      </c>
      <c r="I601"/>
      <c r="J601"/>
      <c r="K601" s="117" t="s">
        <v>105</v>
      </c>
      <c r="L601">
        <v>3</v>
      </c>
      <c r="M601" s="117" t="s">
        <v>110</v>
      </c>
      <c r="N601" s="117" t="s">
        <v>10</v>
      </c>
      <c r="O601" s="117" t="s">
        <v>51</v>
      </c>
      <c r="P601" s="117" t="s">
        <v>40</v>
      </c>
      <c r="Q601" s="139">
        <v>20000661</v>
      </c>
      <c r="R601" s="117" t="s">
        <v>78</v>
      </c>
      <c r="S601" s="117" t="s">
        <v>109</v>
      </c>
      <c r="T601" s="117" t="s">
        <v>109</v>
      </c>
      <c r="U601" s="117" t="s">
        <v>128</v>
      </c>
      <c r="V601" s="12">
        <f>+IFERROR(IF(VLOOKUP(Q601,COMISIONES!$C$2:$K$33,9,0)&gt;=VLOOKUP(TC!Q601,COMISIONES!$C$2:$I$33,7,0),1,0),0)</f>
        <v>1</v>
      </c>
      <c r="W601" s="262">
        <f>+IF(H601="Segunda",VLOOKUP(_xlfn.CONCAT(P601,G601,H601,V601),'PUNTOS 2021'!$E$23:$F$30,2,0),TC!L601)</f>
        <v>3</v>
      </c>
      <c r="X601" s="67">
        <f>+VLOOKUP(Q601,COMISIONES!$C$2:$AO$33,39,0)</f>
        <v>60</v>
      </c>
      <c r="Y601" s="67">
        <f t="shared" si="9"/>
        <v>180</v>
      </c>
      <c r="Z601" s="58" t="s">
        <v>80</v>
      </c>
      <c r="AA601" s="13">
        <f>+VLOOKUP(Q601,COMISIONES!$C$2:$C$33,1,0)</f>
        <v>20000661</v>
      </c>
      <c r="AB601" s="13" t="s">
        <v>269</v>
      </c>
    </row>
    <row r="602" spans="1:28" hidden="1">
      <c r="A602" s="117" t="s">
        <v>821</v>
      </c>
      <c r="B602" s="138">
        <v>45165</v>
      </c>
      <c r="C602" s="117" t="s">
        <v>2626</v>
      </c>
      <c r="D602" s="117" t="s">
        <v>2627</v>
      </c>
      <c r="E602" s="117" t="s">
        <v>2628</v>
      </c>
      <c r="F602" s="117"/>
      <c r="G602" s="117" t="s">
        <v>44</v>
      </c>
      <c r="H602" s="117" t="s">
        <v>1</v>
      </c>
      <c r="I602"/>
      <c r="J602"/>
      <c r="K602" s="117" t="s">
        <v>105</v>
      </c>
      <c r="L602">
        <v>5</v>
      </c>
      <c r="M602" s="117" t="s">
        <v>127</v>
      </c>
      <c r="N602" s="117" t="s">
        <v>16</v>
      </c>
      <c r="O602" s="117" t="s">
        <v>49</v>
      </c>
      <c r="P602" s="117" t="s">
        <v>40</v>
      </c>
      <c r="Q602" s="139">
        <v>20002708</v>
      </c>
      <c r="R602" s="117" t="s">
        <v>78</v>
      </c>
      <c r="S602" s="117" t="s">
        <v>109</v>
      </c>
      <c r="T602" s="117" t="s">
        <v>109</v>
      </c>
      <c r="U602" s="117" t="s">
        <v>128</v>
      </c>
      <c r="V602" s="12">
        <f>+IFERROR(IF(VLOOKUP(Q602,COMISIONES!$C$2:$K$33,9,0)&gt;=VLOOKUP(TC!Q602,COMISIONES!$C$2:$I$33,7,0),1,0),0)</f>
        <v>0</v>
      </c>
      <c r="W602" s="262">
        <f>+IF(H602="Segunda",VLOOKUP(_xlfn.CONCAT(P602,G602,H602,V602),'PUNTOS 2021'!$E$23:$F$30,2,0),TC!L602)</f>
        <v>5</v>
      </c>
      <c r="X602" s="67">
        <f>+VLOOKUP(Q602,COMISIONES!$C$2:$AO$33,39,0)</f>
        <v>60</v>
      </c>
      <c r="Y602" s="67">
        <f t="shared" si="9"/>
        <v>300</v>
      </c>
      <c r="Z602" s="58" t="s">
        <v>80</v>
      </c>
      <c r="AA602" s="13">
        <f>+VLOOKUP(Q602,COMISIONES!$C$2:$C$33,1,0)</f>
        <v>20002708</v>
      </c>
      <c r="AB602" s="13" t="s">
        <v>269</v>
      </c>
    </row>
    <row r="603" spans="1:28">
      <c r="A603" s="117" t="s">
        <v>821</v>
      </c>
      <c r="B603" s="138">
        <v>45165</v>
      </c>
      <c r="C603" s="117" t="s">
        <v>2629</v>
      </c>
      <c r="D603" s="117" t="s">
        <v>2630</v>
      </c>
      <c r="E603" s="117" t="s">
        <v>2631</v>
      </c>
      <c r="F603" s="117"/>
      <c r="G603" s="117" t="s">
        <v>45</v>
      </c>
      <c r="H603" s="117" t="s">
        <v>2</v>
      </c>
      <c r="I603"/>
      <c r="J603"/>
      <c r="K603" s="117" t="s">
        <v>105</v>
      </c>
      <c r="L603">
        <v>2</v>
      </c>
      <c r="M603" s="117" t="s">
        <v>111</v>
      </c>
      <c r="N603" s="117" t="s">
        <v>14</v>
      </c>
      <c r="O603" s="117" t="s">
        <v>50</v>
      </c>
      <c r="P603" s="117" t="s">
        <v>40</v>
      </c>
      <c r="Q603" s="139">
        <v>20006360</v>
      </c>
      <c r="R603" s="117" t="s">
        <v>78</v>
      </c>
      <c r="S603" s="117" t="s">
        <v>109</v>
      </c>
      <c r="T603" s="117" t="s">
        <v>109</v>
      </c>
      <c r="U603" s="117" t="s">
        <v>128</v>
      </c>
      <c r="V603" s="12">
        <f>+IFERROR(IF(VLOOKUP(Q603,COMISIONES!$C$2:$K$33,9,0)&gt;=VLOOKUP(TC!Q603,COMISIONES!$C$2:$I$33,7,0),1,0),0)</f>
        <v>0</v>
      </c>
      <c r="W603" s="262">
        <f>+IF(H603="Segunda",VLOOKUP(_xlfn.CONCAT(P603,G603,H603,V603),'PUNTOS 2021'!$E$23:$F$30,2,0),TC!L603)</f>
        <v>0.5</v>
      </c>
      <c r="X603" s="67">
        <f>+VLOOKUP(Q603,COMISIONES!$C$2:$AO$33,39,0)</f>
        <v>40</v>
      </c>
      <c r="Y603" s="67">
        <f t="shared" si="9"/>
        <v>20</v>
      </c>
      <c r="Z603" s="58" t="s">
        <v>80</v>
      </c>
      <c r="AA603" s="13">
        <f>+VLOOKUP(Q603,COMISIONES!$C$2:$C$33,1,0)</f>
        <v>20006360</v>
      </c>
      <c r="AB603" s="13" t="s">
        <v>269</v>
      </c>
    </row>
    <row r="604" spans="1:28" hidden="1">
      <c r="A604" s="117" t="s">
        <v>821</v>
      </c>
      <c r="B604" s="138">
        <v>45165</v>
      </c>
      <c r="C604" s="117" t="s">
        <v>2632</v>
      </c>
      <c r="D604" s="117" t="s">
        <v>2633</v>
      </c>
      <c r="E604" s="117" t="s">
        <v>2634</v>
      </c>
      <c r="F604" s="117"/>
      <c r="G604" s="117" t="s">
        <v>44</v>
      </c>
      <c r="H604" s="117" t="s">
        <v>48</v>
      </c>
      <c r="I604"/>
      <c r="J604"/>
      <c r="K604" s="117" t="s">
        <v>105</v>
      </c>
      <c r="L604">
        <v>0</v>
      </c>
      <c r="M604" s="117" t="s">
        <v>120</v>
      </c>
      <c r="N604" s="117" t="s">
        <v>21</v>
      </c>
      <c r="O604" s="117" t="s">
        <v>50</v>
      </c>
      <c r="P604" s="117" t="s">
        <v>40</v>
      </c>
      <c r="Q604" s="139">
        <v>20008711</v>
      </c>
      <c r="R604" s="117" t="s">
        <v>78</v>
      </c>
      <c r="S604" s="117" t="s">
        <v>107</v>
      </c>
      <c r="T604" s="117" t="s">
        <v>48</v>
      </c>
      <c r="U604" s="117" t="s">
        <v>128</v>
      </c>
      <c r="V604" s="12">
        <f>+IFERROR(IF(VLOOKUP(Q604,COMISIONES!$C$2:$K$33,9,0)&gt;=VLOOKUP(TC!Q604,COMISIONES!$C$2:$I$33,7,0),1,0),0)</f>
        <v>0</v>
      </c>
      <c r="W604" s="262">
        <f>+IF(H604="Segunda",VLOOKUP(_xlfn.CONCAT(P604,G604,H604,V604),'PUNTOS 2021'!$E$23:$F$30,2,0),TC!L604)</f>
        <v>0</v>
      </c>
      <c r="X604" s="67">
        <f>+VLOOKUP(Q604,COMISIONES!$C$2:$AO$33,39,0)</f>
        <v>60</v>
      </c>
      <c r="Y604" s="67">
        <f t="shared" si="9"/>
        <v>0</v>
      </c>
      <c r="Z604" s="58" t="s">
        <v>80</v>
      </c>
      <c r="AA604" s="13">
        <f>+VLOOKUP(Q604,COMISIONES!$C$2:$C$33,1,0)</f>
        <v>20008711</v>
      </c>
      <c r="AB604" s="13" t="s">
        <v>269</v>
      </c>
    </row>
    <row r="605" spans="1:28" hidden="1">
      <c r="A605" s="117" t="s">
        <v>821</v>
      </c>
      <c r="B605" s="138">
        <v>45165</v>
      </c>
      <c r="C605" s="117" t="s">
        <v>2635</v>
      </c>
      <c r="D605" s="117" t="s">
        <v>2636</v>
      </c>
      <c r="E605" s="117" t="s">
        <v>2637</v>
      </c>
      <c r="F605" s="117"/>
      <c r="G605" s="117" t="s">
        <v>44</v>
      </c>
      <c r="H605" s="117" t="s">
        <v>1</v>
      </c>
      <c r="I605"/>
      <c r="J605"/>
      <c r="K605" s="117" t="s">
        <v>105</v>
      </c>
      <c r="L605">
        <v>5</v>
      </c>
      <c r="M605" s="117" t="s">
        <v>159</v>
      </c>
      <c r="N605" s="117" t="s">
        <v>227</v>
      </c>
      <c r="O605" s="117" t="s">
        <v>49</v>
      </c>
      <c r="P605" s="117" t="s">
        <v>40</v>
      </c>
      <c r="Q605" s="139">
        <v>20009690</v>
      </c>
      <c r="R605" s="117" t="s">
        <v>78</v>
      </c>
      <c r="S605" s="117" t="s">
        <v>109</v>
      </c>
      <c r="T605" s="117" t="s">
        <v>109</v>
      </c>
      <c r="U605" s="117" t="s">
        <v>128</v>
      </c>
      <c r="V605" s="12">
        <f>+IFERROR(IF(VLOOKUP(Q605,COMISIONES!$C$2:$K$33,9,0)&gt;=VLOOKUP(TC!Q605,COMISIONES!$C$2:$I$33,7,0),1,0),0)</f>
        <v>0</v>
      </c>
      <c r="W605" s="262">
        <f>+IF(H605="Segunda",VLOOKUP(_xlfn.CONCAT(P605,G605,H605,V605),'PUNTOS 2021'!$E$23:$F$30,2,0),TC!L605)</f>
        <v>5</v>
      </c>
      <c r="X605" s="67">
        <f>+VLOOKUP(Q605,COMISIONES!$C$2:$AO$33,39,0)</f>
        <v>45</v>
      </c>
      <c r="Y605" s="67">
        <f t="shared" si="9"/>
        <v>225</v>
      </c>
      <c r="Z605" s="58" t="s">
        <v>80</v>
      </c>
      <c r="AA605" s="13">
        <f>+VLOOKUP(Q605,COMISIONES!$C$2:$C$33,1,0)</f>
        <v>20009690</v>
      </c>
      <c r="AB605" s="13" t="s">
        <v>269</v>
      </c>
    </row>
    <row r="606" spans="1:28" hidden="1">
      <c r="A606" s="117" t="s">
        <v>821</v>
      </c>
      <c r="B606" s="138">
        <v>45165</v>
      </c>
      <c r="C606" s="117" t="s">
        <v>2638</v>
      </c>
      <c r="D606" s="117" t="s">
        <v>2639</v>
      </c>
      <c r="E606" s="117" t="s">
        <v>2640</v>
      </c>
      <c r="F606" s="117"/>
      <c r="G606" s="117" t="s">
        <v>44</v>
      </c>
      <c r="H606" s="117" t="s">
        <v>1</v>
      </c>
      <c r="I606"/>
      <c r="J606"/>
      <c r="K606" s="117" t="s">
        <v>105</v>
      </c>
      <c r="L606">
        <v>5</v>
      </c>
      <c r="M606" s="117" t="s">
        <v>256</v>
      </c>
      <c r="N606" s="117" t="s">
        <v>236</v>
      </c>
      <c r="O606" s="117" t="s">
        <v>49</v>
      </c>
      <c r="P606" s="117" t="s">
        <v>40</v>
      </c>
      <c r="Q606" s="139">
        <v>20010101</v>
      </c>
      <c r="R606" s="117" t="s">
        <v>78</v>
      </c>
      <c r="S606" s="117" t="s">
        <v>109</v>
      </c>
      <c r="T606" s="117" t="s">
        <v>109</v>
      </c>
      <c r="U606" s="117" t="s">
        <v>128</v>
      </c>
      <c r="V606" s="12">
        <f>+IFERROR(IF(VLOOKUP(Q606,COMISIONES!$C$2:$K$33,9,0)&gt;=VLOOKUP(TC!Q606,COMISIONES!$C$2:$I$33,7,0),1,0),0)</f>
        <v>0</v>
      </c>
      <c r="W606" s="262">
        <f>+IF(H606="Segunda",VLOOKUP(_xlfn.CONCAT(P606,G606,H606,V606),'PUNTOS 2021'!$E$23:$F$30,2,0),TC!L606)</f>
        <v>5</v>
      </c>
      <c r="X606" s="67">
        <f>+VLOOKUP(Q606,COMISIONES!$C$2:$AO$33,39,0)</f>
        <v>65</v>
      </c>
      <c r="Y606" s="67">
        <f t="shared" si="9"/>
        <v>325</v>
      </c>
      <c r="Z606" s="58" t="s">
        <v>80</v>
      </c>
      <c r="AA606" s="13">
        <f>+VLOOKUP(Q606,COMISIONES!$C$2:$C$33,1,0)</f>
        <v>20010101</v>
      </c>
      <c r="AB606" s="13" t="s">
        <v>269</v>
      </c>
    </row>
    <row r="607" spans="1:28" hidden="1">
      <c r="A607" s="117" t="s">
        <v>821</v>
      </c>
      <c r="B607" s="138">
        <v>45165</v>
      </c>
      <c r="C607" s="117" t="s">
        <v>2641</v>
      </c>
      <c r="D607" s="117" t="s">
        <v>2642</v>
      </c>
      <c r="E607" s="117" t="s">
        <v>2643</v>
      </c>
      <c r="F607" s="117"/>
      <c r="G607" s="117" t="s">
        <v>44</v>
      </c>
      <c r="H607" s="117" t="s">
        <v>1</v>
      </c>
      <c r="I607"/>
      <c r="J607"/>
      <c r="K607" s="117" t="s">
        <v>105</v>
      </c>
      <c r="L607">
        <v>5</v>
      </c>
      <c r="M607" s="117" t="s">
        <v>159</v>
      </c>
      <c r="N607" s="117" t="s">
        <v>227</v>
      </c>
      <c r="O607" s="117" t="s">
        <v>49</v>
      </c>
      <c r="P607" s="117" t="s">
        <v>40</v>
      </c>
      <c r="Q607" s="139">
        <v>20009690</v>
      </c>
      <c r="R607" s="117" t="s">
        <v>78</v>
      </c>
      <c r="S607" s="117" t="s">
        <v>109</v>
      </c>
      <c r="T607" s="117" t="s">
        <v>109</v>
      </c>
      <c r="U607" s="117" t="s">
        <v>128</v>
      </c>
      <c r="V607" s="12">
        <f>+IFERROR(IF(VLOOKUP(Q607,COMISIONES!$C$2:$K$33,9,0)&gt;=VLOOKUP(TC!Q607,COMISIONES!$C$2:$I$33,7,0),1,0),0)</f>
        <v>0</v>
      </c>
      <c r="W607" s="262">
        <f>+IF(H607="Segunda",VLOOKUP(_xlfn.CONCAT(P607,G607,H607,V607),'PUNTOS 2021'!$E$23:$F$30,2,0),TC!L607)</f>
        <v>5</v>
      </c>
      <c r="X607" s="67">
        <f>+VLOOKUP(Q607,COMISIONES!$C$2:$AO$33,39,0)</f>
        <v>45</v>
      </c>
      <c r="Y607" s="67">
        <f t="shared" si="9"/>
        <v>225</v>
      </c>
      <c r="Z607" s="58" t="s">
        <v>80</v>
      </c>
      <c r="AA607" s="13">
        <f>+VLOOKUP(Q607,COMISIONES!$C$2:$C$33,1,0)</f>
        <v>20009690</v>
      </c>
      <c r="AB607" s="13" t="s">
        <v>269</v>
      </c>
    </row>
    <row r="608" spans="1:28" hidden="1">
      <c r="A608" s="117" t="s">
        <v>821</v>
      </c>
      <c r="B608" s="138">
        <v>45165</v>
      </c>
      <c r="C608" s="117" t="s">
        <v>2644</v>
      </c>
      <c r="D608" s="117" t="s">
        <v>2645</v>
      </c>
      <c r="E608" s="117" t="s">
        <v>2646</v>
      </c>
      <c r="F608" s="117"/>
      <c r="G608" s="117" t="s">
        <v>45</v>
      </c>
      <c r="H608" s="117" t="s">
        <v>1</v>
      </c>
      <c r="I608"/>
      <c r="J608"/>
      <c r="K608" s="117" t="s">
        <v>105</v>
      </c>
      <c r="L608">
        <v>7</v>
      </c>
      <c r="M608" s="117" t="s">
        <v>256</v>
      </c>
      <c r="N608" s="117" t="s">
        <v>236</v>
      </c>
      <c r="O608" s="117" t="s">
        <v>49</v>
      </c>
      <c r="P608" s="117" t="s">
        <v>40</v>
      </c>
      <c r="Q608" s="139">
        <v>20010101</v>
      </c>
      <c r="R608" s="117" t="s">
        <v>78</v>
      </c>
      <c r="S608" s="117" t="s">
        <v>109</v>
      </c>
      <c r="T608" s="117" t="s">
        <v>109</v>
      </c>
      <c r="U608" s="117" t="s">
        <v>128</v>
      </c>
      <c r="V608" s="12">
        <f>+IFERROR(IF(VLOOKUP(Q608,COMISIONES!$C$2:$K$33,9,0)&gt;=VLOOKUP(TC!Q608,COMISIONES!$C$2:$I$33,7,0),1,0),0)</f>
        <v>0</v>
      </c>
      <c r="W608" s="262">
        <f>+IF(H608="Segunda",VLOOKUP(_xlfn.CONCAT(P608,G608,H608,V608),'PUNTOS 2021'!$E$23:$F$30,2,0),TC!L608)</f>
        <v>7</v>
      </c>
      <c r="X608" s="67">
        <f>+VLOOKUP(Q608,COMISIONES!$C$2:$AO$33,39,0)</f>
        <v>65</v>
      </c>
      <c r="Y608" s="67">
        <f t="shared" si="9"/>
        <v>455</v>
      </c>
      <c r="Z608" s="58" t="s">
        <v>80</v>
      </c>
      <c r="AA608" s="13">
        <f>+VLOOKUP(Q608,COMISIONES!$C$2:$C$33,1,0)</f>
        <v>20010101</v>
      </c>
      <c r="AB608" s="13" t="s">
        <v>269</v>
      </c>
    </row>
    <row r="609" spans="1:28" hidden="1">
      <c r="A609" s="117" t="s">
        <v>821</v>
      </c>
      <c r="B609" s="138">
        <v>45165</v>
      </c>
      <c r="C609" s="117" t="s">
        <v>2647</v>
      </c>
      <c r="D609" s="117" t="s">
        <v>2648</v>
      </c>
      <c r="E609" s="117" t="s">
        <v>2649</v>
      </c>
      <c r="F609" s="117"/>
      <c r="G609" s="117" t="s">
        <v>44</v>
      </c>
      <c r="H609" s="117" t="s">
        <v>1</v>
      </c>
      <c r="I609"/>
      <c r="J609"/>
      <c r="K609" s="117" t="s">
        <v>105</v>
      </c>
      <c r="L609">
        <v>5</v>
      </c>
      <c r="M609" s="117" t="s">
        <v>106</v>
      </c>
      <c r="N609" s="117" t="s">
        <v>8</v>
      </c>
      <c r="O609" s="117" t="s">
        <v>51</v>
      </c>
      <c r="P609" s="117" t="s">
        <v>40</v>
      </c>
      <c r="Q609" s="139">
        <v>20002636</v>
      </c>
      <c r="R609" s="117" t="s">
        <v>78</v>
      </c>
      <c r="S609" s="117" t="s">
        <v>109</v>
      </c>
      <c r="T609" s="117" t="s">
        <v>109</v>
      </c>
      <c r="U609" s="117" t="s">
        <v>128</v>
      </c>
      <c r="V609" s="12">
        <f>+IFERROR(IF(VLOOKUP(Q609,COMISIONES!$C$2:$K$33,9,0)&gt;=VLOOKUP(TC!Q609,COMISIONES!$C$2:$I$33,7,0),1,0),0)</f>
        <v>0</v>
      </c>
      <c r="W609" s="262">
        <f>+IF(H609="Segunda",VLOOKUP(_xlfn.CONCAT(P609,G609,H609,V609),'PUNTOS 2021'!$E$23:$F$30,2,0),TC!L609)</f>
        <v>5</v>
      </c>
      <c r="X609" s="67">
        <f>+VLOOKUP(Q609,COMISIONES!$C$2:$AO$33,39,0)</f>
        <v>40</v>
      </c>
      <c r="Y609" s="67">
        <f t="shared" si="9"/>
        <v>200</v>
      </c>
      <c r="Z609" s="58" t="s">
        <v>80</v>
      </c>
      <c r="AA609" s="13">
        <f>+VLOOKUP(Q609,COMISIONES!$C$2:$C$33,1,0)</f>
        <v>20002636</v>
      </c>
      <c r="AB609" s="13" t="s">
        <v>269</v>
      </c>
    </row>
    <row r="610" spans="1:28" hidden="1">
      <c r="A610" s="117" t="s">
        <v>821</v>
      </c>
      <c r="B610" s="138">
        <v>45165</v>
      </c>
      <c r="C610" s="117" t="s">
        <v>2650</v>
      </c>
      <c r="D610" s="117" t="s">
        <v>2651</v>
      </c>
      <c r="E610" s="117" t="s">
        <v>2652</v>
      </c>
      <c r="F610" s="117"/>
      <c r="G610" s="117" t="s">
        <v>44</v>
      </c>
      <c r="H610" s="117" t="s">
        <v>1</v>
      </c>
      <c r="I610"/>
      <c r="J610"/>
      <c r="K610" s="117" t="s">
        <v>105</v>
      </c>
      <c r="L610">
        <v>5</v>
      </c>
      <c r="M610" s="117" t="s">
        <v>1946</v>
      </c>
      <c r="N610" s="117" t="s">
        <v>1947</v>
      </c>
      <c r="O610" s="117" t="s">
        <v>51</v>
      </c>
      <c r="P610" s="117" t="s">
        <v>40</v>
      </c>
      <c r="Q610" s="139">
        <v>20010766</v>
      </c>
      <c r="R610" s="117" t="s">
        <v>78</v>
      </c>
      <c r="S610" s="117" t="s">
        <v>109</v>
      </c>
      <c r="T610" s="117" t="s">
        <v>109</v>
      </c>
      <c r="U610" s="117" t="s">
        <v>128</v>
      </c>
      <c r="V610" s="12">
        <f>+IFERROR(IF(VLOOKUP(Q610,COMISIONES!$C$2:$K$33,9,0)&gt;=VLOOKUP(TC!Q610,COMISIONES!$C$2:$I$33,7,0),1,0),0)</f>
        <v>0</v>
      </c>
      <c r="W610" s="262">
        <f>+IF(H610="Segunda",VLOOKUP(_xlfn.CONCAT(P610,G610,H610,V610),'PUNTOS 2021'!$E$23:$F$30,2,0),TC!L610)</f>
        <v>5</v>
      </c>
      <c r="X610" s="67">
        <f>+VLOOKUP(Q610,COMISIONES!$C$2:$AO$33,39,0)</f>
        <v>20</v>
      </c>
      <c r="Y610" s="67">
        <f t="shared" si="9"/>
        <v>100</v>
      </c>
      <c r="Z610" s="58" t="s">
        <v>80</v>
      </c>
      <c r="AA610" s="13">
        <f>+VLOOKUP(Q610,COMISIONES!$C$2:$C$33,1,0)</f>
        <v>20010766</v>
      </c>
      <c r="AB610" s="13" t="s">
        <v>269</v>
      </c>
    </row>
    <row r="611" spans="1:28">
      <c r="A611" s="117" t="s">
        <v>821</v>
      </c>
      <c r="B611" s="138">
        <v>45165</v>
      </c>
      <c r="C611" s="117" t="s">
        <v>2653</v>
      </c>
      <c r="D611" s="117" t="s">
        <v>2654</v>
      </c>
      <c r="E611" s="117" t="s">
        <v>2655</v>
      </c>
      <c r="F611" s="117"/>
      <c r="G611" s="117" t="s">
        <v>43</v>
      </c>
      <c r="H611" s="117" t="s">
        <v>2</v>
      </c>
      <c r="I611"/>
      <c r="J611"/>
      <c r="K611" s="117" t="s">
        <v>105</v>
      </c>
      <c r="L611">
        <v>1</v>
      </c>
      <c r="M611" s="117" t="s">
        <v>106</v>
      </c>
      <c r="N611" s="117" t="s">
        <v>8</v>
      </c>
      <c r="O611" s="117" t="s">
        <v>51</v>
      </c>
      <c r="P611" s="117" t="s">
        <v>40</v>
      </c>
      <c r="Q611" s="139">
        <v>20002636</v>
      </c>
      <c r="R611" s="117" t="s">
        <v>78</v>
      </c>
      <c r="S611" s="117" t="s">
        <v>109</v>
      </c>
      <c r="T611" s="117" t="s">
        <v>109</v>
      </c>
      <c r="U611" s="117" t="s">
        <v>128</v>
      </c>
      <c r="V611" s="12">
        <f>+IFERROR(IF(VLOOKUP(Q611,COMISIONES!$C$2:$K$33,9,0)&gt;=VLOOKUP(TC!Q611,COMISIONES!$C$2:$I$33,7,0),1,0),0)</f>
        <v>0</v>
      </c>
      <c r="W611" s="262">
        <f>+IF(H611="Segunda",VLOOKUP(_xlfn.CONCAT(P611,G611,H611,V611),'PUNTOS 2021'!$E$23:$F$30,2,0),TC!L611)</f>
        <v>0.5</v>
      </c>
      <c r="X611" s="67">
        <f>+VLOOKUP(Q611,COMISIONES!$C$2:$AO$33,39,0)</f>
        <v>40</v>
      </c>
      <c r="Y611" s="67">
        <f t="shared" si="9"/>
        <v>20</v>
      </c>
      <c r="Z611" s="58" t="s">
        <v>80</v>
      </c>
      <c r="AA611" s="13">
        <f>+VLOOKUP(Q611,COMISIONES!$C$2:$C$33,1,0)</f>
        <v>20002636</v>
      </c>
      <c r="AB611" s="13" t="s">
        <v>269</v>
      </c>
    </row>
    <row r="612" spans="1:28">
      <c r="A612" s="117" t="s">
        <v>821</v>
      </c>
      <c r="B612" s="138">
        <v>45165</v>
      </c>
      <c r="C612" s="117" t="s">
        <v>2656</v>
      </c>
      <c r="D612" s="117" t="s">
        <v>2657</v>
      </c>
      <c r="E612" s="117" t="s">
        <v>2658</v>
      </c>
      <c r="F612" s="117"/>
      <c r="G612" s="117" t="s">
        <v>45</v>
      </c>
      <c r="H612" s="117" t="s">
        <v>2</v>
      </c>
      <c r="I612"/>
      <c r="J612"/>
      <c r="K612" s="117" t="s">
        <v>105</v>
      </c>
      <c r="L612">
        <v>2</v>
      </c>
      <c r="M612" s="117" t="s">
        <v>110</v>
      </c>
      <c r="N612" s="117" t="s">
        <v>10</v>
      </c>
      <c r="O612" s="117" t="s">
        <v>51</v>
      </c>
      <c r="P612" s="117" t="s">
        <v>40</v>
      </c>
      <c r="Q612" s="139">
        <v>20000661</v>
      </c>
      <c r="R612" s="117" t="s">
        <v>78</v>
      </c>
      <c r="S612" s="117" t="s">
        <v>109</v>
      </c>
      <c r="T612" s="117" t="s">
        <v>109</v>
      </c>
      <c r="U612" s="117" t="s">
        <v>128</v>
      </c>
      <c r="V612" s="12">
        <f>+IFERROR(IF(VLOOKUP(Q612,COMISIONES!$C$2:$K$33,9,0)&gt;=VLOOKUP(TC!Q612,COMISIONES!$C$2:$I$33,7,0),1,0),0)</f>
        <v>1</v>
      </c>
      <c r="W612" s="262">
        <f>+IF(H612="Segunda",VLOOKUP(_xlfn.CONCAT(P612,G612,H612,V612),'PUNTOS 2021'!$E$23:$F$30,2,0),TC!L612)</f>
        <v>2</v>
      </c>
      <c r="X612" s="67">
        <f>+VLOOKUP(Q612,COMISIONES!$C$2:$AO$33,39,0)</f>
        <v>60</v>
      </c>
      <c r="Y612" s="67">
        <f t="shared" si="9"/>
        <v>120</v>
      </c>
      <c r="Z612" s="58" t="s">
        <v>80</v>
      </c>
      <c r="AA612" s="13">
        <f>+VLOOKUP(Q612,COMISIONES!$C$2:$C$33,1,0)</f>
        <v>20000661</v>
      </c>
      <c r="AB612" s="13" t="s">
        <v>269</v>
      </c>
    </row>
    <row r="613" spans="1:28" hidden="1">
      <c r="A613" s="117" t="s">
        <v>821</v>
      </c>
      <c r="B613" s="138">
        <v>45165</v>
      </c>
      <c r="C613" s="117" t="s">
        <v>2659</v>
      </c>
      <c r="D613" s="117" t="s">
        <v>2660</v>
      </c>
      <c r="E613" s="117" t="s">
        <v>2661</v>
      </c>
      <c r="F613" s="117"/>
      <c r="G613" s="117" t="s">
        <v>45</v>
      </c>
      <c r="H613" s="117" t="s">
        <v>1</v>
      </c>
      <c r="I613"/>
      <c r="J613"/>
      <c r="K613" s="117" t="s">
        <v>105</v>
      </c>
      <c r="L613">
        <v>7</v>
      </c>
      <c r="M613" s="117" t="s">
        <v>125</v>
      </c>
      <c r="N613" s="117" t="s">
        <v>18</v>
      </c>
      <c r="O613" s="117" t="s">
        <v>50</v>
      </c>
      <c r="P613" s="117" t="s">
        <v>40</v>
      </c>
      <c r="Q613" s="139">
        <v>20008439</v>
      </c>
      <c r="R613" s="117" t="s">
        <v>78</v>
      </c>
      <c r="S613" s="117" t="s">
        <v>109</v>
      </c>
      <c r="T613" s="117" t="s">
        <v>109</v>
      </c>
      <c r="U613" s="117" t="s">
        <v>128</v>
      </c>
      <c r="V613" s="12">
        <f>+IFERROR(IF(VLOOKUP(Q613,COMISIONES!$C$2:$K$33,9,0)&gt;=VLOOKUP(TC!Q613,COMISIONES!$C$2:$I$33,7,0),1,0),0)</f>
        <v>1</v>
      </c>
      <c r="W613" s="262">
        <f>+IF(H613="Segunda",VLOOKUP(_xlfn.CONCAT(P613,G613,H613,V613),'PUNTOS 2021'!$E$23:$F$30,2,0),TC!L613)</f>
        <v>7</v>
      </c>
      <c r="X613" s="67">
        <f>+VLOOKUP(Q613,COMISIONES!$C$2:$AO$33,39,0)</f>
        <v>60</v>
      </c>
      <c r="Y613" s="67">
        <f t="shared" si="9"/>
        <v>420</v>
      </c>
      <c r="Z613" s="58" t="s">
        <v>80</v>
      </c>
      <c r="AA613" s="13">
        <f>+VLOOKUP(Q613,COMISIONES!$C$2:$C$33,1,0)</f>
        <v>20008439</v>
      </c>
      <c r="AB613" s="13" t="s">
        <v>269</v>
      </c>
    </row>
    <row r="614" spans="1:28" hidden="1">
      <c r="A614" s="117" t="s">
        <v>821</v>
      </c>
      <c r="B614" s="138">
        <v>45165</v>
      </c>
      <c r="C614" s="117" t="s">
        <v>2662</v>
      </c>
      <c r="D614" s="117" t="s">
        <v>2663</v>
      </c>
      <c r="E614" s="117" t="s">
        <v>2664</v>
      </c>
      <c r="F614" s="117"/>
      <c r="G614" s="117" t="s">
        <v>43</v>
      </c>
      <c r="H614" s="117" t="s">
        <v>1</v>
      </c>
      <c r="I614"/>
      <c r="J614"/>
      <c r="K614" s="117" t="s">
        <v>105</v>
      </c>
      <c r="L614">
        <v>3</v>
      </c>
      <c r="M614" s="117" t="s">
        <v>119</v>
      </c>
      <c r="N614" s="117" t="s">
        <v>22</v>
      </c>
      <c r="O614" s="117" t="s">
        <v>52</v>
      </c>
      <c r="P614" s="117" t="s">
        <v>40</v>
      </c>
      <c r="Q614" s="139">
        <v>20009174</v>
      </c>
      <c r="R614" s="117" t="s">
        <v>78</v>
      </c>
      <c r="S614" s="117" t="s">
        <v>109</v>
      </c>
      <c r="T614" s="117" t="s">
        <v>109</v>
      </c>
      <c r="U614" s="117" t="s">
        <v>128</v>
      </c>
      <c r="V614" s="12">
        <f>+IFERROR(IF(VLOOKUP(Q614,COMISIONES!$C$2:$K$33,9,0)&gt;=VLOOKUP(TC!Q614,COMISIONES!$C$2:$I$33,7,0),1,0),0)</f>
        <v>0</v>
      </c>
      <c r="W614" s="262">
        <f>+IF(H614="Segunda",VLOOKUP(_xlfn.CONCAT(P614,G614,H614,V614),'PUNTOS 2021'!$E$23:$F$30,2,0),TC!L614)</f>
        <v>3</v>
      </c>
      <c r="X614" s="67">
        <f>+VLOOKUP(Q614,COMISIONES!$C$2:$AO$33,39,0)</f>
        <v>60</v>
      </c>
      <c r="Y614" s="67">
        <f t="shared" si="9"/>
        <v>180</v>
      </c>
      <c r="Z614" s="58" t="s">
        <v>80</v>
      </c>
      <c r="AA614" s="13">
        <f>+VLOOKUP(Q614,COMISIONES!$C$2:$C$33,1,0)</f>
        <v>20009174</v>
      </c>
      <c r="AB614" s="13" t="s">
        <v>269</v>
      </c>
    </row>
    <row r="615" spans="1:28">
      <c r="A615" s="117" t="s">
        <v>821</v>
      </c>
      <c r="B615" s="138">
        <v>45165</v>
      </c>
      <c r="C615" s="117" t="s">
        <v>2665</v>
      </c>
      <c r="D615" s="117" t="s">
        <v>2666</v>
      </c>
      <c r="E615" s="117" t="s">
        <v>2667</v>
      </c>
      <c r="F615" s="117"/>
      <c r="G615" s="117" t="s">
        <v>45</v>
      </c>
      <c r="H615" s="117" t="s">
        <v>2</v>
      </c>
      <c r="I615"/>
      <c r="J615"/>
      <c r="K615" s="117" t="s">
        <v>105</v>
      </c>
      <c r="L615">
        <v>2</v>
      </c>
      <c r="M615" s="117" t="s">
        <v>260</v>
      </c>
      <c r="N615" s="117" t="s">
        <v>261</v>
      </c>
      <c r="O615" s="117" t="s">
        <v>52</v>
      </c>
      <c r="P615" s="117" t="s">
        <v>40</v>
      </c>
      <c r="Q615" s="139">
        <v>20010262</v>
      </c>
      <c r="R615" s="117" t="s">
        <v>78</v>
      </c>
      <c r="S615" s="117" t="s">
        <v>109</v>
      </c>
      <c r="T615" s="117" t="s">
        <v>109</v>
      </c>
      <c r="U615" s="117" t="s">
        <v>128</v>
      </c>
      <c r="V615" s="12">
        <f>+IFERROR(IF(VLOOKUP(Q615,COMISIONES!$C$2:$K$33,9,0)&gt;=VLOOKUP(TC!Q615,COMISIONES!$C$2:$I$33,7,0),1,0),0)</f>
        <v>0</v>
      </c>
      <c r="W615" s="262">
        <f>+IF(H615="Segunda",VLOOKUP(_xlfn.CONCAT(P615,G615,H615,V615),'PUNTOS 2021'!$E$23:$F$30,2,0),TC!L615)</f>
        <v>0.5</v>
      </c>
      <c r="X615" s="67">
        <f>+VLOOKUP(Q615,COMISIONES!$C$2:$AO$33,39,0)</f>
        <v>60</v>
      </c>
      <c r="Y615" s="67">
        <f t="shared" si="9"/>
        <v>30</v>
      </c>
      <c r="Z615" s="58" t="s">
        <v>80</v>
      </c>
      <c r="AA615" s="13">
        <f>+VLOOKUP(Q615,COMISIONES!$C$2:$C$33,1,0)</f>
        <v>20010262</v>
      </c>
      <c r="AB615" s="13" t="s">
        <v>269</v>
      </c>
    </row>
    <row r="616" spans="1:28">
      <c r="A616" s="117" t="s">
        <v>821</v>
      </c>
      <c r="B616" s="138">
        <v>45165</v>
      </c>
      <c r="C616" s="117" t="s">
        <v>2668</v>
      </c>
      <c r="D616" s="117" t="s">
        <v>2669</v>
      </c>
      <c r="E616" s="117" t="s">
        <v>2670</v>
      </c>
      <c r="F616" s="117"/>
      <c r="G616" s="117" t="s">
        <v>45</v>
      </c>
      <c r="H616" s="117" t="s">
        <v>2</v>
      </c>
      <c r="I616"/>
      <c r="J616"/>
      <c r="K616" s="117" t="s">
        <v>105</v>
      </c>
      <c r="L616">
        <v>2</v>
      </c>
      <c r="M616" s="117" t="s">
        <v>260</v>
      </c>
      <c r="N616" s="117" t="s">
        <v>261</v>
      </c>
      <c r="O616" s="117" t="s">
        <v>52</v>
      </c>
      <c r="P616" s="117" t="s">
        <v>40</v>
      </c>
      <c r="Q616" s="139">
        <v>20010262</v>
      </c>
      <c r="R616" s="117" t="s">
        <v>78</v>
      </c>
      <c r="S616" s="117" t="s">
        <v>109</v>
      </c>
      <c r="T616" s="117" t="s">
        <v>109</v>
      </c>
      <c r="U616" s="117" t="s">
        <v>128</v>
      </c>
      <c r="V616" s="12">
        <f>+IFERROR(IF(VLOOKUP(Q616,COMISIONES!$C$2:$K$33,9,0)&gt;=VLOOKUP(TC!Q616,COMISIONES!$C$2:$I$33,7,0),1,0),0)</f>
        <v>0</v>
      </c>
      <c r="W616" s="262">
        <f>+IF(H616="Segunda",VLOOKUP(_xlfn.CONCAT(P616,G616,H616,V616),'PUNTOS 2021'!$E$23:$F$30,2,0),TC!L616)</f>
        <v>0.5</v>
      </c>
      <c r="X616" s="67">
        <f>+VLOOKUP(Q616,COMISIONES!$C$2:$AO$33,39,0)</f>
        <v>60</v>
      </c>
      <c r="Y616" s="67">
        <f t="shared" si="9"/>
        <v>30</v>
      </c>
      <c r="Z616" s="58" t="s">
        <v>80</v>
      </c>
      <c r="AA616" s="13">
        <f>+VLOOKUP(Q616,COMISIONES!$C$2:$C$33,1,0)</f>
        <v>20010262</v>
      </c>
      <c r="AB616" s="13" t="s">
        <v>269</v>
      </c>
    </row>
    <row r="617" spans="1:28" hidden="1">
      <c r="A617" s="117" t="s">
        <v>821</v>
      </c>
      <c r="B617" s="138">
        <v>45165</v>
      </c>
      <c r="C617" s="117" t="s">
        <v>2671</v>
      </c>
      <c r="D617" s="117" t="s">
        <v>2672</v>
      </c>
      <c r="E617" s="117" t="s">
        <v>2673</v>
      </c>
      <c r="F617" s="117"/>
      <c r="G617" s="117" t="s">
        <v>44</v>
      </c>
      <c r="H617" s="117" t="s">
        <v>1</v>
      </c>
      <c r="I617"/>
      <c r="J617"/>
      <c r="K617" s="117" t="s">
        <v>105</v>
      </c>
      <c r="L617">
        <v>5</v>
      </c>
      <c r="M617" s="117" t="s">
        <v>161</v>
      </c>
      <c r="N617" s="117" t="s">
        <v>158</v>
      </c>
      <c r="O617" s="117" t="s">
        <v>50</v>
      </c>
      <c r="P617" s="117" t="s">
        <v>40</v>
      </c>
      <c r="Q617" s="139">
        <v>20006162</v>
      </c>
      <c r="R617" s="117" t="s">
        <v>78</v>
      </c>
      <c r="S617" s="117" t="s">
        <v>109</v>
      </c>
      <c r="T617" s="117" t="s">
        <v>109</v>
      </c>
      <c r="U617" s="117" t="s">
        <v>128</v>
      </c>
      <c r="V617" s="12">
        <f>+IFERROR(IF(VLOOKUP(Q617,COMISIONES!$C$2:$K$33,9,0)&gt;=VLOOKUP(TC!Q617,COMISIONES!$C$2:$I$33,7,0),1,0),0)</f>
        <v>0</v>
      </c>
      <c r="W617" s="262">
        <f>+IF(H617="Segunda",VLOOKUP(_xlfn.CONCAT(P617,G617,H617,V617),'PUNTOS 2021'!$E$23:$F$30,2,0),TC!L617)</f>
        <v>5</v>
      </c>
      <c r="X617" s="67">
        <f>+VLOOKUP(Q617,COMISIONES!$C$2:$AO$33,39,0)</f>
        <v>60</v>
      </c>
      <c r="Y617" s="67">
        <f t="shared" si="9"/>
        <v>300</v>
      </c>
      <c r="Z617" s="58" t="s">
        <v>80</v>
      </c>
      <c r="AA617" s="13">
        <f>+VLOOKUP(Q617,COMISIONES!$C$2:$C$33,1,0)</f>
        <v>20006162</v>
      </c>
      <c r="AB617" s="13" t="s">
        <v>269</v>
      </c>
    </row>
    <row r="618" spans="1:28" hidden="1">
      <c r="A618" s="117" t="s">
        <v>821</v>
      </c>
      <c r="B618" s="138">
        <v>45165</v>
      </c>
      <c r="C618" s="117" t="s">
        <v>2674</v>
      </c>
      <c r="D618" s="117" t="s">
        <v>2675</v>
      </c>
      <c r="E618" s="117" t="s">
        <v>2676</v>
      </c>
      <c r="F618" s="117"/>
      <c r="G618" s="117" t="s">
        <v>43</v>
      </c>
      <c r="H618" s="117" t="s">
        <v>1</v>
      </c>
      <c r="I618"/>
      <c r="J618"/>
      <c r="K618" s="117" t="s">
        <v>105</v>
      </c>
      <c r="L618">
        <v>3</v>
      </c>
      <c r="M618" s="117" t="s">
        <v>257</v>
      </c>
      <c r="N618" s="117" t="s">
        <v>15</v>
      </c>
      <c r="O618" s="117" t="s">
        <v>52</v>
      </c>
      <c r="P618" s="117" t="s">
        <v>40</v>
      </c>
      <c r="Q618" s="139">
        <v>20005527</v>
      </c>
      <c r="R618" s="117" t="s">
        <v>78</v>
      </c>
      <c r="S618" s="117" t="s">
        <v>109</v>
      </c>
      <c r="T618" s="117" t="s">
        <v>109</v>
      </c>
      <c r="U618" s="117" t="s">
        <v>128</v>
      </c>
      <c r="V618" s="12">
        <f>+IFERROR(IF(VLOOKUP(Q618,COMISIONES!$C$2:$K$33,9,0)&gt;=VLOOKUP(TC!Q618,COMISIONES!$C$2:$I$33,7,0),1,0),0)</f>
        <v>0</v>
      </c>
      <c r="W618" s="262">
        <f>+IF(H618="Segunda",VLOOKUP(_xlfn.CONCAT(P618,G618,H618,V618),'PUNTOS 2021'!$E$23:$F$30,2,0),TC!L618)</f>
        <v>3</v>
      </c>
      <c r="X618" s="67">
        <f>+VLOOKUP(Q618,COMISIONES!$C$2:$AO$33,39,0)</f>
        <v>40</v>
      </c>
      <c r="Y618" s="67">
        <f t="shared" si="9"/>
        <v>120</v>
      </c>
      <c r="Z618" s="58" t="s">
        <v>80</v>
      </c>
      <c r="AA618" s="13">
        <f>+VLOOKUP(Q618,COMISIONES!$C$2:$C$33,1,0)</f>
        <v>20005527</v>
      </c>
      <c r="AB618" s="13" t="s">
        <v>269</v>
      </c>
    </row>
    <row r="619" spans="1:28" hidden="1">
      <c r="A619" s="117" t="s">
        <v>821</v>
      </c>
      <c r="B619" s="138">
        <v>45165</v>
      </c>
      <c r="C619" s="117" t="s">
        <v>2677</v>
      </c>
      <c r="D619" s="117" t="s">
        <v>2678</v>
      </c>
      <c r="E619" s="117" t="s">
        <v>2679</v>
      </c>
      <c r="F619" s="117"/>
      <c r="G619" s="117" t="s">
        <v>44</v>
      </c>
      <c r="H619" s="117" t="s">
        <v>1</v>
      </c>
      <c r="I619"/>
      <c r="J619"/>
      <c r="K619" s="117" t="s">
        <v>105</v>
      </c>
      <c r="L619">
        <v>5</v>
      </c>
      <c r="M619" s="117" t="s">
        <v>114</v>
      </c>
      <c r="N619" s="117" t="s">
        <v>19</v>
      </c>
      <c r="O619" s="117" t="s">
        <v>49</v>
      </c>
      <c r="P619" s="117" t="s">
        <v>40</v>
      </c>
      <c r="Q619" s="139">
        <v>20008625</v>
      </c>
      <c r="R619" s="117" t="s">
        <v>78</v>
      </c>
      <c r="S619" s="117" t="s">
        <v>109</v>
      </c>
      <c r="T619" s="117" t="s">
        <v>109</v>
      </c>
      <c r="U619" s="117" t="s">
        <v>128</v>
      </c>
      <c r="V619" s="12">
        <f>+IFERROR(IF(VLOOKUP(Q619,COMISIONES!$C$2:$K$33,9,0)&gt;=VLOOKUP(TC!Q619,COMISIONES!$C$2:$I$33,7,0),1,0),0)</f>
        <v>0</v>
      </c>
      <c r="W619" s="262">
        <f>+IF(H619="Segunda",VLOOKUP(_xlfn.CONCAT(P619,G619,H619,V619),'PUNTOS 2021'!$E$23:$F$30,2,0),TC!L619)</f>
        <v>5</v>
      </c>
      <c r="X619" s="67">
        <f>+VLOOKUP(Q619,COMISIONES!$C$2:$AO$33,39,0)</f>
        <v>20</v>
      </c>
      <c r="Y619" s="67">
        <f t="shared" si="9"/>
        <v>100</v>
      </c>
      <c r="Z619" s="58" t="s">
        <v>80</v>
      </c>
      <c r="AA619" s="13">
        <f>+VLOOKUP(Q619,COMISIONES!$C$2:$C$33,1,0)</f>
        <v>20008625</v>
      </c>
      <c r="AB619" s="13" t="s">
        <v>269</v>
      </c>
    </row>
    <row r="620" spans="1:28" hidden="1">
      <c r="A620" s="117" t="s">
        <v>821</v>
      </c>
      <c r="B620" s="138">
        <v>45165</v>
      </c>
      <c r="C620" s="117" t="s">
        <v>2680</v>
      </c>
      <c r="D620" s="117" t="s">
        <v>2681</v>
      </c>
      <c r="E620" s="117" t="s">
        <v>2682</v>
      </c>
      <c r="F620" s="117"/>
      <c r="G620" s="117" t="s">
        <v>44</v>
      </c>
      <c r="H620" s="117" t="s">
        <v>1</v>
      </c>
      <c r="I620"/>
      <c r="J620"/>
      <c r="K620" s="117" t="s">
        <v>105</v>
      </c>
      <c r="L620">
        <v>5</v>
      </c>
      <c r="M620" s="117" t="s">
        <v>110</v>
      </c>
      <c r="N620" s="117" t="s">
        <v>10</v>
      </c>
      <c r="O620" s="117" t="s">
        <v>51</v>
      </c>
      <c r="P620" s="117" t="s">
        <v>40</v>
      </c>
      <c r="Q620" s="139">
        <v>20000661</v>
      </c>
      <c r="R620" s="117" t="s">
        <v>78</v>
      </c>
      <c r="S620" s="117" t="s">
        <v>109</v>
      </c>
      <c r="T620" s="117" t="s">
        <v>109</v>
      </c>
      <c r="U620" s="117" t="s">
        <v>128</v>
      </c>
      <c r="V620" s="12">
        <f>+IFERROR(IF(VLOOKUP(Q620,COMISIONES!$C$2:$K$33,9,0)&gt;=VLOOKUP(TC!Q620,COMISIONES!$C$2:$I$33,7,0),1,0),0)</f>
        <v>1</v>
      </c>
      <c r="W620" s="262">
        <f>+IF(H620="Segunda",VLOOKUP(_xlfn.CONCAT(P620,G620,H620,V620),'PUNTOS 2021'!$E$23:$F$30,2,0),TC!L620)</f>
        <v>5</v>
      </c>
      <c r="X620" s="67">
        <f>+VLOOKUP(Q620,COMISIONES!$C$2:$AO$33,39,0)</f>
        <v>60</v>
      </c>
      <c r="Y620" s="67">
        <f t="shared" si="9"/>
        <v>300</v>
      </c>
      <c r="Z620" s="58" t="s">
        <v>80</v>
      </c>
      <c r="AA620" s="13">
        <f>+VLOOKUP(Q620,COMISIONES!$C$2:$C$33,1,0)</f>
        <v>20000661</v>
      </c>
      <c r="AB620" s="13" t="s">
        <v>269</v>
      </c>
    </row>
    <row r="621" spans="1:28" hidden="1">
      <c r="A621" s="117" t="s">
        <v>821</v>
      </c>
      <c r="B621" s="138">
        <v>45165</v>
      </c>
      <c r="C621" s="117" t="s">
        <v>2683</v>
      </c>
      <c r="D621" s="117" t="s">
        <v>2684</v>
      </c>
      <c r="E621" s="117" t="s">
        <v>2685</v>
      </c>
      <c r="F621" s="117"/>
      <c r="G621" s="117" t="s">
        <v>44</v>
      </c>
      <c r="H621" s="117" t="s">
        <v>1</v>
      </c>
      <c r="I621"/>
      <c r="J621"/>
      <c r="K621" s="117" t="s">
        <v>105</v>
      </c>
      <c r="L621">
        <v>5</v>
      </c>
      <c r="M621" s="117" t="s">
        <v>115</v>
      </c>
      <c r="N621" s="117" t="s">
        <v>6</v>
      </c>
      <c r="O621" s="117" t="s">
        <v>51</v>
      </c>
      <c r="P621" s="117" t="s">
        <v>40</v>
      </c>
      <c r="Q621" s="139">
        <v>20001487</v>
      </c>
      <c r="R621" s="117" t="s">
        <v>78</v>
      </c>
      <c r="S621" s="117" t="s">
        <v>109</v>
      </c>
      <c r="T621" s="117" t="s">
        <v>109</v>
      </c>
      <c r="U621" s="117" t="s">
        <v>128</v>
      </c>
      <c r="V621" s="12">
        <f>+IFERROR(IF(VLOOKUP(Q621,COMISIONES!$C$2:$K$33,9,0)&gt;=VLOOKUP(TC!Q621,COMISIONES!$C$2:$I$33,7,0),1,0),0)</f>
        <v>1</v>
      </c>
      <c r="W621" s="262">
        <f>+IF(H621="Segunda",VLOOKUP(_xlfn.CONCAT(P621,G621,H621,V621),'PUNTOS 2021'!$E$23:$F$30,2,0),TC!L621)</f>
        <v>5</v>
      </c>
      <c r="X621" s="67">
        <f>+VLOOKUP(Q621,COMISIONES!$C$2:$AO$33,39,0)</f>
        <v>65</v>
      </c>
      <c r="Y621" s="67">
        <f t="shared" si="9"/>
        <v>325</v>
      </c>
      <c r="Z621" s="58" t="s">
        <v>80</v>
      </c>
      <c r="AA621" s="13">
        <f>+VLOOKUP(Q621,COMISIONES!$C$2:$C$33,1,0)</f>
        <v>20001487</v>
      </c>
      <c r="AB621" s="13" t="s">
        <v>269</v>
      </c>
    </row>
    <row r="622" spans="1:28">
      <c r="A622" s="117" t="s">
        <v>821</v>
      </c>
      <c r="B622" s="138">
        <v>45165</v>
      </c>
      <c r="C622" s="117" t="s">
        <v>2686</v>
      </c>
      <c r="D622" s="117" t="s">
        <v>2687</v>
      </c>
      <c r="E622" s="117" t="s">
        <v>2688</v>
      </c>
      <c r="F622" s="117"/>
      <c r="G622" s="117" t="s">
        <v>45</v>
      </c>
      <c r="H622" s="117" t="s">
        <v>2</v>
      </c>
      <c r="I622"/>
      <c r="J622"/>
      <c r="K622" s="117" t="s">
        <v>105</v>
      </c>
      <c r="L622">
        <v>2</v>
      </c>
      <c r="M622" s="117" t="s">
        <v>112</v>
      </c>
      <c r="N622" s="117" t="s">
        <v>9</v>
      </c>
      <c r="O622" s="117" t="s">
        <v>51</v>
      </c>
      <c r="P622" s="117" t="s">
        <v>40</v>
      </c>
      <c r="Q622" s="139">
        <v>20004638</v>
      </c>
      <c r="R622" s="117" t="s">
        <v>78</v>
      </c>
      <c r="S622" s="117" t="s">
        <v>109</v>
      </c>
      <c r="T622" s="117" t="s">
        <v>109</v>
      </c>
      <c r="U622" s="117" t="s">
        <v>128</v>
      </c>
      <c r="V622" s="12">
        <f>+IFERROR(IF(VLOOKUP(Q622,COMISIONES!$C$2:$K$33,9,0)&gt;=VLOOKUP(TC!Q622,COMISIONES!$C$2:$I$33,7,0),1,0),0)</f>
        <v>0</v>
      </c>
      <c r="W622" s="262">
        <f>+IF(H622="Segunda",VLOOKUP(_xlfn.CONCAT(P622,G622,H622,V622),'PUNTOS 2021'!$E$23:$F$30,2,0),TC!L622)</f>
        <v>0.5</v>
      </c>
      <c r="X622" s="67">
        <f>+VLOOKUP(Q622,COMISIONES!$C$2:$AO$33,39,0)</f>
        <v>60</v>
      </c>
      <c r="Y622" s="67">
        <f t="shared" si="9"/>
        <v>30</v>
      </c>
      <c r="Z622" s="58" t="s">
        <v>80</v>
      </c>
      <c r="AA622" s="13">
        <f>+VLOOKUP(Q622,COMISIONES!$C$2:$C$33,1,0)</f>
        <v>20004638</v>
      </c>
      <c r="AB622" s="13" t="s">
        <v>269</v>
      </c>
    </row>
    <row r="623" spans="1:28" hidden="1">
      <c r="A623" s="117" t="s">
        <v>821</v>
      </c>
      <c r="B623" s="138">
        <v>45165</v>
      </c>
      <c r="C623" s="117" t="s">
        <v>2689</v>
      </c>
      <c r="D623" s="117" t="s">
        <v>2690</v>
      </c>
      <c r="E623" s="117" t="s">
        <v>2691</v>
      </c>
      <c r="F623" s="117"/>
      <c r="G623" s="117" t="s">
        <v>45</v>
      </c>
      <c r="H623" s="117" t="s">
        <v>1</v>
      </c>
      <c r="I623"/>
      <c r="J623"/>
      <c r="K623" s="117" t="s">
        <v>105</v>
      </c>
      <c r="L623">
        <v>7</v>
      </c>
      <c r="M623" s="117" t="s">
        <v>260</v>
      </c>
      <c r="N623" s="117" t="s">
        <v>261</v>
      </c>
      <c r="O623" s="117" t="s">
        <v>52</v>
      </c>
      <c r="P623" s="117" t="s">
        <v>40</v>
      </c>
      <c r="Q623" s="139">
        <v>20010262</v>
      </c>
      <c r="R623" s="117" t="s">
        <v>78</v>
      </c>
      <c r="S623" s="117" t="s">
        <v>109</v>
      </c>
      <c r="T623" s="117" t="s">
        <v>109</v>
      </c>
      <c r="U623" s="117" t="s">
        <v>128</v>
      </c>
      <c r="V623" s="12">
        <f>+IFERROR(IF(VLOOKUP(Q623,COMISIONES!$C$2:$K$33,9,0)&gt;=VLOOKUP(TC!Q623,COMISIONES!$C$2:$I$33,7,0),1,0),0)</f>
        <v>0</v>
      </c>
      <c r="W623" s="262">
        <f>+IF(H623="Segunda",VLOOKUP(_xlfn.CONCAT(P623,G623,H623,V623),'PUNTOS 2021'!$E$23:$F$30,2,0),TC!L623)</f>
        <v>7</v>
      </c>
      <c r="X623" s="67">
        <f>+VLOOKUP(Q623,COMISIONES!$C$2:$AO$33,39,0)</f>
        <v>60</v>
      </c>
      <c r="Y623" s="67">
        <f t="shared" ref="Y623:Y683" si="10">X623*W623</f>
        <v>420</v>
      </c>
      <c r="Z623" s="58" t="s">
        <v>80</v>
      </c>
      <c r="AA623" s="13">
        <f>+VLOOKUP(Q623,COMISIONES!$C$2:$C$33,1,0)</f>
        <v>20010262</v>
      </c>
      <c r="AB623" s="13" t="s">
        <v>269</v>
      </c>
    </row>
    <row r="624" spans="1:28" hidden="1">
      <c r="A624" s="117" t="s">
        <v>821</v>
      </c>
      <c r="B624" s="138">
        <v>45165</v>
      </c>
      <c r="C624" s="117" t="s">
        <v>2692</v>
      </c>
      <c r="D624" s="117" t="s">
        <v>2693</v>
      </c>
      <c r="E624" s="117" t="s">
        <v>2694</v>
      </c>
      <c r="F624" s="117"/>
      <c r="G624" s="117" t="s">
        <v>44</v>
      </c>
      <c r="H624" s="117" t="s">
        <v>1</v>
      </c>
      <c r="I624"/>
      <c r="J624"/>
      <c r="K624" s="117" t="s">
        <v>105</v>
      </c>
      <c r="L624">
        <v>5</v>
      </c>
      <c r="M624" s="117" t="s">
        <v>161</v>
      </c>
      <c r="N624" s="117" t="s">
        <v>158</v>
      </c>
      <c r="O624" s="117" t="s">
        <v>50</v>
      </c>
      <c r="P624" s="117" t="s">
        <v>40</v>
      </c>
      <c r="Q624" s="139">
        <v>20006162</v>
      </c>
      <c r="R624" s="117" t="s">
        <v>78</v>
      </c>
      <c r="S624" s="117" t="s">
        <v>109</v>
      </c>
      <c r="T624" s="117" t="s">
        <v>109</v>
      </c>
      <c r="U624" s="117" t="s">
        <v>128</v>
      </c>
      <c r="V624" s="12">
        <f>+IFERROR(IF(VLOOKUP(Q624,COMISIONES!$C$2:$K$33,9,0)&gt;=VLOOKUP(TC!Q624,COMISIONES!$C$2:$I$33,7,0),1,0),0)</f>
        <v>0</v>
      </c>
      <c r="W624" s="262">
        <f>+IF(H624="Segunda",VLOOKUP(_xlfn.CONCAT(P624,G624,H624,V624),'PUNTOS 2021'!$E$23:$F$30,2,0),TC!L624)</f>
        <v>5</v>
      </c>
      <c r="X624" s="67">
        <f>+VLOOKUP(Q624,COMISIONES!$C$2:$AO$33,39,0)</f>
        <v>60</v>
      </c>
      <c r="Y624" s="67">
        <f t="shared" si="10"/>
        <v>300</v>
      </c>
      <c r="Z624" s="58" t="s">
        <v>80</v>
      </c>
      <c r="AA624" s="13">
        <f>+VLOOKUP(Q624,COMISIONES!$C$2:$C$33,1,0)</f>
        <v>20006162</v>
      </c>
      <c r="AB624" s="13" t="s">
        <v>269</v>
      </c>
    </row>
    <row r="625" spans="1:28" hidden="1">
      <c r="A625" s="117" t="s">
        <v>821</v>
      </c>
      <c r="B625" s="138">
        <v>45165</v>
      </c>
      <c r="C625" s="117" t="s">
        <v>2695</v>
      </c>
      <c r="D625" s="117" t="s">
        <v>2696</v>
      </c>
      <c r="E625" s="117" t="s">
        <v>2697</v>
      </c>
      <c r="F625" s="117"/>
      <c r="G625" s="117" t="s">
        <v>45</v>
      </c>
      <c r="H625" s="117" t="s">
        <v>1</v>
      </c>
      <c r="I625"/>
      <c r="J625"/>
      <c r="K625" s="117" t="s">
        <v>105</v>
      </c>
      <c r="L625">
        <v>7</v>
      </c>
      <c r="M625" s="117" t="s">
        <v>121</v>
      </c>
      <c r="N625" s="117" t="s">
        <v>3</v>
      </c>
      <c r="O625" s="117" t="s">
        <v>49</v>
      </c>
      <c r="P625" s="117" t="s">
        <v>40</v>
      </c>
      <c r="Q625" s="139">
        <v>20004161</v>
      </c>
      <c r="R625" s="117" t="s">
        <v>78</v>
      </c>
      <c r="S625" s="117" t="s">
        <v>109</v>
      </c>
      <c r="T625" s="117" t="s">
        <v>109</v>
      </c>
      <c r="U625" s="117" t="s">
        <v>128</v>
      </c>
      <c r="V625" s="12">
        <f>+IFERROR(IF(VLOOKUP(Q625,COMISIONES!$C$2:$K$33,9,0)&gt;=VLOOKUP(TC!Q625,COMISIONES!$C$2:$I$33,7,0),1,0),0)</f>
        <v>1</v>
      </c>
      <c r="W625" s="262">
        <f>+IF(H625="Segunda",VLOOKUP(_xlfn.CONCAT(P625,G625,H625,V625),'PUNTOS 2021'!$E$23:$F$30,2,0),TC!L625)</f>
        <v>7</v>
      </c>
      <c r="X625" s="67">
        <f>+VLOOKUP(Q625,COMISIONES!$C$2:$AO$33,39,0)</f>
        <v>65</v>
      </c>
      <c r="Y625" s="67">
        <f t="shared" si="10"/>
        <v>455</v>
      </c>
      <c r="Z625" s="58" t="s">
        <v>80</v>
      </c>
      <c r="AA625" s="13">
        <f>+VLOOKUP(Q625,COMISIONES!$C$2:$C$33,1,0)</f>
        <v>20004161</v>
      </c>
      <c r="AB625" s="13" t="s">
        <v>269</v>
      </c>
    </row>
    <row r="626" spans="1:28" hidden="1">
      <c r="A626" s="117" t="s">
        <v>821</v>
      </c>
      <c r="B626" s="138">
        <v>45165</v>
      </c>
      <c r="C626" s="117" t="s">
        <v>2698</v>
      </c>
      <c r="D626" s="117" t="s">
        <v>2699</v>
      </c>
      <c r="E626" s="117" t="s">
        <v>2700</v>
      </c>
      <c r="F626" s="117"/>
      <c r="G626" s="117" t="s">
        <v>45</v>
      </c>
      <c r="H626" s="117" t="s">
        <v>1</v>
      </c>
      <c r="I626"/>
      <c r="J626"/>
      <c r="K626" s="117" t="s">
        <v>105</v>
      </c>
      <c r="L626">
        <v>7</v>
      </c>
      <c r="M626" s="117" t="s">
        <v>111</v>
      </c>
      <c r="N626" s="117" t="s">
        <v>14</v>
      </c>
      <c r="O626" s="117" t="s">
        <v>50</v>
      </c>
      <c r="P626" s="117" t="s">
        <v>40</v>
      </c>
      <c r="Q626" s="139">
        <v>20006360</v>
      </c>
      <c r="R626" s="117" t="s">
        <v>78</v>
      </c>
      <c r="S626" s="117" t="s">
        <v>109</v>
      </c>
      <c r="T626" s="117" t="s">
        <v>109</v>
      </c>
      <c r="U626" s="117" t="s">
        <v>128</v>
      </c>
      <c r="V626" s="12">
        <f>+IFERROR(IF(VLOOKUP(Q626,COMISIONES!$C$2:$K$33,9,0)&gt;=VLOOKUP(TC!Q626,COMISIONES!$C$2:$I$33,7,0),1,0),0)</f>
        <v>0</v>
      </c>
      <c r="W626" s="262">
        <f>+IF(H626="Segunda",VLOOKUP(_xlfn.CONCAT(P626,G626,H626,V626),'PUNTOS 2021'!$E$23:$F$30,2,0),TC!L626)</f>
        <v>7</v>
      </c>
      <c r="X626" s="67">
        <f>+VLOOKUP(Q626,COMISIONES!$C$2:$AO$33,39,0)</f>
        <v>40</v>
      </c>
      <c r="Y626" s="67">
        <f t="shared" si="10"/>
        <v>280</v>
      </c>
      <c r="Z626" s="58" t="s">
        <v>80</v>
      </c>
      <c r="AA626" s="13">
        <f>+VLOOKUP(Q626,COMISIONES!$C$2:$C$33,1,0)</f>
        <v>20006360</v>
      </c>
      <c r="AB626" s="13" t="s">
        <v>269</v>
      </c>
    </row>
    <row r="627" spans="1:28" hidden="1">
      <c r="A627" s="117" t="s">
        <v>821</v>
      </c>
      <c r="B627" s="138">
        <v>45165</v>
      </c>
      <c r="C627" s="117" t="s">
        <v>2701</v>
      </c>
      <c r="D627" s="117" t="s">
        <v>2702</v>
      </c>
      <c r="E627" s="117" t="s">
        <v>2703</v>
      </c>
      <c r="F627" s="117"/>
      <c r="G627" s="117" t="s">
        <v>43</v>
      </c>
      <c r="H627" s="117" t="s">
        <v>1</v>
      </c>
      <c r="I627"/>
      <c r="J627"/>
      <c r="K627" s="117" t="s">
        <v>105</v>
      </c>
      <c r="L627">
        <v>3</v>
      </c>
      <c r="M627" s="117" t="s">
        <v>124</v>
      </c>
      <c r="N627" s="117" t="s">
        <v>17</v>
      </c>
      <c r="O627" s="117" t="s">
        <v>52</v>
      </c>
      <c r="P627" s="117" t="s">
        <v>40</v>
      </c>
      <c r="Q627" s="139">
        <v>20006233</v>
      </c>
      <c r="R627" s="117" t="s">
        <v>78</v>
      </c>
      <c r="S627" s="117" t="s">
        <v>109</v>
      </c>
      <c r="T627" s="117" t="s">
        <v>109</v>
      </c>
      <c r="U627" s="117" t="s">
        <v>128</v>
      </c>
      <c r="V627" s="12">
        <f>+IFERROR(IF(VLOOKUP(Q627,COMISIONES!$C$2:$K$33,9,0)&gt;=VLOOKUP(TC!Q627,COMISIONES!$C$2:$I$33,7,0),1,0),0)</f>
        <v>0</v>
      </c>
      <c r="W627" s="262">
        <f>+IF(H627="Segunda",VLOOKUP(_xlfn.CONCAT(P627,G627,H627,V627),'PUNTOS 2021'!$E$23:$F$30,2,0),TC!L627)</f>
        <v>3</v>
      </c>
      <c r="X627" s="67">
        <f>+VLOOKUP(Q627,COMISIONES!$C$2:$AO$33,39,0)</f>
        <v>40</v>
      </c>
      <c r="Y627" s="67">
        <f t="shared" si="10"/>
        <v>120</v>
      </c>
      <c r="Z627" s="58" t="s">
        <v>80</v>
      </c>
      <c r="AA627" s="13">
        <f>+VLOOKUP(Q627,COMISIONES!$C$2:$C$33,1,0)</f>
        <v>20006233</v>
      </c>
      <c r="AB627" s="13" t="s">
        <v>269</v>
      </c>
    </row>
    <row r="628" spans="1:28" hidden="1">
      <c r="A628" s="117" t="s">
        <v>821</v>
      </c>
      <c r="B628" s="138">
        <v>45165</v>
      </c>
      <c r="C628" s="117" t="s">
        <v>2704</v>
      </c>
      <c r="D628" s="117" t="s">
        <v>2705</v>
      </c>
      <c r="E628" s="117" t="s">
        <v>2706</v>
      </c>
      <c r="F628" s="117"/>
      <c r="G628" s="117" t="s">
        <v>43</v>
      </c>
      <c r="H628" s="117" t="s">
        <v>1</v>
      </c>
      <c r="I628"/>
      <c r="J628"/>
      <c r="K628" s="117" t="s">
        <v>105</v>
      </c>
      <c r="L628">
        <v>3</v>
      </c>
      <c r="M628" s="117" t="s">
        <v>125</v>
      </c>
      <c r="N628" s="117" t="s">
        <v>18</v>
      </c>
      <c r="O628" s="117" t="s">
        <v>50</v>
      </c>
      <c r="P628" s="117" t="s">
        <v>40</v>
      </c>
      <c r="Q628" s="139">
        <v>20008439</v>
      </c>
      <c r="R628" s="117" t="s">
        <v>78</v>
      </c>
      <c r="S628" s="117" t="s">
        <v>109</v>
      </c>
      <c r="T628" s="117" t="s">
        <v>109</v>
      </c>
      <c r="U628" s="117" t="s">
        <v>128</v>
      </c>
      <c r="V628" s="12">
        <f>+IFERROR(IF(VLOOKUP(Q628,COMISIONES!$C$2:$K$33,9,0)&gt;=VLOOKUP(TC!Q628,COMISIONES!$C$2:$I$33,7,0),1,0),0)</f>
        <v>1</v>
      </c>
      <c r="W628" s="262">
        <f>+IF(H628="Segunda",VLOOKUP(_xlfn.CONCAT(P628,G628,H628,V628),'PUNTOS 2021'!$E$23:$F$30,2,0),TC!L628)</f>
        <v>3</v>
      </c>
      <c r="X628" s="67">
        <f>+VLOOKUP(Q628,COMISIONES!$C$2:$AO$33,39,0)</f>
        <v>60</v>
      </c>
      <c r="Y628" s="67">
        <f t="shared" si="10"/>
        <v>180</v>
      </c>
      <c r="Z628" s="58" t="s">
        <v>80</v>
      </c>
      <c r="AA628" s="13">
        <f>+VLOOKUP(Q628,COMISIONES!$C$2:$C$33,1,0)</f>
        <v>20008439</v>
      </c>
      <c r="AB628" s="13" t="s">
        <v>269</v>
      </c>
    </row>
    <row r="629" spans="1:28" hidden="1">
      <c r="A629" s="117" t="s">
        <v>821</v>
      </c>
      <c r="B629" s="138">
        <v>45165</v>
      </c>
      <c r="C629" s="117" t="s">
        <v>2707</v>
      </c>
      <c r="D629" s="117" t="s">
        <v>2708</v>
      </c>
      <c r="E629" s="117" t="s">
        <v>2709</v>
      </c>
      <c r="F629" s="117"/>
      <c r="G629" s="117" t="s">
        <v>43</v>
      </c>
      <c r="H629" s="117" t="s">
        <v>1</v>
      </c>
      <c r="I629"/>
      <c r="J629"/>
      <c r="K629" s="117" t="s">
        <v>105</v>
      </c>
      <c r="L629">
        <v>3</v>
      </c>
      <c r="M629" s="117" t="s">
        <v>121</v>
      </c>
      <c r="N629" s="117" t="s">
        <v>3</v>
      </c>
      <c r="O629" s="117" t="s">
        <v>49</v>
      </c>
      <c r="P629" s="117" t="s">
        <v>40</v>
      </c>
      <c r="Q629" s="139">
        <v>20004161</v>
      </c>
      <c r="R629" s="117" t="s">
        <v>78</v>
      </c>
      <c r="S629" s="117" t="s">
        <v>109</v>
      </c>
      <c r="T629" s="117" t="s">
        <v>109</v>
      </c>
      <c r="U629" s="117" t="s">
        <v>128</v>
      </c>
      <c r="V629" s="12">
        <f>+IFERROR(IF(VLOOKUP(Q629,COMISIONES!$C$2:$K$33,9,0)&gt;=VLOOKUP(TC!Q629,COMISIONES!$C$2:$I$33,7,0),1,0),0)</f>
        <v>1</v>
      </c>
      <c r="W629" s="262">
        <f>+IF(H629="Segunda",VLOOKUP(_xlfn.CONCAT(P629,G629,H629,V629),'PUNTOS 2021'!$E$23:$F$30,2,0),TC!L629)</f>
        <v>3</v>
      </c>
      <c r="X629" s="67">
        <f>+VLOOKUP(Q629,COMISIONES!$C$2:$AO$33,39,0)</f>
        <v>65</v>
      </c>
      <c r="Y629" s="67">
        <f t="shared" si="10"/>
        <v>195</v>
      </c>
      <c r="Z629" s="58" t="s">
        <v>80</v>
      </c>
      <c r="AA629" s="13">
        <f>+VLOOKUP(Q629,COMISIONES!$C$2:$C$33,1,0)</f>
        <v>20004161</v>
      </c>
      <c r="AB629" s="13" t="s">
        <v>269</v>
      </c>
    </row>
    <row r="630" spans="1:28" hidden="1">
      <c r="A630" s="117" t="s">
        <v>821</v>
      </c>
      <c r="B630" s="138">
        <v>45165</v>
      </c>
      <c r="C630" s="117" t="s">
        <v>2710</v>
      </c>
      <c r="D630" s="117" t="s">
        <v>2711</v>
      </c>
      <c r="E630" s="117" t="s">
        <v>2712</v>
      </c>
      <c r="F630" s="117"/>
      <c r="G630" s="117" t="s">
        <v>45</v>
      </c>
      <c r="H630" s="117" t="s">
        <v>1</v>
      </c>
      <c r="I630"/>
      <c r="J630"/>
      <c r="K630" s="117" t="s">
        <v>105</v>
      </c>
      <c r="L630">
        <v>7</v>
      </c>
      <c r="M630" s="117" t="s">
        <v>259</v>
      </c>
      <c r="N630" s="117" t="s">
        <v>20</v>
      </c>
      <c r="O630" s="117" t="s">
        <v>50</v>
      </c>
      <c r="P630" s="117" t="s">
        <v>40</v>
      </c>
      <c r="Q630" s="139">
        <v>20008700</v>
      </c>
      <c r="R630" s="117" t="s">
        <v>78</v>
      </c>
      <c r="S630" s="117" t="s">
        <v>109</v>
      </c>
      <c r="T630" s="117" t="s">
        <v>109</v>
      </c>
      <c r="U630" s="117" t="s">
        <v>128</v>
      </c>
      <c r="V630" s="12">
        <f>+IFERROR(IF(VLOOKUP(Q630,COMISIONES!$C$2:$K$33,9,0)&gt;=VLOOKUP(TC!Q630,COMISIONES!$C$2:$I$33,7,0),1,0),0)</f>
        <v>0</v>
      </c>
      <c r="W630" s="262">
        <f>+IF(H630="Segunda",VLOOKUP(_xlfn.CONCAT(P630,G630,H630,V630),'PUNTOS 2021'!$E$23:$F$30,2,0),TC!L630)</f>
        <v>7</v>
      </c>
      <c r="X630" s="67">
        <f>+VLOOKUP(Q630,COMISIONES!$C$2:$AO$33,39,0)</f>
        <v>40</v>
      </c>
      <c r="Y630" s="67">
        <f t="shared" si="10"/>
        <v>280</v>
      </c>
      <c r="Z630" s="58" t="s">
        <v>80</v>
      </c>
      <c r="AA630" s="13">
        <f>+VLOOKUP(Q630,COMISIONES!$C$2:$C$33,1,0)</f>
        <v>20008700</v>
      </c>
      <c r="AB630" s="13" t="s">
        <v>269</v>
      </c>
    </row>
    <row r="631" spans="1:28" hidden="1">
      <c r="A631" s="117" t="s">
        <v>821</v>
      </c>
      <c r="B631" s="138">
        <v>45165</v>
      </c>
      <c r="C631" s="117" t="s">
        <v>2713</v>
      </c>
      <c r="D631" s="117" t="s">
        <v>2714</v>
      </c>
      <c r="E631" s="117" t="s">
        <v>2715</v>
      </c>
      <c r="F631" s="117"/>
      <c r="G631" s="117" t="s">
        <v>45</v>
      </c>
      <c r="H631" s="117" t="s">
        <v>1</v>
      </c>
      <c r="I631"/>
      <c r="J631"/>
      <c r="K631" s="117" t="s">
        <v>105</v>
      </c>
      <c r="L631">
        <v>7</v>
      </c>
      <c r="M631" s="117" t="s">
        <v>255</v>
      </c>
      <c r="N631" s="117" t="s">
        <v>4</v>
      </c>
      <c r="O631" s="117" t="s">
        <v>51</v>
      </c>
      <c r="P631" s="117" t="s">
        <v>40</v>
      </c>
      <c r="Q631" s="139">
        <v>20000033</v>
      </c>
      <c r="R631" s="117" t="s">
        <v>78</v>
      </c>
      <c r="S631" s="117" t="s">
        <v>109</v>
      </c>
      <c r="T631" s="117" t="s">
        <v>109</v>
      </c>
      <c r="U631" s="117" t="s">
        <v>128</v>
      </c>
      <c r="V631" s="12">
        <f>+IFERROR(IF(VLOOKUP(Q631,COMISIONES!$C$2:$K$33,9,0)&gt;=VLOOKUP(TC!Q631,COMISIONES!$C$2:$I$33,7,0),1,0),0)</f>
        <v>1</v>
      </c>
      <c r="W631" s="262">
        <f>+IF(H631="Segunda",VLOOKUP(_xlfn.CONCAT(P631,G631,H631,V631),'PUNTOS 2021'!$E$23:$F$30,2,0),TC!L631)</f>
        <v>7</v>
      </c>
      <c r="X631" s="67">
        <f>+VLOOKUP(Q631,COMISIONES!$C$2:$AO$33,39,0)</f>
        <v>60</v>
      </c>
      <c r="Y631" s="67">
        <f t="shared" si="10"/>
        <v>420</v>
      </c>
      <c r="Z631" s="58" t="s">
        <v>80</v>
      </c>
      <c r="AA631" s="13">
        <f>+VLOOKUP(Q631,COMISIONES!$C$2:$C$33,1,0)</f>
        <v>20000033</v>
      </c>
      <c r="AB631" s="13" t="s">
        <v>269</v>
      </c>
    </row>
    <row r="632" spans="1:28" hidden="1">
      <c r="A632" s="117" t="s">
        <v>821</v>
      </c>
      <c r="B632" s="138">
        <v>45165</v>
      </c>
      <c r="C632" s="117" t="s">
        <v>2716</v>
      </c>
      <c r="D632" s="117" t="s">
        <v>2717</v>
      </c>
      <c r="E632" s="117" t="s">
        <v>2718</v>
      </c>
      <c r="F632" s="117"/>
      <c r="G632" s="117" t="s">
        <v>44</v>
      </c>
      <c r="H632" s="117" t="s">
        <v>1</v>
      </c>
      <c r="I632"/>
      <c r="J632"/>
      <c r="K632" s="117" t="s">
        <v>105</v>
      </c>
      <c r="L632">
        <v>5</v>
      </c>
      <c r="M632" s="117" t="s">
        <v>272</v>
      </c>
      <c r="N632" s="117" t="s">
        <v>275</v>
      </c>
      <c r="O632" s="117" t="s">
        <v>52</v>
      </c>
      <c r="P632" s="117" t="s">
        <v>40</v>
      </c>
      <c r="Q632" s="139">
        <v>20009688</v>
      </c>
      <c r="R632" s="117" t="s">
        <v>78</v>
      </c>
      <c r="S632" s="117" t="s">
        <v>109</v>
      </c>
      <c r="T632" s="117" t="s">
        <v>109</v>
      </c>
      <c r="U632" s="117" t="s">
        <v>128</v>
      </c>
      <c r="V632" s="12">
        <f>+IFERROR(IF(VLOOKUP(Q632,COMISIONES!$C$2:$K$33,9,0)&gt;=VLOOKUP(TC!Q632,COMISIONES!$C$2:$I$33,7,0),1,0),0)</f>
        <v>0</v>
      </c>
      <c r="W632" s="262">
        <f>+IF(H632="Segunda",VLOOKUP(_xlfn.CONCAT(P632,G632,H632,V632),'PUNTOS 2021'!$E$23:$F$30,2,0),TC!L632)</f>
        <v>5</v>
      </c>
      <c r="X632" s="67">
        <f>+VLOOKUP(Q632,COMISIONES!$C$2:$AO$33,39,0)</f>
        <v>30</v>
      </c>
      <c r="Y632" s="67">
        <f t="shared" si="10"/>
        <v>150</v>
      </c>
      <c r="Z632" s="58" t="s">
        <v>80</v>
      </c>
      <c r="AA632" s="13">
        <f>+VLOOKUP(Q632,COMISIONES!$C$2:$C$33,1,0)</f>
        <v>20009688</v>
      </c>
      <c r="AB632" s="13" t="s">
        <v>269</v>
      </c>
    </row>
    <row r="633" spans="1:28" hidden="1">
      <c r="A633" s="117" t="s">
        <v>821</v>
      </c>
      <c r="B633" s="138">
        <v>45165</v>
      </c>
      <c r="C633" s="117" t="s">
        <v>2719</v>
      </c>
      <c r="D633" s="117" t="s">
        <v>2720</v>
      </c>
      <c r="E633" s="117" t="s">
        <v>2721</v>
      </c>
      <c r="F633" s="117"/>
      <c r="G633" s="117" t="s">
        <v>45</v>
      </c>
      <c r="H633" s="117" t="s">
        <v>1</v>
      </c>
      <c r="I633"/>
      <c r="J633"/>
      <c r="K633" s="117" t="s">
        <v>105</v>
      </c>
      <c r="L633">
        <v>7</v>
      </c>
      <c r="M633" s="117" t="s">
        <v>273</v>
      </c>
      <c r="N633" s="117" t="s">
        <v>292</v>
      </c>
      <c r="O633" s="117" t="s">
        <v>51</v>
      </c>
      <c r="P633" s="117" t="s">
        <v>40</v>
      </c>
      <c r="Q633" s="139">
        <v>20007943</v>
      </c>
      <c r="R633" s="117" t="s">
        <v>78</v>
      </c>
      <c r="S633" s="117" t="s">
        <v>109</v>
      </c>
      <c r="T633" s="117" t="s">
        <v>109</v>
      </c>
      <c r="U633" s="117" t="s">
        <v>128</v>
      </c>
      <c r="V633" s="12">
        <f>+IFERROR(IF(VLOOKUP(Q633,COMISIONES!$C$2:$K$33,9,0)&gt;=VLOOKUP(TC!Q633,COMISIONES!$C$2:$I$33,7,0),1,0),0)</f>
        <v>0</v>
      </c>
      <c r="W633" s="262">
        <f>+IF(H633="Segunda",VLOOKUP(_xlfn.CONCAT(P633,G633,H633,V633),'PUNTOS 2021'!$E$23:$F$30,2,0),TC!L633)</f>
        <v>7</v>
      </c>
      <c r="X633" s="67">
        <f>+VLOOKUP(Q633,COMISIONES!$C$2:$AO$33,39,0)</f>
        <v>20</v>
      </c>
      <c r="Y633" s="67">
        <f t="shared" si="10"/>
        <v>140</v>
      </c>
      <c r="Z633" s="58" t="s">
        <v>80</v>
      </c>
      <c r="AA633" s="13">
        <f>+VLOOKUP(Q633,COMISIONES!$C$2:$C$33,1,0)</f>
        <v>20007943</v>
      </c>
      <c r="AB633" s="13" t="s">
        <v>269</v>
      </c>
    </row>
    <row r="634" spans="1:28" hidden="1">
      <c r="A634" s="117" t="s">
        <v>821</v>
      </c>
      <c r="B634" s="138">
        <v>45165</v>
      </c>
      <c r="C634" s="117" t="s">
        <v>2722</v>
      </c>
      <c r="D634" s="117" t="s">
        <v>2723</v>
      </c>
      <c r="E634" s="117" t="s">
        <v>2724</v>
      </c>
      <c r="F634" s="117"/>
      <c r="G634" s="117" t="s">
        <v>44</v>
      </c>
      <c r="H634" s="117" t="s">
        <v>1</v>
      </c>
      <c r="I634"/>
      <c r="J634"/>
      <c r="K634" s="117" t="s">
        <v>105</v>
      </c>
      <c r="L634">
        <v>5</v>
      </c>
      <c r="M634" s="117" t="s">
        <v>125</v>
      </c>
      <c r="N634" s="117" t="s">
        <v>18</v>
      </c>
      <c r="O634" s="117" t="s">
        <v>50</v>
      </c>
      <c r="P634" s="117" t="s">
        <v>40</v>
      </c>
      <c r="Q634" s="139">
        <v>20008439</v>
      </c>
      <c r="R634" s="117" t="s">
        <v>78</v>
      </c>
      <c r="S634" s="117" t="s">
        <v>109</v>
      </c>
      <c r="T634" s="117" t="s">
        <v>109</v>
      </c>
      <c r="U634" s="117" t="s">
        <v>128</v>
      </c>
      <c r="V634" s="12">
        <f>+IFERROR(IF(VLOOKUP(Q634,COMISIONES!$C$2:$K$33,9,0)&gt;=VLOOKUP(TC!Q634,COMISIONES!$C$2:$I$33,7,0),1,0),0)</f>
        <v>1</v>
      </c>
      <c r="W634" s="262">
        <f>+IF(H634="Segunda",VLOOKUP(_xlfn.CONCAT(P634,G634,H634,V634),'PUNTOS 2021'!$E$23:$F$30,2,0),TC!L634)</f>
        <v>5</v>
      </c>
      <c r="X634" s="67">
        <f>+VLOOKUP(Q634,COMISIONES!$C$2:$AO$33,39,0)</f>
        <v>60</v>
      </c>
      <c r="Y634" s="67">
        <f t="shared" si="10"/>
        <v>300</v>
      </c>
      <c r="Z634" s="58" t="s">
        <v>80</v>
      </c>
      <c r="AA634" s="13">
        <f>+VLOOKUP(Q634,COMISIONES!$C$2:$C$33,1,0)</f>
        <v>20008439</v>
      </c>
      <c r="AB634" s="13" t="s">
        <v>269</v>
      </c>
    </row>
    <row r="635" spans="1:28" hidden="1">
      <c r="A635" s="117" t="s">
        <v>821</v>
      </c>
      <c r="B635" s="138">
        <v>45165</v>
      </c>
      <c r="C635" s="117" t="s">
        <v>2725</v>
      </c>
      <c r="D635" s="117" t="s">
        <v>2726</v>
      </c>
      <c r="E635" s="117" t="s">
        <v>2727</v>
      </c>
      <c r="F635" s="117"/>
      <c r="G635" s="117" t="s">
        <v>44</v>
      </c>
      <c r="H635" s="117" t="s">
        <v>1</v>
      </c>
      <c r="I635"/>
      <c r="J635"/>
      <c r="K635" s="117" t="s">
        <v>105</v>
      </c>
      <c r="L635">
        <v>5</v>
      </c>
      <c r="M635" s="117" t="s">
        <v>402</v>
      </c>
      <c r="N635" s="117" t="s">
        <v>389</v>
      </c>
      <c r="O635" s="117" t="s">
        <v>50</v>
      </c>
      <c r="P635" s="117" t="s">
        <v>40</v>
      </c>
      <c r="Q635" s="139">
        <v>20010604</v>
      </c>
      <c r="R635" s="117" t="s">
        <v>78</v>
      </c>
      <c r="S635" s="117" t="s">
        <v>109</v>
      </c>
      <c r="T635" s="117" t="s">
        <v>109</v>
      </c>
      <c r="U635" s="117" t="s">
        <v>128</v>
      </c>
      <c r="V635" s="12">
        <f>+IFERROR(IF(VLOOKUP(Q635,COMISIONES!$C$2:$K$33,9,0)&gt;=VLOOKUP(TC!Q635,COMISIONES!$C$2:$I$33,7,0),1,0),0)</f>
        <v>0</v>
      </c>
      <c r="W635" s="262">
        <f>+IF(H635="Segunda",VLOOKUP(_xlfn.CONCAT(P635,G635,H635,V635),'PUNTOS 2021'!$E$23:$F$30,2,0),TC!L635)</f>
        <v>5</v>
      </c>
      <c r="X635" s="67">
        <f>+VLOOKUP(Q635,COMISIONES!$C$2:$AO$33,39,0)</f>
        <v>40</v>
      </c>
      <c r="Y635" s="67">
        <f t="shared" si="10"/>
        <v>200</v>
      </c>
      <c r="Z635" s="58" t="s">
        <v>80</v>
      </c>
      <c r="AA635" s="13">
        <f>+VLOOKUP(Q635,COMISIONES!$C$2:$C$33,1,0)</f>
        <v>20010604</v>
      </c>
      <c r="AB635" s="13" t="s">
        <v>269</v>
      </c>
    </row>
    <row r="636" spans="1:28" hidden="1">
      <c r="A636" s="117" t="s">
        <v>821</v>
      </c>
      <c r="B636" s="138">
        <v>45165</v>
      </c>
      <c r="C636" s="117" t="s">
        <v>2728</v>
      </c>
      <c r="D636" s="117" t="s">
        <v>2729</v>
      </c>
      <c r="E636" s="117" t="s">
        <v>2730</v>
      </c>
      <c r="F636" s="117"/>
      <c r="G636" s="117" t="s">
        <v>45</v>
      </c>
      <c r="H636" s="117" t="s">
        <v>1</v>
      </c>
      <c r="I636"/>
      <c r="J636"/>
      <c r="K636" s="117" t="s">
        <v>105</v>
      </c>
      <c r="L636">
        <v>7</v>
      </c>
      <c r="M636" s="117" t="s">
        <v>119</v>
      </c>
      <c r="N636" s="117" t="s">
        <v>22</v>
      </c>
      <c r="O636" s="117" t="s">
        <v>52</v>
      </c>
      <c r="P636" s="117" t="s">
        <v>40</v>
      </c>
      <c r="Q636" s="139">
        <v>20009174</v>
      </c>
      <c r="R636" s="117" t="s">
        <v>78</v>
      </c>
      <c r="S636" s="117" t="s">
        <v>109</v>
      </c>
      <c r="T636" s="117" t="s">
        <v>109</v>
      </c>
      <c r="U636" s="117" t="s">
        <v>128</v>
      </c>
      <c r="V636" s="12">
        <f>+IFERROR(IF(VLOOKUP(Q636,COMISIONES!$C$2:$K$33,9,0)&gt;=VLOOKUP(TC!Q636,COMISIONES!$C$2:$I$33,7,0),1,0),0)</f>
        <v>0</v>
      </c>
      <c r="W636" s="262">
        <f>+IF(H636="Segunda",VLOOKUP(_xlfn.CONCAT(P636,G636,H636,V636),'PUNTOS 2021'!$E$23:$F$30,2,0),TC!L636)</f>
        <v>7</v>
      </c>
      <c r="X636" s="67">
        <f>+VLOOKUP(Q636,COMISIONES!$C$2:$AO$33,39,0)</f>
        <v>60</v>
      </c>
      <c r="Y636" s="67">
        <f t="shared" si="10"/>
        <v>420</v>
      </c>
      <c r="Z636" s="58" t="s">
        <v>80</v>
      </c>
      <c r="AA636" s="13">
        <f>+VLOOKUP(Q636,COMISIONES!$C$2:$C$33,1,0)</f>
        <v>20009174</v>
      </c>
      <c r="AB636" s="13" t="s">
        <v>269</v>
      </c>
    </row>
    <row r="637" spans="1:28" hidden="1">
      <c r="A637" s="117" t="s">
        <v>821</v>
      </c>
      <c r="B637" s="138">
        <v>45165</v>
      </c>
      <c r="C637" s="117" t="s">
        <v>2731</v>
      </c>
      <c r="D637" s="117" t="s">
        <v>2732</v>
      </c>
      <c r="E637" s="117" t="s">
        <v>2733</v>
      </c>
      <c r="F637" s="117"/>
      <c r="G637" s="117" t="s">
        <v>44</v>
      </c>
      <c r="H637" s="117" t="s">
        <v>1</v>
      </c>
      <c r="I637"/>
      <c r="J637"/>
      <c r="K637" s="117" t="s">
        <v>105</v>
      </c>
      <c r="L637">
        <v>5</v>
      </c>
      <c r="M637" s="117" t="s">
        <v>270</v>
      </c>
      <c r="N637" s="117" t="s">
        <v>271</v>
      </c>
      <c r="O637" s="117" t="s">
        <v>52</v>
      </c>
      <c r="P637" s="117" t="s">
        <v>40</v>
      </c>
      <c r="Q637" s="139">
        <v>20009592</v>
      </c>
      <c r="R637" s="117" t="s">
        <v>78</v>
      </c>
      <c r="S637" s="117" t="s">
        <v>109</v>
      </c>
      <c r="T637" s="117" t="s">
        <v>109</v>
      </c>
      <c r="U637" s="117" t="s">
        <v>128</v>
      </c>
      <c r="V637" s="12">
        <f>+IFERROR(IF(VLOOKUP(Q637,COMISIONES!$C$2:$K$33,9,0)&gt;=VLOOKUP(TC!Q637,COMISIONES!$C$2:$I$33,7,0),1,0),0)</f>
        <v>1</v>
      </c>
      <c r="W637" s="262">
        <f>+IF(H637="Segunda",VLOOKUP(_xlfn.CONCAT(P637,G637,H637,V637),'PUNTOS 2021'!$E$23:$F$30,2,0),TC!L637)</f>
        <v>5</v>
      </c>
      <c r="X637" s="67">
        <f>+VLOOKUP(Q637,COMISIONES!$C$2:$AO$33,39,0)</f>
        <v>60</v>
      </c>
      <c r="Y637" s="67">
        <f t="shared" si="10"/>
        <v>300</v>
      </c>
      <c r="Z637" s="58" t="s">
        <v>80</v>
      </c>
      <c r="AA637" s="13">
        <f>+VLOOKUP(Q637,COMISIONES!$C$2:$C$33,1,0)</f>
        <v>20009592</v>
      </c>
      <c r="AB637" s="13" t="s">
        <v>269</v>
      </c>
    </row>
    <row r="638" spans="1:28">
      <c r="A638" s="117" t="s">
        <v>821</v>
      </c>
      <c r="B638" s="138">
        <v>45165</v>
      </c>
      <c r="C638" s="117" t="s">
        <v>2734</v>
      </c>
      <c r="D638" s="117" t="s">
        <v>2735</v>
      </c>
      <c r="E638" s="117" t="s">
        <v>2736</v>
      </c>
      <c r="F638" s="117"/>
      <c r="G638" s="117" t="s">
        <v>45</v>
      </c>
      <c r="H638" s="117" t="s">
        <v>2</v>
      </c>
      <c r="I638"/>
      <c r="J638"/>
      <c r="K638" s="117" t="s">
        <v>105</v>
      </c>
      <c r="L638">
        <v>2</v>
      </c>
      <c r="M638" s="117" t="s">
        <v>111</v>
      </c>
      <c r="N638" s="117" t="s">
        <v>14</v>
      </c>
      <c r="O638" s="117" t="s">
        <v>50</v>
      </c>
      <c r="P638" s="117" t="s">
        <v>40</v>
      </c>
      <c r="Q638" s="139">
        <v>20006360</v>
      </c>
      <c r="R638" s="117" t="s">
        <v>78</v>
      </c>
      <c r="S638" s="117" t="s">
        <v>109</v>
      </c>
      <c r="T638" s="117" t="s">
        <v>109</v>
      </c>
      <c r="U638" s="117" t="s">
        <v>128</v>
      </c>
      <c r="V638" s="12">
        <f>+IFERROR(IF(VLOOKUP(Q638,COMISIONES!$C$2:$K$33,9,0)&gt;=VLOOKUP(TC!Q638,COMISIONES!$C$2:$I$33,7,0),1,0),0)</f>
        <v>0</v>
      </c>
      <c r="W638" s="262">
        <f>+IF(H638="Segunda",VLOOKUP(_xlfn.CONCAT(P638,G638,H638,V638),'PUNTOS 2021'!$E$23:$F$30,2,0),TC!L638)</f>
        <v>0.5</v>
      </c>
      <c r="X638" s="67">
        <f>+VLOOKUP(Q638,COMISIONES!$C$2:$AO$33,39,0)</f>
        <v>40</v>
      </c>
      <c r="Y638" s="67">
        <f t="shared" si="10"/>
        <v>20</v>
      </c>
      <c r="Z638" s="58" t="s">
        <v>80</v>
      </c>
      <c r="AA638" s="13">
        <f>+VLOOKUP(Q638,COMISIONES!$C$2:$C$33,1,0)</f>
        <v>20006360</v>
      </c>
      <c r="AB638" s="13" t="s">
        <v>269</v>
      </c>
    </row>
    <row r="639" spans="1:28" hidden="1">
      <c r="A639" s="117" t="s">
        <v>821</v>
      </c>
      <c r="B639" s="138">
        <v>45165</v>
      </c>
      <c r="C639" s="117" t="s">
        <v>2737</v>
      </c>
      <c r="D639" s="117" t="s">
        <v>2738</v>
      </c>
      <c r="E639" s="117" t="s">
        <v>2739</v>
      </c>
      <c r="F639" s="117"/>
      <c r="G639" s="117" t="s">
        <v>45</v>
      </c>
      <c r="H639" s="117" t="s">
        <v>1</v>
      </c>
      <c r="I639"/>
      <c r="J639"/>
      <c r="K639" s="117" t="s">
        <v>105</v>
      </c>
      <c r="L639">
        <v>7</v>
      </c>
      <c r="M639" s="117" t="s">
        <v>113</v>
      </c>
      <c r="N639" s="117" t="s">
        <v>12</v>
      </c>
      <c r="O639" s="117" t="s">
        <v>49</v>
      </c>
      <c r="P639" s="117" t="s">
        <v>40</v>
      </c>
      <c r="Q639" s="139">
        <v>20007726</v>
      </c>
      <c r="R639" s="117" t="s">
        <v>78</v>
      </c>
      <c r="S639" s="117" t="s">
        <v>109</v>
      </c>
      <c r="T639" s="117" t="s">
        <v>109</v>
      </c>
      <c r="U639" s="117" t="s">
        <v>128</v>
      </c>
      <c r="V639" s="12">
        <f>+IFERROR(IF(VLOOKUP(Q639,COMISIONES!$C$2:$K$33,9,0)&gt;=VLOOKUP(TC!Q639,COMISIONES!$C$2:$I$33,7,0),1,0),0)</f>
        <v>1</v>
      </c>
      <c r="W639" s="262">
        <f>+IF(H639="Segunda",VLOOKUP(_xlfn.CONCAT(P639,G639,H639,V639),'PUNTOS 2021'!$E$23:$F$30,2,0),TC!L639)</f>
        <v>7</v>
      </c>
      <c r="X639" s="67">
        <f>+VLOOKUP(Q639,COMISIONES!$C$2:$AO$33,39,0)</f>
        <v>65</v>
      </c>
      <c r="Y639" s="67">
        <f t="shared" si="10"/>
        <v>455</v>
      </c>
      <c r="Z639" s="58" t="s">
        <v>80</v>
      </c>
      <c r="AA639" s="13">
        <f>+VLOOKUP(Q639,COMISIONES!$C$2:$C$33,1,0)</f>
        <v>20007726</v>
      </c>
      <c r="AB639" s="13" t="s">
        <v>269</v>
      </c>
    </row>
    <row r="640" spans="1:28" hidden="1">
      <c r="A640" s="117" t="s">
        <v>821</v>
      </c>
      <c r="B640" s="138">
        <v>45166</v>
      </c>
      <c r="C640" s="117" t="s">
        <v>2740</v>
      </c>
      <c r="D640" s="117" t="s">
        <v>2741</v>
      </c>
      <c r="E640" s="117" t="s">
        <v>2742</v>
      </c>
      <c r="F640" s="117"/>
      <c r="G640" s="117" t="s">
        <v>45</v>
      </c>
      <c r="H640" s="117" t="s">
        <v>1</v>
      </c>
      <c r="I640"/>
      <c r="J640"/>
      <c r="K640" s="117" t="s">
        <v>105</v>
      </c>
      <c r="L640">
        <v>7</v>
      </c>
      <c r="M640" s="117" t="s">
        <v>112</v>
      </c>
      <c r="N640" s="117" t="s">
        <v>9</v>
      </c>
      <c r="O640" s="117" t="s">
        <v>51</v>
      </c>
      <c r="P640" s="117" t="s">
        <v>40</v>
      </c>
      <c r="Q640" s="139">
        <v>20004638</v>
      </c>
      <c r="R640" s="117" t="s">
        <v>78</v>
      </c>
      <c r="S640" s="117" t="s">
        <v>109</v>
      </c>
      <c r="T640" s="117" t="s">
        <v>109</v>
      </c>
      <c r="U640" s="117" t="s">
        <v>128</v>
      </c>
      <c r="V640" s="12">
        <f>+IFERROR(IF(VLOOKUP(Q640,COMISIONES!$C$2:$K$33,9,0)&gt;=VLOOKUP(TC!Q640,COMISIONES!$C$2:$I$33,7,0),1,0),0)</f>
        <v>0</v>
      </c>
      <c r="W640" s="262">
        <f>+IF(H640="Segunda",VLOOKUP(_xlfn.CONCAT(P640,G640,H640,V640),'PUNTOS 2021'!$E$23:$F$30,2,0),TC!L640)</f>
        <v>7</v>
      </c>
      <c r="X640" s="67">
        <f>+VLOOKUP(Q640,COMISIONES!$C$2:$AO$33,39,0)</f>
        <v>60</v>
      </c>
      <c r="Y640" s="67">
        <f t="shared" si="10"/>
        <v>420</v>
      </c>
      <c r="Z640" s="58" t="s">
        <v>80</v>
      </c>
      <c r="AA640" s="13">
        <f>+VLOOKUP(Q640,COMISIONES!$C$2:$C$33,1,0)</f>
        <v>20004638</v>
      </c>
      <c r="AB640" s="13" t="s">
        <v>269</v>
      </c>
    </row>
    <row r="641" spans="1:28" hidden="1">
      <c r="A641" s="117" t="s">
        <v>821</v>
      </c>
      <c r="B641" s="138">
        <v>45166</v>
      </c>
      <c r="C641" s="117" t="s">
        <v>2743</v>
      </c>
      <c r="D641" s="117" t="s">
        <v>2744</v>
      </c>
      <c r="E641" s="117" t="s">
        <v>2745</v>
      </c>
      <c r="F641" s="117"/>
      <c r="G641" s="117" t="s">
        <v>43</v>
      </c>
      <c r="H641" s="117" t="s">
        <v>1</v>
      </c>
      <c r="I641"/>
      <c r="J641"/>
      <c r="K641" s="117" t="s">
        <v>129</v>
      </c>
      <c r="L641">
        <v>3</v>
      </c>
      <c r="M641" s="117" t="s">
        <v>402</v>
      </c>
      <c r="N641" s="117" t="s">
        <v>389</v>
      </c>
      <c r="O641" s="117" t="s">
        <v>50</v>
      </c>
      <c r="P641" s="117" t="s">
        <v>40</v>
      </c>
      <c r="Q641" s="139">
        <v>20010604</v>
      </c>
      <c r="R641" s="117" t="s">
        <v>78</v>
      </c>
      <c r="S641" s="117" t="s">
        <v>109</v>
      </c>
      <c r="T641" s="117" t="s">
        <v>109</v>
      </c>
      <c r="U641" s="117" t="s">
        <v>128</v>
      </c>
      <c r="V641" s="12">
        <f>+IFERROR(IF(VLOOKUP(Q641,COMISIONES!$C$2:$K$33,9,0)&gt;=VLOOKUP(TC!Q641,COMISIONES!$C$2:$I$33,7,0),1,0),0)</f>
        <v>0</v>
      </c>
      <c r="W641" s="262">
        <f>+IF(H641="Segunda",VLOOKUP(_xlfn.CONCAT(P641,G641,H641,V641),'PUNTOS 2021'!$E$23:$F$30,2,0),TC!L641)</f>
        <v>3</v>
      </c>
      <c r="X641" s="67">
        <f>+VLOOKUP(Q641,COMISIONES!$C$2:$AO$33,39,0)</f>
        <v>40</v>
      </c>
      <c r="Y641" s="67">
        <f t="shared" si="10"/>
        <v>120</v>
      </c>
      <c r="Z641" s="58" t="s">
        <v>80</v>
      </c>
      <c r="AA641" s="13">
        <f>+VLOOKUP(Q641,COMISIONES!$C$2:$C$33,1,0)</f>
        <v>20010604</v>
      </c>
      <c r="AB641" s="13" t="s">
        <v>269</v>
      </c>
    </row>
    <row r="642" spans="1:28" hidden="1">
      <c r="A642" s="117" t="s">
        <v>821</v>
      </c>
      <c r="B642" s="138">
        <v>45166</v>
      </c>
      <c r="C642" s="117" t="s">
        <v>2746</v>
      </c>
      <c r="D642" s="117" t="s">
        <v>2747</v>
      </c>
      <c r="E642" s="117" t="s">
        <v>2748</v>
      </c>
      <c r="F642" s="117"/>
      <c r="G642" s="117" t="s">
        <v>45</v>
      </c>
      <c r="H642" s="117" t="s">
        <v>1</v>
      </c>
      <c r="I642"/>
      <c r="J642"/>
      <c r="K642" s="117" t="s">
        <v>105</v>
      </c>
      <c r="L642">
        <v>7</v>
      </c>
      <c r="M642" s="117" t="s">
        <v>256</v>
      </c>
      <c r="N642" s="117" t="s">
        <v>236</v>
      </c>
      <c r="O642" s="117" t="s">
        <v>49</v>
      </c>
      <c r="P642" s="117" t="s">
        <v>40</v>
      </c>
      <c r="Q642" s="139">
        <v>20010101</v>
      </c>
      <c r="R642" s="117" t="s">
        <v>78</v>
      </c>
      <c r="S642" s="117" t="s">
        <v>109</v>
      </c>
      <c r="T642" s="117" t="s">
        <v>109</v>
      </c>
      <c r="U642" s="117" t="s">
        <v>128</v>
      </c>
      <c r="V642" s="12">
        <f>+IFERROR(IF(VLOOKUP(Q642,COMISIONES!$C$2:$K$33,9,0)&gt;=VLOOKUP(TC!Q642,COMISIONES!$C$2:$I$33,7,0),1,0),0)</f>
        <v>0</v>
      </c>
      <c r="W642" s="262">
        <f>+IF(H642="Segunda",VLOOKUP(_xlfn.CONCAT(P642,G642,H642,V642),'PUNTOS 2021'!$E$23:$F$30,2,0),TC!L642)</f>
        <v>7</v>
      </c>
      <c r="X642" s="67">
        <f>+VLOOKUP(Q642,COMISIONES!$C$2:$AO$33,39,0)</f>
        <v>65</v>
      </c>
      <c r="Y642" s="67">
        <f t="shared" si="10"/>
        <v>455</v>
      </c>
      <c r="Z642" s="58" t="s">
        <v>80</v>
      </c>
      <c r="AA642" s="13">
        <f>+VLOOKUP(Q642,COMISIONES!$C$2:$C$33,1,0)</f>
        <v>20010101</v>
      </c>
      <c r="AB642" s="13" t="s">
        <v>269</v>
      </c>
    </row>
    <row r="643" spans="1:28" hidden="1">
      <c r="A643" s="117" t="s">
        <v>821</v>
      </c>
      <c r="B643" s="138">
        <v>45166</v>
      </c>
      <c r="C643" s="117" t="s">
        <v>2749</v>
      </c>
      <c r="D643" s="117" t="s">
        <v>2750</v>
      </c>
      <c r="E643" s="117" t="s">
        <v>2751</v>
      </c>
      <c r="F643" s="117"/>
      <c r="G643" s="117" t="s">
        <v>43</v>
      </c>
      <c r="H643" s="117" t="s">
        <v>1</v>
      </c>
      <c r="I643"/>
      <c r="J643"/>
      <c r="K643" s="117" t="s">
        <v>130</v>
      </c>
      <c r="L643">
        <v>3</v>
      </c>
      <c r="M643" s="117" t="s">
        <v>110</v>
      </c>
      <c r="N643" s="117" t="s">
        <v>10</v>
      </c>
      <c r="O643" s="117" t="s">
        <v>51</v>
      </c>
      <c r="P643" s="117" t="s">
        <v>40</v>
      </c>
      <c r="Q643" s="139">
        <v>20000661</v>
      </c>
      <c r="R643" s="117" t="s">
        <v>78</v>
      </c>
      <c r="S643" s="117" t="s">
        <v>109</v>
      </c>
      <c r="T643" s="117" t="s">
        <v>109</v>
      </c>
      <c r="U643" s="117" t="s">
        <v>128</v>
      </c>
      <c r="V643" s="12">
        <f>+IFERROR(IF(VLOOKUP(Q643,COMISIONES!$C$2:$K$33,9,0)&gt;=VLOOKUP(TC!Q643,COMISIONES!$C$2:$I$33,7,0),1,0),0)</f>
        <v>1</v>
      </c>
      <c r="W643" s="262">
        <f>+IF(H643="Segunda",VLOOKUP(_xlfn.CONCAT(P643,G643,H643,V643),'PUNTOS 2021'!$E$23:$F$30,2,0),TC!L643)</f>
        <v>3</v>
      </c>
      <c r="X643" s="67">
        <f>+VLOOKUP(Q643,COMISIONES!$C$2:$AO$33,39,0)</f>
        <v>60</v>
      </c>
      <c r="Y643" s="67">
        <f t="shared" si="10"/>
        <v>180</v>
      </c>
      <c r="Z643" s="58" t="s">
        <v>80</v>
      </c>
      <c r="AA643" s="13">
        <f>+VLOOKUP(Q643,COMISIONES!$C$2:$C$33,1,0)</f>
        <v>20000661</v>
      </c>
      <c r="AB643" s="13" t="s">
        <v>269</v>
      </c>
    </row>
    <row r="644" spans="1:28" hidden="1">
      <c r="A644" s="117" t="s">
        <v>821</v>
      </c>
      <c r="B644" s="138">
        <v>45166</v>
      </c>
      <c r="C644" s="117" t="s">
        <v>2752</v>
      </c>
      <c r="D644" s="117" t="s">
        <v>2753</v>
      </c>
      <c r="E644" s="117" t="s">
        <v>2754</v>
      </c>
      <c r="F644" s="117"/>
      <c r="G644" s="117" t="s">
        <v>43</v>
      </c>
      <c r="H644" s="117" t="s">
        <v>1</v>
      </c>
      <c r="I644"/>
      <c r="J644"/>
      <c r="K644" s="117" t="s">
        <v>105</v>
      </c>
      <c r="L644">
        <v>3</v>
      </c>
      <c r="M644" s="117" t="s">
        <v>112</v>
      </c>
      <c r="N644" s="117" t="s">
        <v>9</v>
      </c>
      <c r="O644" s="117" t="s">
        <v>51</v>
      </c>
      <c r="P644" s="117" t="s">
        <v>40</v>
      </c>
      <c r="Q644" s="139">
        <v>20004638</v>
      </c>
      <c r="R644" s="117" t="s">
        <v>78</v>
      </c>
      <c r="S644" s="117" t="s">
        <v>109</v>
      </c>
      <c r="T644" s="117" t="s">
        <v>109</v>
      </c>
      <c r="U644" s="117" t="s">
        <v>128</v>
      </c>
      <c r="V644" s="12">
        <f>+IFERROR(IF(VLOOKUP(Q644,COMISIONES!$C$2:$K$33,9,0)&gt;=VLOOKUP(TC!Q644,COMISIONES!$C$2:$I$33,7,0),1,0),0)</f>
        <v>0</v>
      </c>
      <c r="W644" s="262">
        <f>+IF(H644="Segunda",VLOOKUP(_xlfn.CONCAT(P644,G644,H644,V644),'PUNTOS 2021'!$E$23:$F$30,2,0),TC!L644)</f>
        <v>3</v>
      </c>
      <c r="X644" s="67">
        <f>+VLOOKUP(Q644,COMISIONES!$C$2:$AO$33,39,0)</f>
        <v>60</v>
      </c>
      <c r="Y644" s="67">
        <f t="shared" si="10"/>
        <v>180</v>
      </c>
      <c r="Z644" s="58" t="s">
        <v>80</v>
      </c>
      <c r="AA644" s="13">
        <f>+VLOOKUP(Q644,COMISIONES!$C$2:$C$33,1,0)</f>
        <v>20004638</v>
      </c>
      <c r="AB644" s="13" t="s">
        <v>269</v>
      </c>
    </row>
    <row r="645" spans="1:28" hidden="1">
      <c r="A645" s="117" t="s">
        <v>821</v>
      </c>
      <c r="B645" s="138">
        <v>45166</v>
      </c>
      <c r="C645" s="117" t="s">
        <v>2755</v>
      </c>
      <c r="D645" s="117" t="s">
        <v>2756</v>
      </c>
      <c r="E645" s="117" t="s">
        <v>2757</v>
      </c>
      <c r="F645" s="117"/>
      <c r="G645" s="117" t="s">
        <v>43</v>
      </c>
      <c r="H645" s="117" t="s">
        <v>1</v>
      </c>
      <c r="I645"/>
      <c r="J645"/>
      <c r="K645" s="117" t="s">
        <v>105</v>
      </c>
      <c r="L645">
        <v>3</v>
      </c>
      <c r="M645" s="117" t="s">
        <v>124</v>
      </c>
      <c r="N645" s="117" t="s">
        <v>17</v>
      </c>
      <c r="O645" s="117" t="s">
        <v>52</v>
      </c>
      <c r="P645" s="117" t="s">
        <v>40</v>
      </c>
      <c r="Q645" s="139">
        <v>20006233</v>
      </c>
      <c r="R645" s="117" t="s">
        <v>78</v>
      </c>
      <c r="S645" s="117" t="s">
        <v>109</v>
      </c>
      <c r="T645" s="117" t="s">
        <v>109</v>
      </c>
      <c r="U645" s="117" t="s">
        <v>128</v>
      </c>
      <c r="V645" s="12">
        <f>+IFERROR(IF(VLOOKUP(Q645,COMISIONES!$C$2:$K$33,9,0)&gt;=VLOOKUP(TC!Q645,COMISIONES!$C$2:$I$33,7,0),1,0),0)</f>
        <v>0</v>
      </c>
      <c r="W645" s="262">
        <f>+IF(H645="Segunda",VLOOKUP(_xlfn.CONCAT(P645,G645,H645,V645),'PUNTOS 2021'!$E$23:$F$30,2,0),TC!L645)</f>
        <v>3</v>
      </c>
      <c r="X645" s="67">
        <f>+VLOOKUP(Q645,COMISIONES!$C$2:$AO$33,39,0)</f>
        <v>40</v>
      </c>
      <c r="Y645" s="67">
        <f t="shared" si="10"/>
        <v>120</v>
      </c>
      <c r="Z645" s="58" t="s">
        <v>80</v>
      </c>
      <c r="AA645" s="13">
        <f>+VLOOKUP(Q645,COMISIONES!$C$2:$C$33,1,0)</f>
        <v>20006233</v>
      </c>
      <c r="AB645" s="13" t="s">
        <v>269</v>
      </c>
    </row>
    <row r="646" spans="1:28" hidden="1">
      <c r="A646" s="117" t="s">
        <v>821</v>
      </c>
      <c r="B646" s="138">
        <v>45166</v>
      </c>
      <c r="C646" s="117" t="s">
        <v>2758</v>
      </c>
      <c r="D646" s="117" t="s">
        <v>2759</v>
      </c>
      <c r="E646" s="117" t="s">
        <v>2760</v>
      </c>
      <c r="F646" s="117"/>
      <c r="G646" s="117" t="s">
        <v>43</v>
      </c>
      <c r="H646" s="117" t="s">
        <v>1</v>
      </c>
      <c r="I646"/>
      <c r="J646"/>
      <c r="K646" s="117" t="s">
        <v>105</v>
      </c>
      <c r="L646">
        <v>3</v>
      </c>
      <c r="M646" s="117" t="s">
        <v>272</v>
      </c>
      <c r="N646" s="117" t="s">
        <v>275</v>
      </c>
      <c r="O646" s="117" t="s">
        <v>52</v>
      </c>
      <c r="P646" s="117" t="s">
        <v>40</v>
      </c>
      <c r="Q646" s="139">
        <v>20009688</v>
      </c>
      <c r="R646" s="117" t="s">
        <v>78</v>
      </c>
      <c r="S646" s="117" t="s">
        <v>109</v>
      </c>
      <c r="T646" s="117" t="s">
        <v>109</v>
      </c>
      <c r="U646" s="117" t="s">
        <v>128</v>
      </c>
      <c r="V646" s="12">
        <f>+IFERROR(IF(VLOOKUP(Q646,COMISIONES!$C$2:$K$33,9,0)&gt;=VLOOKUP(TC!Q646,COMISIONES!$C$2:$I$33,7,0),1,0),0)</f>
        <v>0</v>
      </c>
      <c r="W646" s="262">
        <f>+IF(H646="Segunda",VLOOKUP(_xlfn.CONCAT(P646,G646,H646,V646),'PUNTOS 2021'!$E$23:$F$30,2,0),TC!L646)</f>
        <v>3</v>
      </c>
      <c r="X646" s="67">
        <f>+VLOOKUP(Q646,COMISIONES!$C$2:$AO$33,39,0)</f>
        <v>30</v>
      </c>
      <c r="Y646" s="67">
        <f t="shared" si="10"/>
        <v>90</v>
      </c>
      <c r="Z646" s="58" t="s">
        <v>80</v>
      </c>
      <c r="AA646" s="13">
        <f>+VLOOKUP(Q646,COMISIONES!$C$2:$C$33,1,0)</f>
        <v>20009688</v>
      </c>
      <c r="AB646" s="13" t="s">
        <v>269</v>
      </c>
    </row>
    <row r="647" spans="1:28" hidden="1">
      <c r="A647" s="117" t="s">
        <v>821</v>
      </c>
      <c r="B647" s="138">
        <v>45166</v>
      </c>
      <c r="C647" s="117" t="s">
        <v>2761</v>
      </c>
      <c r="D647" s="117" t="s">
        <v>2762</v>
      </c>
      <c r="E647" s="117" t="s">
        <v>2763</v>
      </c>
      <c r="F647" s="117"/>
      <c r="G647" s="117" t="s">
        <v>43</v>
      </c>
      <c r="H647" s="117" t="s">
        <v>1</v>
      </c>
      <c r="I647"/>
      <c r="J647"/>
      <c r="K647" s="117" t="s">
        <v>130</v>
      </c>
      <c r="L647">
        <v>3</v>
      </c>
      <c r="M647" s="117" t="s">
        <v>262</v>
      </c>
      <c r="N647" s="117" t="s">
        <v>7</v>
      </c>
      <c r="O647" s="117" t="s">
        <v>52</v>
      </c>
      <c r="P647" s="117" t="s">
        <v>40</v>
      </c>
      <c r="Q647" s="139">
        <v>20007352</v>
      </c>
      <c r="R647" s="117" t="s">
        <v>78</v>
      </c>
      <c r="S647" s="117" t="s">
        <v>109</v>
      </c>
      <c r="T647" s="117" t="s">
        <v>109</v>
      </c>
      <c r="U647" s="117" t="s">
        <v>128</v>
      </c>
      <c r="V647" s="12">
        <f>+IFERROR(IF(VLOOKUP(Q647,COMISIONES!$C$2:$K$33,9,0)&gt;=VLOOKUP(TC!Q647,COMISIONES!$C$2:$I$33,7,0),1,0),0)</f>
        <v>0</v>
      </c>
      <c r="W647" s="262">
        <f>+IF(H647="Segunda",VLOOKUP(_xlfn.CONCAT(P647,G647,H647,V647),'PUNTOS 2021'!$E$23:$F$30,2,0),TC!L647)</f>
        <v>3</v>
      </c>
      <c r="X647" s="67">
        <f>+VLOOKUP(Q647,COMISIONES!$C$2:$AO$33,39,0)</f>
        <v>30</v>
      </c>
      <c r="Y647" s="67">
        <f t="shared" si="10"/>
        <v>90</v>
      </c>
      <c r="Z647" s="58" t="s">
        <v>80</v>
      </c>
      <c r="AA647" s="13">
        <f>+VLOOKUP(Q647,COMISIONES!$C$2:$C$33,1,0)</f>
        <v>20007352</v>
      </c>
      <c r="AB647" s="13" t="s">
        <v>269</v>
      </c>
    </row>
    <row r="648" spans="1:28" hidden="1">
      <c r="A648" s="117" t="s">
        <v>821</v>
      </c>
      <c r="B648" s="138">
        <v>45166</v>
      </c>
      <c r="C648" s="117" t="s">
        <v>2764</v>
      </c>
      <c r="D648" s="117" t="s">
        <v>2765</v>
      </c>
      <c r="E648" s="117" t="s">
        <v>2766</v>
      </c>
      <c r="F648" s="117"/>
      <c r="G648" s="117" t="s">
        <v>44</v>
      </c>
      <c r="H648" s="117" t="s">
        <v>1</v>
      </c>
      <c r="I648"/>
      <c r="J648"/>
      <c r="K648" s="117" t="s">
        <v>105</v>
      </c>
      <c r="L648">
        <v>5</v>
      </c>
      <c r="M648" s="117" t="s">
        <v>256</v>
      </c>
      <c r="N648" s="117" t="s">
        <v>236</v>
      </c>
      <c r="O648" s="117" t="s">
        <v>49</v>
      </c>
      <c r="P648" s="117" t="s">
        <v>40</v>
      </c>
      <c r="Q648" s="139">
        <v>20010101</v>
      </c>
      <c r="R648" s="117" t="s">
        <v>78</v>
      </c>
      <c r="S648" s="117" t="s">
        <v>109</v>
      </c>
      <c r="T648" s="117" t="s">
        <v>109</v>
      </c>
      <c r="U648" s="117" t="s">
        <v>128</v>
      </c>
      <c r="V648" s="12">
        <f>+IFERROR(IF(VLOOKUP(Q648,COMISIONES!$C$2:$K$33,9,0)&gt;=VLOOKUP(TC!Q648,COMISIONES!$C$2:$I$33,7,0),1,0),0)</f>
        <v>0</v>
      </c>
      <c r="W648" s="262">
        <f>+IF(H648="Segunda",VLOOKUP(_xlfn.CONCAT(P648,G648,H648,V648),'PUNTOS 2021'!$E$23:$F$30,2,0),TC!L648)</f>
        <v>5</v>
      </c>
      <c r="X648" s="67">
        <f>+VLOOKUP(Q648,COMISIONES!$C$2:$AO$33,39,0)</f>
        <v>65</v>
      </c>
      <c r="Y648" s="67">
        <f t="shared" si="10"/>
        <v>325</v>
      </c>
      <c r="Z648" s="58" t="s">
        <v>80</v>
      </c>
      <c r="AA648" s="13">
        <f>+VLOOKUP(Q648,COMISIONES!$C$2:$C$33,1,0)</f>
        <v>20010101</v>
      </c>
      <c r="AB648" s="13" t="s">
        <v>269</v>
      </c>
    </row>
    <row r="649" spans="1:28" hidden="1">
      <c r="A649" s="117" t="s">
        <v>821</v>
      </c>
      <c r="B649" s="138">
        <v>45166</v>
      </c>
      <c r="C649" s="117" t="s">
        <v>2767</v>
      </c>
      <c r="D649" s="117" t="s">
        <v>2768</v>
      </c>
      <c r="E649" s="117" t="s">
        <v>2769</v>
      </c>
      <c r="F649" s="117"/>
      <c r="G649" s="117" t="s">
        <v>44</v>
      </c>
      <c r="H649" s="117" t="s">
        <v>1</v>
      </c>
      <c r="I649"/>
      <c r="J649"/>
      <c r="K649" s="117" t="s">
        <v>105</v>
      </c>
      <c r="L649">
        <v>5</v>
      </c>
      <c r="M649" s="117" t="s">
        <v>121</v>
      </c>
      <c r="N649" s="117" t="s">
        <v>3</v>
      </c>
      <c r="O649" s="117" t="s">
        <v>49</v>
      </c>
      <c r="P649" s="117" t="s">
        <v>40</v>
      </c>
      <c r="Q649" s="139">
        <v>20004161</v>
      </c>
      <c r="R649" s="117" t="s">
        <v>78</v>
      </c>
      <c r="S649" s="117" t="s">
        <v>109</v>
      </c>
      <c r="T649" s="117" t="s">
        <v>109</v>
      </c>
      <c r="U649" s="117" t="s">
        <v>128</v>
      </c>
      <c r="V649" s="12">
        <f>+IFERROR(IF(VLOOKUP(Q649,COMISIONES!$C$2:$K$33,9,0)&gt;=VLOOKUP(TC!Q649,COMISIONES!$C$2:$I$33,7,0),1,0),0)</f>
        <v>1</v>
      </c>
      <c r="W649" s="262">
        <f>+IF(H649="Segunda",VLOOKUP(_xlfn.CONCAT(P649,G649,H649,V649),'PUNTOS 2021'!$E$23:$F$30,2,0),TC!L649)</f>
        <v>5</v>
      </c>
      <c r="X649" s="67">
        <f>+VLOOKUP(Q649,COMISIONES!$C$2:$AO$33,39,0)</f>
        <v>65</v>
      </c>
      <c r="Y649" s="67">
        <f t="shared" si="10"/>
        <v>325</v>
      </c>
      <c r="Z649" s="58" t="s">
        <v>80</v>
      </c>
      <c r="AA649" s="13">
        <f>+VLOOKUP(Q649,COMISIONES!$C$2:$C$33,1,0)</f>
        <v>20004161</v>
      </c>
      <c r="AB649" s="13" t="s">
        <v>269</v>
      </c>
    </row>
    <row r="650" spans="1:28" hidden="1">
      <c r="A650" s="117" t="s">
        <v>821</v>
      </c>
      <c r="B650" s="138">
        <v>45166</v>
      </c>
      <c r="C650" s="117" t="s">
        <v>2770</v>
      </c>
      <c r="D650" s="117" t="s">
        <v>2771</v>
      </c>
      <c r="E650" s="117" t="s">
        <v>2772</v>
      </c>
      <c r="F650" s="117"/>
      <c r="G650" s="117" t="s">
        <v>44</v>
      </c>
      <c r="H650" s="117" t="s">
        <v>1</v>
      </c>
      <c r="I650"/>
      <c r="J650"/>
      <c r="K650" s="117" t="s">
        <v>105</v>
      </c>
      <c r="L650">
        <v>5</v>
      </c>
      <c r="M650" s="117" t="s">
        <v>123</v>
      </c>
      <c r="N650" s="117" t="s">
        <v>23</v>
      </c>
      <c r="O650" s="117" t="s">
        <v>49</v>
      </c>
      <c r="P650" s="117" t="s">
        <v>40</v>
      </c>
      <c r="Q650" s="139">
        <v>20009269</v>
      </c>
      <c r="R650" s="117" t="s">
        <v>78</v>
      </c>
      <c r="S650" s="117" t="s">
        <v>109</v>
      </c>
      <c r="T650" s="117" t="s">
        <v>109</v>
      </c>
      <c r="U650" s="117" t="s">
        <v>128</v>
      </c>
      <c r="V650" s="12">
        <f>+IFERROR(IF(VLOOKUP(Q650,COMISIONES!$C$2:$K$33,9,0)&gt;=VLOOKUP(TC!Q650,COMISIONES!$C$2:$I$33,7,0),1,0),0)</f>
        <v>1</v>
      </c>
      <c r="W650" s="262">
        <f>+IF(H650="Segunda",VLOOKUP(_xlfn.CONCAT(P650,G650,H650,V650),'PUNTOS 2021'!$E$23:$F$30,2,0),TC!L650)</f>
        <v>5</v>
      </c>
      <c r="X650" s="67">
        <f>+VLOOKUP(Q650,COMISIONES!$C$2:$AO$33,39,0)</f>
        <v>65</v>
      </c>
      <c r="Y650" s="67">
        <f t="shared" si="10"/>
        <v>325</v>
      </c>
      <c r="Z650" s="58" t="s">
        <v>80</v>
      </c>
      <c r="AA650" s="13">
        <f>+VLOOKUP(Q650,COMISIONES!$C$2:$C$33,1,0)</f>
        <v>20009269</v>
      </c>
      <c r="AB650" s="13" t="s">
        <v>269</v>
      </c>
    </row>
    <row r="651" spans="1:28" hidden="1">
      <c r="A651" s="117" t="s">
        <v>821</v>
      </c>
      <c r="B651" s="138">
        <v>45166</v>
      </c>
      <c r="C651" s="117" t="s">
        <v>2773</v>
      </c>
      <c r="D651" s="117" t="s">
        <v>2774</v>
      </c>
      <c r="E651" s="117" t="s">
        <v>2775</v>
      </c>
      <c r="F651" s="117"/>
      <c r="G651" s="117" t="s">
        <v>45</v>
      </c>
      <c r="H651" s="117" t="s">
        <v>1</v>
      </c>
      <c r="I651"/>
      <c r="J651"/>
      <c r="K651" s="117" t="s">
        <v>105</v>
      </c>
      <c r="L651">
        <v>7</v>
      </c>
      <c r="M651" s="117" t="s">
        <v>257</v>
      </c>
      <c r="N651" s="117" t="s">
        <v>15</v>
      </c>
      <c r="O651" s="117" t="s">
        <v>52</v>
      </c>
      <c r="P651" s="117" t="s">
        <v>40</v>
      </c>
      <c r="Q651" s="139">
        <v>20005527</v>
      </c>
      <c r="R651" s="117" t="s">
        <v>78</v>
      </c>
      <c r="S651" s="117" t="s">
        <v>109</v>
      </c>
      <c r="T651" s="117" t="s">
        <v>109</v>
      </c>
      <c r="U651" s="117" t="s">
        <v>128</v>
      </c>
      <c r="V651" s="12">
        <f>+IFERROR(IF(VLOOKUP(Q651,COMISIONES!$C$2:$K$33,9,0)&gt;=VLOOKUP(TC!Q651,COMISIONES!$C$2:$I$33,7,0),1,0),0)</f>
        <v>0</v>
      </c>
      <c r="W651" s="262">
        <f>+IF(H651="Segunda",VLOOKUP(_xlfn.CONCAT(P651,G651,H651,V651),'PUNTOS 2021'!$E$23:$F$30,2,0),TC!L651)</f>
        <v>7</v>
      </c>
      <c r="X651" s="67">
        <f>+VLOOKUP(Q651,COMISIONES!$C$2:$AO$33,39,0)</f>
        <v>40</v>
      </c>
      <c r="Y651" s="67">
        <f t="shared" si="10"/>
        <v>280</v>
      </c>
      <c r="Z651" s="58" t="s">
        <v>80</v>
      </c>
      <c r="AA651" s="13">
        <f>+VLOOKUP(Q651,COMISIONES!$C$2:$C$33,1,0)</f>
        <v>20005527</v>
      </c>
      <c r="AB651" s="13" t="s">
        <v>269</v>
      </c>
    </row>
    <row r="652" spans="1:28" hidden="1">
      <c r="A652" s="117" t="s">
        <v>821</v>
      </c>
      <c r="B652" s="138">
        <v>45166</v>
      </c>
      <c r="C652" s="117" t="s">
        <v>2776</v>
      </c>
      <c r="D652" s="117" t="s">
        <v>2777</v>
      </c>
      <c r="E652" s="117" t="s">
        <v>2778</v>
      </c>
      <c r="F652" s="117"/>
      <c r="G652" s="117" t="s">
        <v>45</v>
      </c>
      <c r="H652" s="117" t="s">
        <v>1</v>
      </c>
      <c r="I652"/>
      <c r="J652"/>
      <c r="K652" s="117" t="s">
        <v>105</v>
      </c>
      <c r="L652">
        <v>7</v>
      </c>
      <c r="M652" s="117" t="s">
        <v>1946</v>
      </c>
      <c r="N652" s="117" t="s">
        <v>1947</v>
      </c>
      <c r="O652" s="117" t="s">
        <v>51</v>
      </c>
      <c r="P652" s="117" t="s">
        <v>40</v>
      </c>
      <c r="Q652" s="139">
        <v>20010766</v>
      </c>
      <c r="R652" s="117" t="s">
        <v>78</v>
      </c>
      <c r="S652" s="117" t="s">
        <v>109</v>
      </c>
      <c r="T652" s="117" t="s">
        <v>109</v>
      </c>
      <c r="U652" s="117" t="s">
        <v>128</v>
      </c>
      <c r="V652" s="12">
        <f>+IFERROR(IF(VLOOKUP(Q652,COMISIONES!$C$2:$K$33,9,0)&gt;=VLOOKUP(TC!Q652,COMISIONES!$C$2:$I$33,7,0),1,0),0)</f>
        <v>0</v>
      </c>
      <c r="W652" s="262">
        <f>+IF(H652="Segunda",VLOOKUP(_xlfn.CONCAT(P652,G652,H652,V652),'PUNTOS 2021'!$E$23:$F$30,2,0),TC!L652)</f>
        <v>7</v>
      </c>
      <c r="X652" s="67">
        <f>+VLOOKUP(Q652,COMISIONES!$C$2:$AO$33,39,0)</f>
        <v>20</v>
      </c>
      <c r="Y652" s="67">
        <f t="shared" si="10"/>
        <v>140</v>
      </c>
      <c r="Z652" s="58" t="s">
        <v>80</v>
      </c>
      <c r="AA652" s="13">
        <f>+VLOOKUP(Q652,COMISIONES!$C$2:$C$33,1,0)</f>
        <v>20010766</v>
      </c>
      <c r="AB652" s="13" t="s">
        <v>269</v>
      </c>
    </row>
    <row r="653" spans="1:28" hidden="1">
      <c r="A653" s="117" t="s">
        <v>821</v>
      </c>
      <c r="B653" s="138">
        <v>45166</v>
      </c>
      <c r="C653" s="117" t="s">
        <v>2779</v>
      </c>
      <c r="D653" s="117" t="s">
        <v>2780</v>
      </c>
      <c r="E653" s="117" t="s">
        <v>2781</v>
      </c>
      <c r="F653" s="117"/>
      <c r="G653" s="117" t="s">
        <v>45</v>
      </c>
      <c r="H653" s="117" t="s">
        <v>1</v>
      </c>
      <c r="I653"/>
      <c r="J653"/>
      <c r="K653" s="117" t="s">
        <v>105</v>
      </c>
      <c r="L653">
        <v>7</v>
      </c>
      <c r="M653" s="117" t="s">
        <v>124</v>
      </c>
      <c r="N653" s="117" t="s">
        <v>17</v>
      </c>
      <c r="O653" s="117" t="s">
        <v>52</v>
      </c>
      <c r="P653" s="117" t="s">
        <v>40</v>
      </c>
      <c r="Q653" s="139">
        <v>20006233</v>
      </c>
      <c r="R653" s="117" t="s">
        <v>78</v>
      </c>
      <c r="S653" s="117" t="s">
        <v>109</v>
      </c>
      <c r="T653" s="117" t="s">
        <v>109</v>
      </c>
      <c r="U653" s="117" t="s">
        <v>128</v>
      </c>
      <c r="V653" s="12">
        <f>+IFERROR(IF(VLOOKUP(Q653,COMISIONES!$C$2:$K$33,9,0)&gt;=VLOOKUP(TC!Q653,COMISIONES!$C$2:$I$33,7,0),1,0),0)</f>
        <v>0</v>
      </c>
      <c r="W653" s="262">
        <f>+IF(H653="Segunda",VLOOKUP(_xlfn.CONCAT(P653,G653,H653,V653),'PUNTOS 2021'!$E$23:$F$30,2,0),TC!L653)</f>
        <v>7</v>
      </c>
      <c r="X653" s="67">
        <f>+VLOOKUP(Q653,COMISIONES!$C$2:$AO$33,39,0)</f>
        <v>40</v>
      </c>
      <c r="Y653" s="67">
        <f t="shared" si="10"/>
        <v>280</v>
      </c>
      <c r="Z653" s="58" t="s">
        <v>80</v>
      </c>
      <c r="AA653" s="13">
        <f>+VLOOKUP(Q653,COMISIONES!$C$2:$C$33,1,0)</f>
        <v>20006233</v>
      </c>
      <c r="AB653" s="13" t="s">
        <v>269</v>
      </c>
    </row>
    <row r="654" spans="1:28" hidden="1">
      <c r="A654" s="117" t="s">
        <v>821</v>
      </c>
      <c r="B654" s="138">
        <v>45166</v>
      </c>
      <c r="C654" s="117" t="s">
        <v>2782</v>
      </c>
      <c r="D654" s="117" t="s">
        <v>2783</v>
      </c>
      <c r="E654" s="117" t="s">
        <v>2784</v>
      </c>
      <c r="F654" s="117"/>
      <c r="G654" s="117" t="s">
        <v>44</v>
      </c>
      <c r="H654" s="117" t="s">
        <v>1</v>
      </c>
      <c r="I654"/>
      <c r="J654"/>
      <c r="K654" s="117" t="s">
        <v>105</v>
      </c>
      <c r="L654">
        <v>5</v>
      </c>
      <c r="M654" s="117" t="s">
        <v>161</v>
      </c>
      <c r="N654" s="117" t="s">
        <v>158</v>
      </c>
      <c r="O654" s="117" t="s">
        <v>50</v>
      </c>
      <c r="P654" s="117" t="s">
        <v>40</v>
      </c>
      <c r="Q654" s="139">
        <v>20006162</v>
      </c>
      <c r="R654" s="117" t="s">
        <v>78</v>
      </c>
      <c r="S654" s="117" t="s">
        <v>109</v>
      </c>
      <c r="T654" s="117" t="s">
        <v>109</v>
      </c>
      <c r="U654" s="117" t="s">
        <v>128</v>
      </c>
      <c r="V654" s="12">
        <f>+IFERROR(IF(VLOOKUP(Q654,COMISIONES!$C$2:$K$33,9,0)&gt;=VLOOKUP(TC!Q654,COMISIONES!$C$2:$I$33,7,0),1,0),0)</f>
        <v>0</v>
      </c>
      <c r="W654" s="262">
        <f>+IF(H654="Segunda",VLOOKUP(_xlfn.CONCAT(P654,G654,H654,V654),'PUNTOS 2021'!$E$23:$F$30,2,0),TC!L654)</f>
        <v>5</v>
      </c>
      <c r="X654" s="67">
        <f>+VLOOKUP(Q654,COMISIONES!$C$2:$AO$33,39,0)</f>
        <v>60</v>
      </c>
      <c r="Y654" s="67">
        <f t="shared" si="10"/>
        <v>300</v>
      </c>
      <c r="Z654" s="58" t="s">
        <v>80</v>
      </c>
      <c r="AA654" s="13">
        <f>+VLOOKUP(Q654,COMISIONES!$C$2:$C$33,1,0)</f>
        <v>20006162</v>
      </c>
      <c r="AB654" s="13" t="s">
        <v>269</v>
      </c>
    </row>
    <row r="655" spans="1:28" hidden="1">
      <c r="A655" s="117" t="s">
        <v>821</v>
      </c>
      <c r="B655" s="138">
        <v>45166</v>
      </c>
      <c r="C655" s="117" t="s">
        <v>2785</v>
      </c>
      <c r="D655" s="117" t="s">
        <v>2786</v>
      </c>
      <c r="E655" s="117" t="s">
        <v>2787</v>
      </c>
      <c r="F655" s="117"/>
      <c r="G655" s="117" t="s">
        <v>45</v>
      </c>
      <c r="H655" s="117" t="s">
        <v>1</v>
      </c>
      <c r="I655"/>
      <c r="J655"/>
      <c r="K655" s="117" t="s">
        <v>105</v>
      </c>
      <c r="L655">
        <v>7</v>
      </c>
      <c r="M655" s="117" t="s">
        <v>260</v>
      </c>
      <c r="N655" s="117" t="s">
        <v>261</v>
      </c>
      <c r="O655" s="117" t="s">
        <v>52</v>
      </c>
      <c r="P655" s="117" t="s">
        <v>40</v>
      </c>
      <c r="Q655" s="139">
        <v>20010262</v>
      </c>
      <c r="R655" s="117" t="s">
        <v>78</v>
      </c>
      <c r="S655" s="117" t="s">
        <v>109</v>
      </c>
      <c r="T655" s="117" t="s">
        <v>109</v>
      </c>
      <c r="U655" s="117" t="s">
        <v>128</v>
      </c>
      <c r="V655" s="12">
        <f>+IFERROR(IF(VLOOKUP(Q655,COMISIONES!$C$2:$K$33,9,0)&gt;=VLOOKUP(TC!Q655,COMISIONES!$C$2:$I$33,7,0),1,0),0)</f>
        <v>0</v>
      </c>
      <c r="W655" s="262">
        <f>+IF(H655="Segunda",VLOOKUP(_xlfn.CONCAT(P655,G655,H655,V655),'PUNTOS 2021'!$E$23:$F$30,2,0),TC!L655)</f>
        <v>7</v>
      </c>
      <c r="X655" s="67">
        <f>+VLOOKUP(Q655,COMISIONES!$C$2:$AO$33,39,0)</f>
        <v>60</v>
      </c>
      <c r="Y655" s="67">
        <f t="shared" si="10"/>
        <v>420</v>
      </c>
      <c r="Z655" s="58" t="s">
        <v>80</v>
      </c>
      <c r="AA655" s="13">
        <f>+VLOOKUP(Q655,COMISIONES!$C$2:$C$33,1,0)</f>
        <v>20010262</v>
      </c>
      <c r="AB655" s="13" t="s">
        <v>269</v>
      </c>
    </row>
    <row r="656" spans="1:28" hidden="1">
      <c r="A656" s="117" t="s">
        <v>821</v>
      </c>
      <c r="B656" s="138">
        <v>45166</v>
      </c>
      <c r="C656" s="117" t="s">
        <v>2788</v>
      </c>
      <c r="D656" s="117" t="s">
        <v>2789</v>
      </c>
      <c r="E656" s="117" t="s">
        <v>2790</v>
      </c>
      <c r="F656" s="117"/>
      <c r="G656" s="117" t="s">
        <v>45</v>
      </c>
      <c r="H656" s="117" t="s">
        <v>1</v>
      </c>
      <c r="I656"/>
      <c r="J656"/>
      <c r="K656" s="117" t="s">
        <v>105</v>
      </c>
      <c r="L656">
        <v>7</v>
      </c>
      <c r="M656" s="117" t="s">
        <v>122</v>
      </c>
      <c r="N656" s="117" t="s">
        <v>5</v>
      </c>
      <c r="O656" s="117" t="s">
        <v>50</v>
      </c>
      <c r="P656" s="117" t="s">
        <v>40</v>
      </c>
      <c r="Q656" s="139">
        <v>20004566</v>
      </c>
      <c r="R656" s="117" t="s">
        <v>78</v>
      </c>
      <c r="S656" s="117" t="s">
        <v>109</v>
      </c>
      <c r="T656" s="117" t="s">
        <v>109</v>
      </c>
      <c r="U656" s="117" t="s">
        <v>128</v>
      </c>
      <c r="V656" s="12">
        <f>+IFERROR(IF(VLOOKUP(Q656,COMISIONES!$C$2:$K$33,9,0)&gt;=VLOOKUP(TC!Q656,COMISIONES!$C$2:$I$33,7,0),1,0),0)</f>
        <v>1</v>
      </c>
      <c r="W656" s="262">
        <f>+IF(H656="Segunda",VLOOKUP(_xlfn.CONCAT(P656,G656,H656,V656),'PUNTOS 2021'!$E$23:$F$30,2,0),TC!L656)</f>
        <v>7</v>
      </c>
      <c r="X656" s="67">
        <f>+VLOOKUP(Q656,COMISIONES!$C$2:$AO$33,39,0)</f>
        <v>60</v>
      </c>
      <c r="Y656" s="67">
        <f t="shared" si="10"/>
        <v>420</v>
      </c>
      <c r="Z656" s="58" t="s">
        <v>80</v>
      </c>
      <c r="AA656" s="13">
        <f>+VLOOKUP(Q656,COMISIONES!$C$2:$C$33,1,0)</f>
        <v>20004566</v>
      </c>
      <c r="AB656" s="13" t="s">
        <v>269</v>
      </c>
    </row>
    <row r="657" spans="1:28" hidden="1">
      <c r="A657" s="117" t="s">
        <v>821</v>
      </c>
      <c r="B657" s="138">
        <v>45167</v>
      </c>
      <c r="C657" s="117" t="s">
        <v>2791</v>
      </c>
      <c r="D657" s="117" t="s">
        <v>2792</v>
      </c>
      <c r="E657" s="117" t="s">
        <v>2793</v>
      </c>
      <c r="F657" s="117"/>
      <c r="G657" s="117" t="s">
        <v>43</v>
      </c>
      <c r="H657" s="117" t="s">
        <v>1</v>
      </c>
      <c r="I657"/>
      <c r="J657"/>
      <c r="K657" s="117" t="s">
        <v>105</v>
      </c>
      <c r="L657">
        <v>3</v>
      </c>
      <c r="M657" s="117" t="s">
        <v>123</v>
      </c>
      <c r="N657" s="117" t="s">
        <v>23</v>
      </c>
      <c r="O657" s="117" t="s">
        <v>49</v>
      </c>
      <c r="P657" s="117" t="s">
        <v>40</v>
      </c>
      <c r="Q657" s="139">
        <v>20009269</v>
      </c>
      <c r="R657" s="117" t="s">
        <v>78</v>
      </c>
      <c r="S657" s="117" t="s">
        <v>109</v>
      </c>
      <c r="T657" s="117" t="s">
        <v>109</v>
      </c>
      <c r="U657" s="117" t="s">
        <v>128</v>
      </c>
      <c r="V657" s="12">
        <f>+IFERROR(IF(VLOOKUP(Q657,COMISIONES!$C$2:$K$33,9,0)&gt;=VLOOKUP(TC!Q657,COMISIONES!$C$2:$I$33,7,0),1,0),0)</f>
        <v>1</v>
      </c>
      <c r="W657" s="262">
        <f>+IF(H657="Segunda",VLOOKUP(_xlfn.CONCAT(P657,G657,H657,V657),'PUNTOS 2021'!$E$23:$F$30,2,0),TC!L657)</f>
        <v>3</v>
      </c>
      <c r="X657" s="67">
        <f>+VLOOKUP(Q657,COMISIONES!$C$2:$AO$33,39,0)</f>
        <v>65</v>
      </c>
      <c r="Y657" s="67">
        <f t="shared" si="10"/>
        <v>195</v>
      </c>
      <c r="Z657" s="58" t="s">
        <v>80</v>
      </c>
      <c r="AA657" s="13">
        <f>+VLOOKUP(Q657,COMISIONES!$C$2:$C$33,1,0)</f>
        <v>20009269</v>
      </c>
      <c r="AB657" s="13" t="s">
        <v>269</v>
      </c>
    </row>
    <row r="658" spans="1:28" hidden="1">
      <c r="A658" s="117" t="s">
        <v>821</v>
      </c>
      <c r="B658" s="138">
        <v>45167</v>
      </c>
      <c r="C658" s="117" t="s">
        <v>2794</v>
      </c>
      <c r="D658" s="117" t="s">
        <v>2795</v>
      </c>
      <c r="E658" s="117" t="s">
        <v>2796</v>
      </c>
      <c r="F658" s="117"/>
      <c r="G658" s="117" t="s">
        <v>44</v>
      </c>
      <c r="H658" s="117" t="s">
        <v>1</v>
      </c>
      <c r="I658"/>
      <c r="J658"/>
      <c r="K658" s="117" t="s">
        <v>105</v>
      </c>
      <c r="L658">
        <v>5</v>
      </c>
      <c r="M658" s="117" t="s">
        <v>257</v>
      </c>
      <c r="N658" s="117" t="s">
        <v>15</v>
      </c>
      <c r="O658" s="117" t="s">
        <v>52</v>
      </c>
      <c r="P658" s="117" t="s">
        <v>40</v>
      </c>
      <c r="Q658" s="139">
        <v>20005527</v>
      </c>
      <c r="R658" s="117" t="s">
        <v>78</v>
      </c>
      <c r="S658" s="117" t="s">
        <v>109</v>
      </c>
      <c r="T658" s="117" t="s">
        <v>109</v>
      </c>
      <c r="U658" s="117" t="s">
        <v>128</v>
      </c>
      <c r="V658" s="12">
        <f>+IFERROR(IF(VLOOKUP(Q658,COMISIONES!$C$2:$K$33,9,0)&gt;=VLOOKUP(TC!Q658,COMISIONES!$C$2:$I$33,7,0),1,0),0)</f>
        <v>0</v>
      </c>
      <c r="W658" s="262">
        <f>+IF(H658="Segunda",VLOOKUP(_xlfn.CONCAT(P658,G658,H658,V658),'PUNTOS 2021'!$E$23:$F$30,2,0),TC!L658)</f>
        <v>5</v>
      </c>
      <c r="X658" s="67">
        <f>+VLOOKUP(Q658,COMISIONES!$C$2:$AO$33,39,0)</f>
        <v>40</v>
      </c>
      <c r="Y658" s="67">
        <f t="shared" si="10"/>
        <v>200</v>
      </c>
      <c r="Z658" s="58" t="s">
        <v>80</v>
      </c>
      <c r="AA658" s="13">
        <f>+VLOOKUP(Q658,COMISIONES!$C$2:$C$33,1,0)</f>
        <v>20005527</v>
      </c>
      <c r="AB658" s="13" t="s">
        <v>269</v>
      </c>
    </row>
    <row r="659" spans="1:28" hidden="1">
      <c r="A659" s="117" t="s">
        <v>821</v>
      </c>
      <c r="B659" s="138">
        <v>45167</v>
      </c>
      <c r="C659" s="117" t="s">
        <v>2797</v>
      </c>
      <c r="D659" s="117" t="s">
        <v>2798</v>
      </c>
      <c r="E659" s="117" t="s">
        <v>2799</v>
      </c>
      <c r="F659" s="117"/>
      <c r="G659" s="117" t="s">
        <v>43</v>
      </c>
      <c r="H659" s="117" t="s">
        <v>1</v>
      </c>
      <c r="I659"/>
      <c r="J659"/>
      <c r="K659" s="117" t="s">
        <v>105</v>
      </c>
      <c r="L659">
        <v>3</v>
      </c>
      <c r="M659" s="117" t="s">
        <v>115</v>
      </c>
      <c r="N659" s="117" t="s">
        <v>6</v>
      </c>
      <c r="O659" s="117" t="s">
        <v>51</v>
      </c>
      <c r="P659" s="117" t="s">
        <v>40</v>
      </c>
      <c r="Q659" s="139">
        <v>20001487</v>
      </c>
      <c r="R659" s="117" t="s">
        <v>78</v>
      </c>
      <c r="S659" s="117" t="s">
        <v>109</v>
      </c>
      <c r="T659" s="117" t="s">
        <v>109</v>
      </c>
      <c r="U659" s="117" t="s">
        <v>128</v>
      </c>
      <c r="V659" s="12">
        <f>+IFERROR(IF(VLOOKUP(Q659,COMISIONES!$C$2:$K$33,9,0)&gt;=VLOOKUP(TC!Q659,COMISIONES!$C$2:$I$33,7,0),1,0),0)</f>
        <v>1</v>
      </c>
      <c r="W659" s="262">
        <f>+IF(H659="Segunda",VLOOKUP(_xlfn.CONCAT(P659,G659,H659,V659),'PUNTOS 2021'!$E$23:$F$30,2,0),TC!L659)</f>
        <v>3</v>
      </c>
      <c r="X659" s="67">
        <f>+VLOOKUP(Q659,COMISIONES!$C$2:$AO$33,39,0)</f>
        <v>65</v>
      </c>
      <c r="Y659" s="67">
        <f t="shared" si="10"/>
        <v>195</v>
      </c>
      <c r="Z659" s="58" t="s">
        <v>80</v>
      </c>
      <c r="AA659" s="13">
        <f>+VLOOKUP(Q659,COMISIONES!$C$2:$C$33,1,0)</f>
        <v>20001487</v>
      </c>
      <c r="AB659" s="13" t="s">
        <v>269</v>
      </c>
    </row>
    <row r="660" spans="1:28" hidden="1">
      <c r="A660" s="117" t="s">
        <v>821</v>
      </c>
      <c r="B660" s="138">
        <v>45167</v>
      </c>
      <c r="C660" s="117" t="s">
        <v>2800</v>
      </c>
      <c r="D660" s="117" t="s">
        <v>2801</v>
      </c>
      <c r="E660" s="117" t="s">
        <v>2802</v>
      </c>
      <c r="F660" s="117"/>
      <c r="G660" s="117" t="s">
        <v>45</v>
      </c>
      <c r="H660" s="117" t="s">
        <v>1</v>
      </c>
      <c r="I660"/>
      <c r="J660"/>
      <c r="K660" s="117" t="s">
        <v>105</v>
      </c>
      <c r="L660">
        <v>7</v>
      </c>
      <c r="M660" s="117" t="s">
        <v>110</v>
      </c>
      <c r="N660" s="117" t="s">
        <v>10</v>
      </c>
      <c r="O660" s="117" t="s">
        <v>51</v>
      </c>
      <c r="P660" s="117" t="s">
        <v>40</v>
      </c>
      <c r="Q660" s="139">
        <v>20000661</v>
      </c>
      <c r="R660" s="117" t="s">
        <v>78</v>
      </c>
      <c r="S660" s="117" t="s">
        <v>109</v>
      </c>
      <c r="T660" s="117" t="s">
        <v>109</v>
      </c>
      <c r="U660" s="117" t="s">
        <v>128</v>
      </c>
      <c r="V660" s="12">
        <f>+IFERROR(IF(VLOOKUP(Q660,COMISIONES!$C$2:$K$33,9,0)&gt;=VLOOKUP(TC!Q660,COMISIONES!$C$2:$I$33,7,0),1,0),0)</f>
        <v>1</v>
      </c>
      <c r="W660" s="262">
        <f>+IF(H660="Segunda",VLOOKUP(_xlfn.CONCAT(P660,G660,H660,V660),'PUNTOS 2021'!$E$23:$F$30,2,0),TC!L660)</f>
        <v>7</v>
      </c>
      <c r="X660" s="67">
        <f>+VLOOKUP(Q660,COMISIONES!$C$2:$AO$33,39,0)</f>
        <v>60</v>
      </c>
      <c r="Y660" s="67">
        <f t="shared" si="10"/>
        <v>420</v>
      </c>
      <c r="Z660" s="58" t="s">
        <v>80</v>
      </c>
      <c r="AA660" s="13">
        <f>+VLOOKUP(Q660,COMISIONES!$C$2:$C$33,1,0)</f>
        <v>20000661</v>
      </c>
      <c r="AB660" s="13" t="s">
        <v>269</v>
      </c>
    </row>
    <row r="661" spans="1:28" hidden="1">
      <c r="A661" s="117" t="s">
        <v>821</v>
      </c>
      <c r="B661" s="138">
        <v>45167</v>
      </c>
      <c r="C661" s="117" t="s">
        <v>2803</v>
      </c>
      <c r="D661" s="117" t="s">
        <v>2804</v>
      </c>
      <c r="E661" s="117" t="s">
        <v>2805</v>
      </c>
      <c r="F661" s="117"/>
      <c r="G661" s="117" t="s">
        <v>43</v>
      </c>
      <c r="H661" s="117" t="s">
        <v>1</v>
      </c>
      <c r="I661"/>
      <c r="J661"/>
      <c r="K661" s="117" t="s">
        <v>129</v>
      </c>
      <c r="L661">
        <v>3</v>
      </c>
      <c r="M661" s="117" t="s">
        <v>161</v>
      </c>
      <c r="N661" s="117" t="s">
        <v>158</v>
      </c>
      <c r="O661" s="117" t="s">
        <v>50</v>
      </c>
      <c r="P661" s="117" t="s">
        <v>40</v>
      </c>
      <c r="Q661" s="139">
        <v>20006162</v>
      </c>
      <c r="R661" s="117" t="s">
        <v>78</v>
      </c>
      <c r="S661" s="117" t="s">
        <v>109</v>
      </c>
      <c r="T661" s="117" t="s">
        <v>109</v>
      </c>
      <c r="U661" s="117" t="s">
        <v>128</v>
      </c>
      <c r="V661" s="12">
        <f>+IFERROR(IF(VLOOKUP(Q661,COMISIONES!$C$2:$K$33,9,0)&gt;=VLOOKUP(TC!Q661,COMISIONES!$C$2:$I$33,7,0),1,0),0)</f>
        <v>0</v>
      </c>
      <c r="W661" s="262">
        <f>+IF(H661="Segunda",VLOOKUP(_xlfn.CONCAT(P661,G661,H661,V661),'PUNTOS 2021'!$E$23:$F$30,2,0),TC!L661)</f>
        <v>3</v>
      </c>
      <c r="X661" s="67">
        <f>+VLOOKUP(Q661,COMISIONES!$C$2:$AO$33,39,0)</f>
        <v>60</v>
      </c>
      <c r="Y661" s="67">
        <f t="shared" si="10"/>
        <v>180</v>
      </c>
      <c r="Z661" s="58" t="s">
        <v>80</v>
      </c>
      <c r="AA661" s="13">
        <f>+VLOOKUP(Q661,COMISIONES!$C$2:$C$33,1,0)</f>
        <v>20006162</v>
      </c>
      <c r="AB661" s="13" t="s">
        <v>269</v>
      </c>
    </row>
    <row r="662" spans="1:28" hidden="1">
      <c r="A662" s="117" t="s">
        <v>821</v>
      </c>
      <c r="B662" s="138">
        <v>45167</v>
      </c>
      <c r="C662" s="117" t="s">
        <v>2806</v>
      </c>
      <c r="D662" s="117" t="s">
        <v>2807</v>
      </c>
      <c r="E662" s="117" t="s">
        <v>2808</v>
      </c>
      <c r="F662" s="117"/>
      <c r="G662" s="117" t="s">
        <v>45</v>
      </c>
      <c r="H662" s="117" t="s">
        <v>1</v>
      </c>
      <c r="I662"/>
      <c r="J662"/>
      <c r="K662" s="117" t="s">
        <v>105</v>
      </c>
      <c r="L662">
        <v>7</v>
      </c>
      <c r="M662" s="117" t="s">
        <v>115</v>
      </c>
      <c r="N662" s="117" t="s">
        <v>6</v>
      </c>
      <c r="O662" s="117" t="s">
        <v>51</v>
      </c>
      <c r="P662" s="117" t="s">
        <v>40</v>
      </c>
      <c r="Q662" s="139">
        <v>20001487</v>
      </c>
      <c r="R662" s="117" t="s">
        <v>78</v>
      </c>
      <c r="S662" s="117" t="s">
        <v>109</v>
      </c>
      <c r="T662" s="117" t="s">
        <v>109</v>
      </c>
      <c r="U662" s="117" t="s">
        <v>128</v>
      </c>
      <c r="V662" s="12">
        <f>+IFERROR(IF(VLOOKUP(Q662,COMISIONES!$C$2:$K$33,9,0)&gt;=VLOOKUP(TC!Q662,COMISIONES!$C$2:$I$33,7,0),1,0),0)</f>
        <v>1</v>
      </c>
      <c r="W662" s="262">
        <f>+IF(H662="Segunda",VLOOKUP(_xlfn.CONCAT(P662,G662,H662,V662),'PUNTOS 2021'!$E$23:$F$30,2,0),TC!L662)</f>
        <v>7</v>
      </c>
      <c r="X662" s="67">
        <f>+VLOOKUP(Q662,COMISIONES!$C$2:$AO$33,39,0)</f>
        <v>65</v>
      </c>
      <c r="Y662" s="67">
        <f t="shared" si="10"/>
        <v>455</v>
      </c>
      <c r="Z662" s="58" t="s">
        <v>80</v>
      </c>
      <c r="AA662" s="13">
        <f>+VLOOKUP(Q662,COMISIONES!$C$2:$C$33,1,0)</f>
        <v>20001487</v>
      </c>
      <c r="AB662" s="13" t="s">
        <v>269</v>
      </c>
    </row>
    <row r="663" spans="1:28" hidden="1">
      <c r="A663" s="117" t="s">
        <v>821</v>
      </c>
      <c r="B663" s="138">
        <v>45167</v>
      </c>
      <c r="C663" s="117" t="s">
        <v>2809</v>
      </c>
      <c r="D663" s="117" t="s">
        <v>2810</v>
      </c>
      <c r="E663" s="117" t="s">
        <v>2811</v>
      </c>
      <c r="F663" s="117"/>
      <c r="G663" s="117" t="s">
        <v>44</v>
      </c>
      <c r="H663" s="117" t="s">
        <v>1</v>
      </c>
      <c r="I663"/>
      <c r="J663"/>
      <c r="K663" s="117" t="s">
        <v>105</v>
      </c>
      <c r="L663">
        <v>5</v>
      </c>
      <c r="M663" s="117" t="s">
        <v>259</v>
      </c>
      <c r="N663" s="117" t="s">
        <v>20</v>
      </c>
      <c r="O663" s="117" t="s">
        <v>50</v>
      </c>
      <c r="P663" s="117" t="s">
        <v>40</v>
      </c>
      <c r="Q663" s="139">
        <v>20008700</v>
      </c>
      <c r="R663" s="117" t="s">
        <v>78</v>
      </c>
      <c r="S663" s="117" t="s">
        <v>109</v>
      </c>
      <c r="T663" s="117" t="s">
        <v>109</v>
      </c>
      <c r="U663" s="117" t="s">
        <v>128</v>
      </c>
      <c r="V663" s="12">
        <f>+IFERROR(IF(VLOOKUP(Q663,COMISIONES!$C$2:$K$33,9,0)&gt;=VLOOKUP(TC!Q663,COMISIONES!$C$2:$I$33,7,0),1,0),0)</f>
        <v>0</v>
      </c>
      <c r="W663" s="262">
        <f>+IF(H663="Segunda",VLOOKUP(_xlfn.CONCAT(P663,G663,H663,V663),'PUNTOS 2021'!$E$23:$F$30,2,0),TC!L663)</f>
        <v>5</v>
      </c>
      <c r="X663" s="67">
        <f>+VLOOKUP(Q663,COMISIONES!$C$2:$AO$33,39,0)</f>
        <v>40</v>
      </c>
      <c r="Y663" s="67">
        <f t="shared" si="10"/>
        <v>200</v>
      </c>
      <c r="Z663" s="58" t="s">
        <v>80</v>
      </c>
      <c r="AA663" s="13">
        <f>+VLOOKUP(Q663,COMISIONES!$C$2:$C$33,1,0)</f>
        <v>20008700</v>
      </c>
      <c r="AB663" s="13" t="s">
        <v>269</v>
      </c>
    </row>
    <row r="664" spans="1:28" hidden="1">
      <c r="A664" s="117" t="s">
        <v>821</v>
      </c>
      <c r="B664" s="138">
        <v>45167</v>
      </c>
      <c r="C664" s="117" t="s">
        <v>2812</v>
      </c>
      <c r="D664" s="117" t="s">
        <v>2813</v>
      </c>
      <c r="E664" s="117" t="s">
        <v>2814</v>
      </c>
      <c r="F664" s="117"/>
      <c r="G664" s="117" t="s">
        <v>43</v>
      </c>
      <c r="H664" s="117" t="s">
        <v>1</v>
      </c>
      <c r="I664"/>
      <c r="J664"/>
      <c r="K664" s="117" t="s">
        <v>105</v>
      </c>
      <c r="L664">
        <v>3</v>
      </c>
      <c r="M664" s="117" t="s">
        <v>255</v>
      </c>
      <c r="N664" s="117" t="s">
        <v>4</v>
      </c>
      <c r="O664" s="117" t="s">
        <v>51</v>
      </c>
      <c r="P664" s="117" t="s">
        <v>40</v>
      </c>
      <c r="Q664" s="139">
        <v>20000033</v>
      </c>
      <c r="R664" s="117" t="s">
        <v>78</v>
      </c>
      <c r="S664" s="117" t="s">
        <v>109</v>
      </c>
      <c r="T664" s="117" t="s">
        <v>109</v>
      </c>
      <c r="U664" s="117" t="s">
        <v>128</v>
      </c>
      <c r="V664" s="12">
        <f>+IFERROR(IF(VLOOKUP(Q664,COMISIONES!$C$2:$K$33,9,0)&gt;=VLOOKUP(TC!Q664,COMISIONES!$C$2:$I$33,7,0),1,0),0)</f>
        <v>1</v>
      </c>
      <c r="W664" s="262">
        <f>+IF(H664="Segunda",VLOOKUP(_xlfn.CONCAT(P664,G664,H664,V664),'PUNTOS 2021'!$E$23:$F$30,2,0),TC!L664)</f>
        <v>3</v>
      </c>
      <c r="X664" s="67">
        <f>+VLOOKUP(Q664,COMISIONES!$C$2:$AO$33,39,0)</f>
        <v>60</v>
      </c>
      <c r="Y664" s="67">
        <f t="shared" si="10"/>
        <v>180</v>
      </c>
      <c r="Z664" s="58" t="s">
        <v>80</v>
      </c>
      <c r="AA664" s="13">
        <f>+VLOOKUP(Q664,COMISIONES!$C$2:$C$33,1,0)</f>
        <v>20000033</v>
      </c>
      <c r="AB664" s="13" t="s">
        <v>269</v>
      </c>
    </row>
    <row r="665" spans="1:28" hidden="1">
      <c r="A665" s="117" t="s">
        <v>821</v>
      </c>
      <c r="B665" s="138">
        <v>45167</v>
      </c>
      <c r="C665" s="117" t="s">
        <v>2815</v>
      </c>
      <c r="D665" s="117" t="s">
        <v>2816</v>
      </c>
      <c r="E665" s="117" t="s">
        <v>2817</v>
      </c>
      <c r="F665" s="117"/>
      <c r="G665" s="117" t="s">
        <v>45</v>
      </c>
      <c r="H665" s="117" t="s">
        <v>1</v>
      </c>
      <c r="I665"/>
      <c r="J665"/>
      <c r="K665" s="117" t="s">
        <v>105</v>
      </c>
      <c r="L665">
        <v>7</v>
      </c>
      <c r="M665" s="117" t="s">
        <v>270</v>
      </c>
      <c r="N665" s="117" t="s">
        <v>271</v>
      </c>
      <c r="O665" s="117" t="s">
        <v>52</v>
      </c>
      <c r="P665" s="117" t="s">
        <v>40</v>
      </c>
      <c r="Q665" s="139">
        <v>20009592</v>
      </c>
      <c r="R665" s="117" t="s">
        <v>78</v>
      </c>
      <c r="S665" s="117" t="s">
        <v>109</v>
      </c>
      <c r="T665" s="117" t="s">
        <v>109</v>
      </c>
      <c r="U665" s="117" t="s">
        <v>128</v>
      </c>
      <c r="V665" s="12">
        <f>+IFERROR(IF(VLOOKUP(Q665,COMISIONES!$C$2:$K$33,9,0)&gt;=VLOOKUP(TC!Q665,COMISIONES!$C$2:$I$33,7,0),1,0),0)</f>
        <v>1</v>
      </c>
      <c r="W665" s="262">
        <f>+IF(H665="Segunda",VLOOKUP(_xlfn.CONCAT(P665,G665,H665,V665),'PUNTOS 2021'!$E$23:$F$30,2,0),TC!L665)</f>
        <v>7</v>
      </c>
      <c r="X665" s="67">
        <f>+VLOOKUP(Q665,COMISIONES!$C$2:$AO$33,39,0)</f>
        <v>60</v>
      </c>
      <c r="Y665" s="67">
        <f t="shared" si="10"/>
        <v>420</v>
      </c>
      <c r="Z665" s="58" t="s">
        <v>80</v>
      </c>
      <c r="AA665" s="13">
        <f>+VLOOKUP(Q665,COMISIONES!$C$2:$C$33,1,0)</f>
        <v>20009592</v>
      </c>
      <c r="AB665" s="13" t="s">
        <v>269</v>
      </c>
    </row>
    <row r="666" spans="1:28" hidden="1">
      <c r="A666" s="117" t="s">
        <v>821</v>
      </c>
      <c r="B666" s="138">
        <v>45167</v>
      </c>
      <c r="C666" s="117" t="s">
        <v>2818</v>
      </c>
      <c r="D666" s="117" t="s">
        <v>2819</v>
      </c>
      <c r="E666" s="117" t="s">
        <v>2820</v>
      </c>
      <c r="F666" s="117"/>
      <c r="G666" s="117" t="s">
        <v>44</v>
      </c>
      <c r="H666" s="117" t="s">
        <v>1</v>
      </c>
      <c r="I666"/>
      <c r="J666"/>
      <c r="K666" s="117" t="s">
        <v>105</v>
      </c>
      <c r="L666">
        <v>5</v>
      </c>
      <c r="M666" s="117" t="s">
        <v>260</v>
      </c>
      <c r="N666" s="117" t="s">
        <v>261</v>
      </c>
      <c r="O666" s="117" t="s">
        <v>52</v>
      </c>
      <c r="P666" s="117" t="s">
        <v>40</v>
      </c>
      <c r="Q666" s="139">
        <v>20010262</v>
      </c>
      <c r="R666" s="117" t="s">
        <v>78</v>
      </c>
      <c r="S666" s="117" t="s">
        <v>109</v>
      </c>
      <c r="T666" s="117" t="s">
        <v>109</v>
      </c>
      <c r="U666" s="117" t="s">
        <v>128</v>
      </c>
      <c r="V666" s="12">
        <f>+IFERROR(IF(VLOOKUP(Q666,COMISIONES!$C$2:$K$33,9,0)&gt;=VLOOKUP(TC!Q666,COMISIONES!$C$2:$I$33,7,0),1,0),0)</f>
        <v>0</v>
      </c>
      <c r="W666" s="262">
        <f>+IF(H666="Segunda",VLOOKUP(_xlfn.CONCAT(P666,G666,H666,V666),'PUNTOS 2021'!$E$23:$F$30,2,0),TC!L666)</f>
        <v>5</v>
      </c>
      <c r="X666" s="67">
        <f>+VLOOKUP(Q666,COMISIONES!$C$2:$AO$33,39,0)</f>
        <v>60</v>
      </c>
      <c r="Y666" s="67">
        <f t="shared" si="10"/>
        <v>300</v>
      </c>
      <c r="Z666" s="58" t="s">
        <v>80</v>
      </c>
      <c r="AA666" s="13">
        <f>+VLOOKUP(Q666,COMISIONES!$C$2:$C$33,1,0)</f>
        <v>20010262</v>
      </c>
      <c r="AB666" s="13" t="s">
        <v>269</v>
      </c>
    </row>
    <row r="667" spans="1:28">
      <c r="A667" s="117" t="s">
        <v>821</v>
      </c>
      <c r="B667" s="138">
        <v>45167</v>
      </c>
      <c r="C667" s="117" t="s">
        <v>2821</v>
      </c>
      <c r="D667" s="117" t="s">
        <v>2822</v>
      </c>
      <c r="E667" s="117" t="s">
        <v>2823</v>
      </c>
      <c r="F667" s="117"/>
      <c r="G667" s="117" t="s">
        <v>45</v>
      </c>
      <c r="H667" s="117" t="s">
        <v>2</v>
      </c>
      <c r="I667"/>
      <c r="J667"/>
      <c r="K667" s="117" t="s">
        <v>105</v>
      </c>
      <c r="L667">
        <v>2</v>
      </c>
      <c r="M667" s="117" t="s">
        <v>106</v>
      </c>
      <c r="N667" s="117" t="s">
        <v>8</v>
      </c>
      <c r="O667" s="117" t="s">
        <v>51</v>
      </c>
      <c r="P667" s="117" t="s">
        <v>40</v>
      </c>
      <c r="Q667" s="139">
        <v>20002636</v>
      </c>
      <c r="R667" s="117" t="s">
        <v>78</v>
      </c>
      <c r="S667" s="117" t="s">
        <v>109</v>
      </c>
      <c r="T667" s="117" t="s">
        <v>109</v>
      </c>
      <c r="U667" s="117" t="s">
        <v>128</v>
      </c>
      <c r="V667" s="12">
        <f>+IFERROR(IF(VLOOKUP(Q667,COMISIONES!$C$2:$K$33,9,0)&gt;=VLOOKUP(TC!Q667,COMISIONES!$C$2:$I$33,7,0),1,0),0)</f>
        <v>0</v>
      </c>
      <c r="W667" s="262">
        <f>+IF(H667="Segunda",VLOOKUP(_xlfn.CONCAT(P667,G667,H667,V667),'PUNTOS 2021'!$E$23:$F$30,2,0),TC!L667)</f>
        <v>0.5</v>
      </c>
      <c r="X667" s="67">
        <f>+VLOOKUP(Q667,COMISIONES!$C$2:$AO$33,39,0)</f>
        <v>40</v>
      </c>
      <c r="Y667" s="67">
        <f t="shared" si="10"/>
        <v>20</v>
      </c>
      <c r="Z667" s="58" t="s">
        <v>80</v>
      </c>
      <c r="AA667" s="13">
        <f>+VLOOKUP(Q667,COMISIONES!$C$2:$C$33,1,0)</f>
        <v>20002636</v>
      </c>
      <c r="AB667" s="13" t="s">
        <v>269</v>
      </c>
    </row>
    <row r="668" spans="1:28" hidden="1">
      <c r="A668" s="117" t="s">
        <v>821</v>
      </c>
      <c r="B668" s="138">
        <v>45167</v>
      </c>
      <c r="C668" s="117" t="s">
        <v>2824</v>
      </c>
      <c r="D668" s="117" t="s">
        <v>2825</v>
      </c>
      <c r="E668" s="117" t="s">
        <v>2826</v>
      </c>
      <c r="F668" s="117"/>
      <c r="G668" s="117" t="s">
        <v>45</v>
      </c>
      <c r="H668" s="117" t="s">
        <v>1</v>
      </c>
      <c r="I668"/>
      <c r="J668"/>
      <c r="K668" s="117" t="s">
        <v>105</v>
      </c>
      <c r="L668">
        <v>7</v>
      </c>
      <c r="M668" s="117" t="s">
        <v>159</v>
      </c>
      <c r="N668" s="117" t="s">
        <v>227</v>
      </c>
      <c r="O668" s="117" t="s">
        <v>49</v>
      </c>
      <c r="P668" s="117" t="s">
        <v>40</v>
      </c>
      <c r="Q668" s="139">
        <v>20009690</v>
      </c>
      <c r="R668" s="117" t="s">
        <v>78</v>
      </c>
      <c r="S668" s="117" t="s">
        <v>109</v>
      </c>
      <c r="T668" s="117" t="s">
        <v>109</v>
      </c>
      <c r="U668" s="117" t="s">
        <v>128</v>
      </c>
      <c r="V668" s="12">
        <f>+IFERROR(IF(VLOOKUP(Q668,COMISIONES!$C$2:$K$33,9,0)&gt;=VLOOKUP(TC!Q668,COMISIONES!$C$2:$I$33,7,0),1,0),0)</f>
        <v>0</v>
      </c>
      <c r="W668" s="262">
        <f>+IF(H668="Segunda",VLOOKUP(_xlfn.CONCAT(P668,G668,H668,V668),'PUNTOS 2021'!$E$23:$F$30,2,0),TC!L668)</f>
        <v>7</v>
      </c>
      <c r="X668" s="67">
        <f>+VLOOKUP(Q668,COMISIONES!$C$2:$AO$33,39,0)</f>
        <v>45</v>
      </c>
      <c r="Y668" s="67">
        <f t="shared" si="10"/>
        <v>315</v>
      </c>
      <c r="Z668" s="58" t="s">
        <v>80</v>
      </c>
      <c r="AA668" s="13">
        <f>+VLOOKUP(Q668,COMISIONES!$C$2:$C$33,1,0)</f>
        <v>20009690</v>
      </c>
      <c r="AB668" s="13" t="s">
        <v>269</v>
      </c>
    </row>
    <row r="669" spans="1:28" hidden="1">
      <c r="A669" s="117" t="s">
        <v>821</v>
      </c>
      <c r="B669" s="138">
        <v>45167</v>
      </c>
      <c r="C669" s="117" t="s">
        <v>2827</v>
      </c>
      <c r="D669" s="117" t="s">
        <v>2828</v>
      </c>
      <c r="E669" s="117" t="s">
        <v>2829</v>
      </c>
      <c r="F669" s="117"/>
      <c r="G669" s="117" t="s">
        <v>43</v>
      </c>
      <c r="H669" s="117" t="s">
        <v>1</v>
      </c>
      <c r="I669"/>
      <c r="J669"/>
      <c r="K669" s="117" t="s">
        <v>105</v>
      </c>
      <c r="L669">
        <v>3</v>
      </c>
      <c r="M669" s="117" t="s">
        <v>256</v>
      </c>
      <c r="N669" s="117" t="s">
        <v>236</v>
      </c>
      <c r="O669" s="117" t="s">
        <v>49</v>
      </c>
      <c r="P669" s="117" t="s">
        <v>40</v>
      </c>
      <c r="Q669" s="139">
        <v>20010101</v>
      </c>
      <c r="R669" s="117" t="s">
        <v>78</v>
      </c>
      <c r="S669" s="117" t="s">
        <v>109</v>
      </c>
      <c r="T669" s="117" t="s">
        <v>109</v>
      </c>
      <c r="U669" s="117" t="s">
        <v>128</v>
      </c>
      <c r="V669" s="12">
        <f>+IFERROR(IF(VLOOKUP(Q669,COMISIONES!$C$2:$K$33,9,0)&gt;=VLOOKUP(TC!Q669,COMISIONES!$C$2:$I$33,7,0),1,0),0)</f>
        <v>0</v>
      </c>
      <c r="W669" s="262">
        <f>+IF(H669="Segunda",VLOOKUP(_xlfn.CONCAT(P669,G669,H669,V669),'PUNTOS 2021'!$E$23:$F$30,2,0),TC!L669)</f>
        <v>3</v>
      </c>
      <c r="X669" s="67">
        <f>+VLOOKUP(Q669,COMISIONES!$C$2:$AO$33,39,0)</f>
        <v>65</v>
      </c>
      <c r="Y669" s="67">
        <f t="shared" si="10"/>
        <v>195</v>
      </c>
      <c r="Z669" s="58" t="s">
        <v>80</v>
      </c>
      <c r="AA669" s="13">
        <f>+VLOOKUP(Q669,COMISIONES!$C$2:$C$33,1,0)</f>
        <v>20010101</v>
      </c>
      <c r="AB669" s="13" t="s">
        <v>269</v>
      </c>
    </row>
    <row r="670" spans="1:28" hidden="1">
      <c r="A670" s="117" t="s">
        <v>821</v>
      </c>
      <c r="B670" s="138">
        <v>45167</v>
      </c>
      <c r="C670" s="117" t="s">
        <v>2830</v>
      </c>
      <c r="D670" s="117" t="s">
        <v>2831</v>
      </c>
      <c r="E670" s="117" t="s">
        <v>2832</v>
      </c>
      <c r="F670" s="117"/>
      <c r="G670" s="117" t="s">
        <v>43</v>
      </c>
      <c r="H670" s="117" t="s">
        <v>1</v>
      </c>
      <c r="I670"/>
      <c r="J670"/>
      <c r="K670" s="117" t="s">
        <v>105</v>
      </c>
      <c r="L670">
        <v>3</v>
      </c>
      <c r="M670" s="117" t="s">
        <v>255</v>
      </c>
      <c r="N670" s="117" t="s">
        <v>4</v>
      </c>
      <c r="O670" s="117" t="s">
        <v>51</v>
      </c>
      <c r="P670" s="117" t="s">
        <v>40</v>
      </c>
      <c r="Q670" s="139">
        <v>20000033</v>
      </c>
      <c r="R670" s="117" t="s">
        <v>78</v>
      </c>
      <c r="S670" s="117" t="s">
        <v>109</v>
      </c>
      <c r="T670" s="117" t="s">
        <v>109</v>
      </c>
      <c r="U670" s="117" t="s">
        <v>128</v>
      </c>
      <c r="V670" s="12">
        <f>+IFERROR(IF(VLOOKUP(Q670,COMISIONES!$C$2:$K$33,9,0)&gt;=VLOOKUP(TC!Q670,COMISIONES!$C$2:$I$33,7,0),1,0),0)</f>
        <v>1</v>
      </c>
      <c r="W670" s="262">
        <f>+IF(H670="Segunda",VLOOKUP(_xlfn.CONCAT(P670,G670,H670,V670),'PUNTOS 2021'!$E$23:$F$30,2,0),TC!L670)</f>
        <v>3</v>
      </c>
      <c r="X670" s="67">
        <f>+VLOOKUP(Q670,COMISIONES!$C$2:$AO$33,39,0)</f>
        <v>60</v>
      </c>
      <c r="Y670" s="67">
        <f t="shared" si="10"/>
        <v>180</v>
      </c>
      <c r="Z670" s="58" t="s">
        <v>80</v>
      </c>
      <c r="AA670" s="13">
        <f>+VLOOKUP(Q670,COMISIONES!$C$2:$C$33,1,0)</f>
        <v>20000033</v>
      </c>
      <c r="AB670" s="13" t="s">
        <v>269</v>
      </c>
    </row>
    <row r="671" spans="1:28" hidden="1">
      <c r="A671" s="117" t="s">
        <v>821</v>
      </c>
      <c r="B671" s="138">
        <v>45167</v>
      </c>
      <c r="C671" s="117" t="s">
        <v>2833</v>
      </c>
      <c r="D671" s="117" t="s">
        <v>2834</v>
      </c>
      <c r="E671" s="117" t="s">
        <v>2835</v>
      </c>
      <c r="F671" s="117"/>
      <c r="G671" s="117" t="s">
        <v>45</v>
      </c>
      <c r="H671" s="117" t="s">
        <v>1</v>
      </c>
      <c r="I671"/>
      <c r="J671"/>
      <c r="K671" s="117" t="s">
        <v>105</v>
      </c>
      <c r="L671">
        <v>7</v>
      </c>
      <c r="M671" s="117" t="s">
        <v>115</v>
      </c>
      <c r="N671" s="117" t="s">
        <v>6</v>
      </c>
      <c r="O671" s="117" t="s">
        <v>51</v>
      </c>
      <c r="P671" s="117" t="s">
        <v>40</v>
      </c>
      <c r="Q671" s="139">
        <v>20001487</v>
      </c>
      <c r="R671" s="117" t="s">
        <v>78</v>
      </c>
      <c r="S671" s="117" t="s">
        <v>109</v>
      </c>
      <c r="T671" s="117" t="s">
        <v>109</v>
      </c>
      <c r="U671" s="117" t="s">
        <v>128</v>
      </c>
      <c r="V671" s="12">
        <f>+IFERROR(IF(VLOOKUP(Q671,COMISIONES!$C$2:$K$33,9,0)&gt;=VLOOKUP(TC!Q671,COMISIONES!$C$2:$I$33,7,0),1,0),0)</f>
        <v>1</v>
      </c>
      <c r="W671" s="262">
        <f>+IF(H671="Segunda",VLOOKUP(_xlfn.CONCAT(P671,G671,H671,V671),'PUNTOS 2021'!$E$23:$F$30,2,0),TC!L671)</f>
        <v>7</v>
      </c>
      <c r="X671" s="67">
        <f>+VLOOKUP(Q671,COMISIONES!$C$2:$AO$33,39,0)</f>
        <v>65</v>
      </c>
      <c r="Y671" s="67">
        <f t="shared" si="10"/>
        <v>455</v>
      </c>
      <c r="Z671" s="58" t="s">
        <v>80</v>
      </c>
      <c r="AA671" s="13">
        <f>+VLOOKUP(Q671,COMISIONES!$C$2:$C$33,1,0)</f>
        <v>20001487</v>
      </c>
      <c r="AB671" s="13" t="s">
        <v>269</v>
      </c>
    </row>
    <row r="672" spans="1:28" hidden="1">
      <c r="A672" s="117" t="s">
        <v>821</v>
      </c>
      <c r="B672" s="138">
        <v>45167</v>
      </c>
      <c r="C672" s="117" t="s">
        <v>2836</v>
      </c>
      <c r="D672" s="117" t="s">
        <v>2837</v>
      </c>
      <c r="E672" s="117" t="s">
        <v>2838</v>
      </c>
      <c r="F672" s="117"/>
      <c r="G672" s="117" t="s">
        <v>45</v>
      </c>
      <c r="H672" s="117" t="s">
        <v>1</v>
      </c>
      <c r="I672"/>
      <c r="J672"/>
      <c r="K672" s="117" t="s">
        <v>105</v>
      </c>
      <c r="L672">
        <v>7</v>
      </c>
      <c r="M672" s="117" t="s">
        <v>120</v>
      </c>
      <c r="N672" s="117" t="s">
        <v>21</v>
      </c>
      <c r="O672" s="117" t="s">
        <v>50</v>
      </c>
      <c r="P672" s="117" t="s">
        <v>40</v>
      </c>
      <c r="Q672" s="139">
        <v>20008711</v>
      </c>
      <c r="R672" s="117" t="s">
        <v>78</v>
      </c>
      <c r="S672" s="117" t="s">
        <v>109</v>
      </c>
      <c r="T672" s="117" t="s">
        <v>109</v>
      </c>
      <c r="U672" s="117" t="s">
        <v>128</v>
      </c>
      <c r="V672" s="12">
        <f>+IFERROR(IF(VLOOKUP(Q672,COMISIONES!$C$2:$K$33,9,0)&gt;=VLOOKUP(TC!Q672,COMISIONES!$C$2:$I$33,7,0),1,0),0)</f>
        <v>0</v>
      </c>
      <c r="W672" s="262">
        <f>+IF(H672="Segunda",VLOOKUP(_xlfn.CONCAT(P672,G672,H672,V672),'PUNTOS 2021'!$E$23:$F$30,2,0),TC!L672)</f>
        <v>7</v>
      </c>
      <c r="X672" s="67">
        <f>+VLOOKUP(Q672,COMISIONES!$C$2:$AO$33,39,0)</f>
        <v>60</v>
      </c>
      <c r="Y672" s="67">
        <f t="shared" si="10"/>
        <v>420</v>
      </c>
      <c r="Z672" s="58" t="s">
        <v>80</v>
      </c>
      <c r="AA672" s="13">
        <f>+VLOOKUP(Q672,COMISIONES!$C$2:$C$33,1,0)</f>
        <v>20008711</v>
      </c>
      <c r="AB672" s="13" t="s">
        <v>269</v>
      </c>
    </row>
    <row r="673" spans="1:28" hidden="1">
      <c r="A673" s="117" t="s">
        <v>821</v>
      </c>
      <c r="B673" s="138">
        <v>45167</v>
      </c>
      <c r="C673" s="117" t="s">
        <v>2839</v>
      </c>
      <c r="D673" s="117" t="s">
        <v>2840</v>
      </c>
      <c r="E673" s="117" t="s">
        <v>2841</v>
      </c>
      <c r="F673" s="117"/>
      <c r="G673" s="117" t="s">
        <v>44</v>
      </c>
      <c r="H673" s="117" t="s">
        <v>1</v>
      </c>
      <c r="I673"/>
      <c r="J673"/>
      <c r="K673" s="117" t="s">
        <v>105</v>
      </c>
      <c r="L673">
        <v>5</v>
      </c>
      <c r="M673" s="117" t="s">
        <v>272</v>
      </c>
      <c r="N673" s="117" t="s">
        <v>275</v>
      </c>
      <c r="O673" s="117" t="s">
        <v>52</v>
      </c>
      <c r="P673" s="117" t="s">
        <v>40</v>
      </c>
      <c r="Q673" s="139">
        <v>20009688</v>
      </c>
      <c r="R673" s="117" t="s">
        <v>78</v>
      </c>
      <c r="S673" s="117" t="s">
        <v>109</v>
      </c>
      <c r="T673" s="117" t="s">
        <v>109</v>
      </c>
      <c r="U673" s="117" t="s">
        <v>128</v>
      </c>
      <c r="V673" s="12">
        <f>+IFERROR(IF(VLOOKUP(Q673,COMISIONES!$C$2:$K$33,9,0)&gt;=VLOOKUP(TC!Q673,COMISIONES!$C$2:$I$33,7,0),1,0),0)</f>
        <v>0</v>
      </c>
      <c r="W673" s="262">
        <f>+IF(H673="Segunda",VLOOKUP(_xlfn.CONCAT(P673,G673,H673,V673),'PUNTOS 2021'!$E$23:$F$30,2,0),TC!L673)</f>
        <v>5</v>
      </c>
      <c r="X673" s="67">
        <f>+VLOOKUP(Q673,COMISIONES!$C$2:$AO$33,39,0)</f>
        <v>30</v>
      </c>
      <c r="Y673" s="67">
        <f t="shared" si="10"/>
        <v>150</v>
      </c>
      <c r="Z673" s="58" t="s">
        <v>80</v>
      </c>
      <c r="AA673" s="13">
        <f>+VLOOKUP(Q673,COMISIONES!$C$2:$C$33,1,0)</f>
        <v>20009688</v>
      </c>
      <c r="AB673" s="13" t="s">
        <v>269</v>
      </c>
    </row>
    <row r="674" spans="1:28" hidden="1">
      <c r="A674" s="117" t="s">
        <v>821</v>
      </c>
      <c r="B674" s="138">
        <v>45167</v>
      </c>
      <c r="C674" s="117" t="s">
        <v>2842</v>
      </c>
      <c r="D674" s="117" t="s">
        <v>2843</v>
      </c>
      <c r="E674" s="117" t="s">
        <v>2844</v>
      </c>
      <c r="F674" s="117"/>
      <c r="G674" s="117" t="s">
        <v>43</v>
      </c>
      <c r="H674" s="117" t="s">
        <v>1</v>
      </c>
      <c r="I674"/>
      <c r="J674"/>
      <c r="K674" s="117" t="s">
        <v>105</v>
      </c>
      <c r="L674">
        <v>3</v>
      </c>
      <c r="M674" s="117" t="s">
        <v>127</v>
      </c>
      <c r="N674" s="117" t="s">
        <v>16</v>
      </c>
      <c r="O674" s="117" t="s">
        <v>49</v>
      </c>
      <c r="P674" s="117" t="s">
        <v>40</v>
      </c>
      <c r="Q674" s="139">
        <v>20002708</v>
      </c>
      <c r="R674" s="117" t="s">
        <v>78</v>
      </c>
      <c r="S674" s="117" t="s">
        <v>109</v>
      </c>
      <c r="T674" s="117" t="s">
        <v>109</v>
      </c>
      <c r="U674" s="117" t="s">
        <v>128</v>
      </c>
      <c r="V674" s="12">
        <f>+IFERROR(IF(VLOOKUP(Q674,COMISIONES!$C$2:$K$33,9,0)&gt;=VLOOKUP(TC!Q674,COMISIONES!$C$2:$I$33,7,0),1,0),0)</f>
        <v>0</v>
      </c>
      <c r="W674" s="262">
        <f>+IF(H674="Segunda",VLOOKUP(_xlfn.CONCAT(P674,G674,H674,V674),'PUNTOS 2021'!$E$23:$F$30,2,0),TC!L674)</f>
        <v>3</v>
      </c>
      <c r="X674" s="67">
        <f>+VLOOKUP(Q674,COMISIONES!$C$2:$AO$33,39,0)</f>
        <v>60</v>
      </c>
      <c r="Y674" s="67">
        <f t="shared" si="10"/>
        <v>180</v>
      </c>
      <c r="Z674" s="58" t="s">
        <v>80</v>
      </c>
      <c r="AA674" s="13">
        <f>+VLOOKUP(Q674,COMISIONES!$C$2:$C$33,1,0)</f>
        <v>20002708</v>
      </c>
      <c r="AB674" s="13" t="s">
        <v>269</v>
      </c>
    </row>
    <row r="675" spans="1:28" hidden="1">
      <c r="A675" s="117" t="s">
        <v>821</v>
      </c>
      <c r="B675" s="138">
        <v>45167</v>
      </c>
      <c r="C675" s="117" t="s">
        <v>2845</v>
      </c>
      <c r="D675" s="117" t="s">
        <v>2846</v>
      </c>
      <c r="E675" s="117" t="s">
        <v>2847</v>
      </c>
      <c r="F675" s="117"/>
      <c r="G675" s="117" t="s">
        <v>43</v>
      </c>
      <c r="H675" s="117" t="s">
        <v>1</v>
      </c>
      <c r="I675"/>
      <c r="J675"/>
      <c r="K675" s="117" t="s">
        <v>105</v>
      </c>
      <c r="L675">
        <v>3</v>
      </c>
      <c r="M675" s="117" t="s">
        <v>114</v>
      </c>
      <c r="N675" s="117" t="s">
        <v>19</v>
      </c>
      <c r="O675" s="117" t="s">
        <v>49</v>
      </c>
      <c r="P675" s="117" t="s">
        <v>40</v>
      </c>
      <c r="Q675" s="139">
        <v>20008625</v>
      </c>
      <c r="R675" s="117" t="s">
        <v>78</v>
      </c>
      <c r="S675" s="117" t="s">
        <v>109</v>
      </c>
      <c r="T675" s="117" t="s">
        <v>109</v>
      </c>
      <c r="U675" s="117" t="s">
        <v>128</v>
      </c>
      <c r="V675" s="12">
        <f>+IFERROR(IF(VLOOKUP(Q675,COMISIONES!$C$2:$K$33,9,0)&gt;=VLOOKUP(TC!Q675,COMISIONES!$C$2:$I$33,7,0),1,0),0)</f>
        <v>0</v>
      </c>
      <c r="W675" s="262">
        <f>+IF(H675="Segunda",VLOOKUP(_xlfn.CONCAT(P675,G675,H675,V675),'PUNTOS 2021'!$E$23:$F$30,2,0),TC!L675)</f>
        <v>3</v>
      </c>
      <c r="X675" s="67">
        <f>+VLOOKUP(Q675,COMISIONES!$C$2:$AO$33,39,0)</f>
        <v>20</v>
      </c>
      <c r="Y675" s="67">
        <f t="shared" si="10"/>
        <v>60</v>
      </c>
      <c r="Z675" s="58" t="s">
        <v>80</v>
      </c>
      <c r="AA675" s="13">
        <f>+VLOOKUP(Q675,COMISIONES!$C$2:$C$33,1,0)</f>
        <v>20008625</v>
      </c>
      <c r="AB675" s="13" t="s">
        <v>269</v>
      </c>
    </row>
    <row r="676" spans="1:28" hidden="1">
      <c r="A676" s="117" t="s">
        <v>821</v>
      </c>
      <c r="B676" s="138">
        <v>45167</v>
      </c>
      <c r="C676" s="117" t="s">
        <v>2848</v>
      </c>
      <c r="D676" s="117" t="s">
        <v>2849</v>
      </c>
      <c r="E676" s="117" t="s">
        <v>2850</v>
      </c>
      <c r="F676" s="117"/>
      <c r="G676" s="117" t="s">
        <v>45</v>
      </c>
      <c r="H676" s="117" t="s">
        <v>1</v>
      </c>
      <c r="I676"/>
      <c r="J676"/>
      <c r="K676" s="117" t="s">
        <v>105</v>
      </c>
      <c r="L676">
        <v>7</v>
      </c>
      <c r="M676" s="117" t="s">
        <v>260</v>
      </c>
      <c r="N676" s="117" t="s">
        <v>261</v>
      </c>
      <c r="O676" s="117" t="s">
        <v>52</v>
      </c>
      <c r="P676" s="117" t="s">
        <v>40</v>
      </c>
      <c r="Q676" s="139">
        <v>20010262</v>
      </c>
      <c r="R676" s="117" t="s">
        <v>78</v>
      </c>
      <c r="S676" s="117" t="s">
        <v>109</v>
      </c>
      <c r="T676" s="117" t="s">
        <v>109</v>
      </c>
      <c r="U676" s="117" t="s">
        <v>128</v>
      </c>
      <c r="V676" s="12">
        <f>+IFERROR(IF(VLOOKUP(Q676,COMISIONES!$C$2:$K$33,9,0)&gt;=VLOOKUP(TC!Q676,COMISIONES!$C$2:$I$33,7,0),1,0),0)</f>
        <v>0</v>
      </c>
      <c r="W676" s="262">
        <f>+IF(H676="Segunda",VLOOKUP(_xlfn.CONCAT(P676,G676,H676,V676),'PUNTOS 2021'!$E$23:$F$30,2,0),TC!L676)</f>
        <v>7</v>
      </c>
      <c r="X676" s="67">
        <f>+VLOOKUP(Q676,COMISIONES!$C$2:$AO$33,39,0)</f>
        <v>60</v>
      </c>
      <c r="Y676" s="67">
        <f t="shared" si="10"/>
        <v>420</v>
      </c>
      <c r="Z676" s="58" t="s">
        <v>80</v>
      </c>
      <c r="AA676" s="13">
        <f>+VLOOKUP(Q676,COMISIONES!$C$2:$C$33,1,0)</f>
        <v>20010262</v>
      </c>
      <c r="AB676" s="13" t="s">
        <v>269</v>
      </c>
    </row>
    <row r="677" spans="1:28" hidden="1">
      <c r="A677" s="117" t="s">
        <v>821</v>
      </c>
      <c r="B677" s="138">
        <v>45167</v>
      </c>
      <c r="C677" s="117" t="s">
        <v>2851</v>
      </c>
      <c r="D677" s="117" t="s">
        <v>2852</v>
      </c>
      <c r="E677" s="117" t="s">
        <v>2853</v>
      </c>
      <c r="F677" s="117"/>
      <c r="G677" s="117" t="s">
        <v>44</v>
      </c>
      <c r="H677" s="117" t="s">
        <v>1</v>
      </c>
      <c r="I677"/>
      <c r="J677"/>
      <c r="K677" s="117" t="s">
        <v>105</v>
      </c>
      <c r="L677">
        <v>5</v>
      </c>
      <c r="M677" s="117" t="s">
        <v>270</v>
      </c>
      <c r="N677" s="117" t="s">
        <v>271</v>
      </c>
      <c r="O677" s="117" t="s">
        <v>52</v>
      </c>
      <c r="P677" s="117" t="s">
        <v>40</v>
      </c>
      <c r="Q677" s="139">
        <v>20009592</v>
      </c>
      <c r="R677" s="117" t="s">
        <v>78</v>
      </c>
      <c r="S677" s="117" t="s">
        <v>109</v>
      </c>
      <c r="T677" s="117" t="s">
        <v>109</v>
      </c>
      <c r="U677" s="117" t="s">
        <v>128</v>
      </c>
      <c r="V677" s="12">
        <f>+IFERROR(IF(VLOOKUP(Q677,COMISIONES!$C$2:$K$33,9,0)&gt;=VLOOKUP(TC!Q677,COMISIONES!$C$2:$I$33,7,0),1,0),0)</f>
        <v>1</v>
      </c>
      <c r="W677" s="262">
        <f>+IF(H677="Segunda",VLOOKUP(_xlfn.CONCAT(P677,G677,H677,V677),'PUNTOS 2021'!$E$23:$F$30,2,0),TC!L677)</f>
        <v>5</v>
      </c>
      <c r="X677" s="67">
        <f>+VLOOKUP(Q677,COMISIONES!$C$2:$AO$33,39,0)</f>
        <v>60</v>
      </c>
      <c r="Y677" s="67">
        <f t="shared" si="10"/>
        <v>300</v>
      </c>
      <c r="Z677" s="58" t="s">
        <v>80</v>
      </c>
      <c r="AA677" s="13">
        <f>+VLOOKUP(Q677,COMISIONES!$C$2:$C$33,1,0)</f>
        <v>20009592</v>
      </c>
      <c r="AB677" s="13" t="s">
        <v>269</v>
      </c>
    </row>
    <row r="678" spans="1:28" hidden="1">
      <c r="A678" s="117" t="s">
        <v>821</v>
      </c>
      <c r="B678" s="138">
        <v>45167</v>
      </c>
      <c r="C678" s="117" t="s">
        <v>2854</v>
      </c>
      <c r="D678" s="117" t="s">
        <v>2855</v>
      </c>
      <c r="E678" s="117" t="s">
        <v>2856</v>
      </c>
      <c r="F678" s="117"/>
      <c r="G678" s="117" t="s">
        <v>44</v>
      </c>
      <c r="H678" s="117" t="s">
        <v>1</v>
      </c>
      <c r="I678"/>
      <c r="J678"/>
      <c r="K678" s="117" t="s">
        <v>105</v>
      </c>
      <c r="L678">
        <v>5</v>
      </c>
      <c r="M678" s="117" t="s">
        <v>1946</v>
      </c>
      <c r="N678" s="117" t="s">
        <v>1947</v>
      </c>
      <c r="O678" s="117" t="s">
        <v>51</v>
      </c>
      <c r="P678" s="117" t="s">
        <v>40</v>
      </c>
      <c r="Q678" s="139">
        <v>20010766</v>
      </c>
      <c r="R678" s="117" t="s">
        <v>78</v>
      </c>
      <c r="S678" s="117" t="s">
        <v>109</v>
      </c>
      <c r="T678" s="117" t="s">
        <v>109</v>
      </c>
      <c r="U678" s="117" t="s">
        <v>128</v>
      </c>
      <c r="V678" s="12">
        <f>+IFERROR(IF(VLOOKUP(Q678,COMISIONES!$C$2:$K$33,9,0)&gt;=VLOOKUP(TC!Q678,COMISIONES!$C$2:$I$33,7,0),1,0),0)</f>
        <v>0</v>
      </c>
      <c r="W678" s="262">
        <f>+IF(H678="Segunda",VLOOKUP(_xlfn.CONCAT(P678,G678,H678,V678),'PUNTOS 2021'!$E$23:$F$30,2,0),TC!L678)</f>
        <v>5</v>
      </c>
      <c r="X678" s="67">
        <f>+VLOOKUP(Q678,COMISIONES!$C$2:$AO$33,39,0)</f>
        <v>20</v>
      </c>
      <c r="Y678" s="67">
        <f t="shared" si="10"/>
        <v>100</v>
      </c>
      <c r="Z678" s="58" t="s">
        <v>80</v>
      </c>
      <c r="AA678" s="13">
        <f>+VLOOKUP(Q678,COMISIONES!$C$2:$C$33,1,0)</f>
        <v>20010766</v>
      </c>
      <c r="AB678" s="13" t="s">
        <v>269</v>
      </c>
    </row>
    <row r="679" spans="1:28">
      <c r="A679" s="117" t="s">
        <v>821</v>
      </c>
      <c r="B679" s="138">
        <v>45167</v>
      </c>
      <c r="C679" s="117" t="s">
        <v>2857</v>
      </c>
      <c r="D679" s="117" t="s">
        <v>2858</v>
      </c>
      <c r="E679" s="117" t="s">
        <v>2859</v>
      </c>
      <c r="F679" s="117"/>
      <c r="G679" s="117" t="s">
        <v>43</v>
      </c>
      <c r="H679" s="117" t="s">
        <v>2</v>
      </c>
      <c r="I679"/>
      <c r="J679"/>
      <c r="K679" s="117" t="s">
        <v>105</v>
      </c>
      <c r="L679">
        <v>1</v>
      </c>
      <c r="M679" s="117" t="s">
        <v>112</v>
      </c>
      <c r="N679" s="117" t="s">
        <v>9</v>
      </c>
      <c r="O679" s="117" t="s">
        <v>51</v>
      </c>
      <c r="P679" s="117" t="s">
        <v>40</v>
      </c>
      <c r="Q679" s="139">
        <v>20004638</v>
      </c>
      <c r="R679" s="117" t="s">
        <v>78</v>
      </c>
      <c r="S679" s="117" t="s">
        <v>109</v>
      </c>
      <c r="T679" s="117" t="s">
        <v>109</v>
      </c>
      <c r="U679" s="117" t="s">
        <v>128</v>
      </c>
      <c r="V679" s="12">
        <f>+IFERROR(IF(VLOOKUP(Q679,COMISIONES!$C$2:$K$33,9,0)&gt;=VLOOKUP(TC!Q679,COMISIONES!$C$2:$I$33,7,0),1,0),0)</f>
        <v>0</v>
      </c>
      <c r="W679" s="262">
        <f>+IF(H679="Segunda",VLOOKUP(_xlfn.CONCAT(P679,G679,H679,V679),'PUNTOS 2021'!$E$23:$F$30,2,0),TC!L679)</f>
        <v>0.5</v>
      </c>
      <c r="X679" s="67">
        <f>+VLOOKUP(Q679,COMISIONES!$C$2:$AO$33,39,0)</f>
        <v>60</v>
      </c>
      <c r="Y679" s="67">
        <f t="shared" si="10"/>
        <v>30</v>
      </c>
      <c r="Z679" s="58" t="s">
        <v>80</v>
      </c>
      <c r="AA679" s="13">
        <f>+VLOOKUP(Q679,COMISIONES!$C$2:$C$33,1,0)</f>
        <v>20004638</v>
      </c>
      <c r="AB679" s="13" t="s">
        <v>269</v>
      </c>
    </row>
    <row r="680" spans="1:28" hidden="1">
      <c r="A680" s="117" t="s">
        <v>821</v>
      </c>
      <c r="B680" s="138">
        <v>45167</v>
      </c>
      <c r="C680" s="117" t="s">
        <v>2860</v>
      </c>
      <c r="D680" s="117" t="s">
        <v>2861</v>
      </c>
      <c r="E680" s="117" t="s">
        <v>2862</v>
      </c>
      <c r="F680" s="117"/>
      <c r="G680" s="117" t="s">
        <v>44</v>
      </c>
      <c r="H680" s="117" t="s">
        <v>1</v>
      </c>
      <c r="I680"/>
      <c r="J680"/>
      <c r="K680" s="117" t="s">
        <v>105</v>
      </c>
      <c r="L680">
        <v>5</v>
      </c>
      <c r="M680" s="117" t="s">
        <v>255</v>
      </c>
      <c r="N680" s="117" t="s">
        <v>4</v>
      </c>
      <c r="O680" s="117" t="s">
        <v>51</v>
      </c>
      <c r="P680" s="117" t="s">
        <v>40</v>
      </c>
      <c r="Q680" s="139">
        <v>20000033</v>
      </c>
      <c r="R680" s="117" t="s">
        <v>78</v>
      </c>
      <c r="S680" s="117" t="s">
        <v>109</v>
      </c>
      <c r="T680" s="117" t="s">
        <v>109</v>
      </c>
      <c r="U680" s="117" t="s">
        <v>128</v>
      </c>
      <c r="V680" s="12">
        <f>+IFERROR(IF(VLOOKUP(Q680,COMISIONES!$C$2:$K$33,9,0)&gt;=VLOOKUP(TC!Q680,COMISIONES!$C$2:$I$33,7,0),1,0),0)</f>
        <v>1</v>
      </c>
      <c r="W680" s="262">
        <f>+IF(H680="Segunda",VLOOKUP(_xlfn.CONCAT(P680,G680,H680,V680),'PUNTOS 2021'!$E$23:$F$30,2,0),TC!L680)</f>
        <v>5</v>
      </c>
      <c r="X680" s="67">
        <f>+VLOOKUP(Q680,COMISIONES!$C$2:$AO$33,39,0)</f>
        <v>60</v>
      </c>
      <c r="Y680" s="67">
        <f t="shared" si="10"/>
        <v>300</v>
      </c>
      <c r="Z680" s="58" t="s">
        <v>80</v>
      </c>
      <c r="AA680" s="13">
        <f>+VLOOKUP(Q680,COMISIONES!$C$2:$C$33,1,0)</f>
        <v>20000033</v>
      </c>
      <c r="AB680" s="13" t="s">
        <v>269</v>
      </c>
    </row>
    <row r="681" spans="1:28">
      <c r="A681" s="117" t="s">
        <v>821</v>
      </c>
      <c r="B681" s="138">
        <v>45168</v>
      </c>
      <c r="C681" s="117" t="s">
        <v>2863</v>
      </c>
      <c r="D681" s="117" t="s">
        <v>2864</v>
      </c>
      <c r="E681" s="117" t="s">
        <v>2865</v>
      </c>
      <c r="F681" s="117"/>
      <c r="G681" s="117" t="s">
        <v>44</v>
      </c>
      <c r="H681" s="117" t="s">
        <v>2</v>
      </c>
      <c r="I681"/>
      <c r="J681"/>
      <c r="K681" s="117" t="s">
        <v>105</v>
      </c>
      <c r="L681">
        <v>1</v>
      </c>
      <c r="M681" s="117" t="s">
        <v>413</v>
      </c>
      <c r="N681" s="117" t="s">
        <v>390</v>
      </c>
      <c r="O681" s="117" t="s">
        <v>49</v>
      </c>
      <c r="P681" s="117" t="s">
        <v>40</v>
      </c>
      <c r="Q681" s="139">
        <v>20010617</v>
      </c>
      <c r="R681" s="117" t="s">
        <v>78</v>
      </c>
      <c r="S681" s="117" t="s">
        <v>109</v>
      </c>
      <c r="T681" s="117" t="s">
        <v>109</v>
      </c>
      <c r="U681" s="117" t="s">
        <v>128</v>
      </c>
      <c r="V681" s="12">
        <f>+IFERROR(IF(VLOOKUP(Q681,COMISIONES!$C$2:$K$33,9,0)&gt;=VLOOKUP(TC!Q681,COMISIONES!$C$2:$I$33,7,0),1,0),0)</f>
        <v>0</v>
      </c>
      <c r="W681" s="262">
        <f>+IF(H681="Segunda",VLOOKUP(_xlfn.CONCAT(P681,G681,H681,V681),'PUNTOS 2021'!$E$23:$F$30,2,0),TC!L681)</f>
        <v>0.5</v>
      </c>
      <c r="X681" s="67">
        <f>+VLOOKUP(Q681,COMISIONES!$C$2:$AO$33,39,0)</f>
        <v>18</v>
      </c>
      <c r="Y681" s="67">
        <f t="shared" si="10"/>
        <v>9</v>
      </c>
      <c r="Z681" s="58" t="s">
        <v>80</v>
      </c>
      <c r="AA681" s="13">
        <f>+VLOOKUP(Q681,COMISIONES!$C$2:$C$33,1,0)</f>
        <v>20010617</v>
      </c>
      <c r="AB681" s="13" t="s">
        <v>269</v>
      </c>
    </row>
    <row r="682" spans="1:28" hidden="1">
      <c r="A682" s="117" t="s">
        <v>821</v>
      </c>
      <c r="B682" s="138">
        <v>45168</v>
      </c>
      <c r="C682" s="117" t="s">
        <v>2866</v>
      </c>
      <c r="D682" s="117" t="s">
        <v>2867</v>
      </c>
      <c r="E682" s="117" t="s">
        <v>2868</v>
      </c>
      <c r="F682" s="117"/>
      <c r="G682" s="117" t="s">
        <v>44</v>
      </c>
      <c r="H682" s="117" t="s">
        <v>1</v>
      </c>
      <c r="I682"/>
      <c r="J682"/>
      <c r="K682" s="117" t="s">
        <v>105</v>
      </c>
      <c r="L682">
        <v>5</v>
      </c>
      <c r="M682" s="117" t="s">
        <v>114</v>
      </c>
      <c r="N682" s="117" t="s">
        <v>19</v>
      </c>
      <c r="O682" s="117" t="s">
        <v>49</v>
      </c>
      <c r="P682" s="117" t="s">
        <v>40</v>
      </c>
      <c r="Q682" s="139">
        <v>20008625</v>
      </c>
      <c r="R682" s="117" t="s">
        <v>78</v>
      </c>
      <c r="S682" s="117" t="s">
        <v>109</v>
      </c>
      <c r="T682" s="117" t="s">
        <v>109</v>
      </c>
      <c r="U682" s="117" t="s">
        <v>128</v>
      </c>
      <c r="V682" s="12">
        <f>+IFERROR(IF(VLOOKUP(Q682,COMISIONES!$C$2:$K$33,9,0)&gt;=VLOOKUP(TC!Q682,COMISIONES!$C$2:$I$33,7,0),1,0),0)</f>
        <v>0</v>
      </c>
      <c r="W682" s="262">
        <f>+IF(H682="Segunda",VLOOKUP(_xlfn.CONCAT(P682,G682,H682,V682),'PUNTOS 2021'!$E$23:$F$30,2,0),TC!L682)</f>
        <v>5</v>
      </c>
      <c r="X682" s="67">
        <f>+VLOOKUP(Q682,COMISIONES!$C$2:$AO$33,39,0)</f>
        <v>20</v>
      </c>
      <c r="Y682" s="67">
        <f t="shared" si="10"/>
        <v>100</v>
      </c>
      <c r="Z682" s="58" t="s">
        <v>80</v>
      </c>
      <c r="AA682" s="13">
        <f>+VLOOKUP(Q682,COMISIONES!$C$2:$C$33,1,0)</f>
        <v>20008625</v>
      </c>
      <c r="AB682" s="13" t="s">
        <v>269</v>
      </c>
    </row>
    <row r="683" spans="1:28" hidden="1">
      <c r="A683" s="117" t="s">
        <v>821</v>
      </c>
      <c r="B683" s="138">
        <v>45168</v>
      </c>
      <c r="C683" s="117" t="s">
        <v>2869</v>
      </c>
      <c r="D683" s="117" t="s">
        <v>2870</v>
      </c>
      <c r="E683" s="117" t="s">
        <v>2871</v>
      </c>
      <c r="F683" s="117"/>
      <c r="G683" s="117" t="s">
        <v>45</v>
      </c>
      <c r="H683" s="117" t="s">
        <v>1</v>
      </c>
      <c r="I683"/>
      <c r="J683"/>
      <c r="K683" s="117" t="s">
        <v>105</v>
      </c>
      <c r="L683">
        <v>7</v>
      </c>
      <c r="M683" s="117" t="s">
        <v>256</v>
      </c>
      <c r="N683" s="117" t="s">
        <v>236</v>
      </c>
      <c r="O683" s="117" t="s">
        <v>49</v>
      </c>
      <c r="P683" s="117" t="s">
        <v>40</v>
      </c>
      <c r="Q683" s="139">
        <v>20010101</v>
      </c>
      <c r="R683" s="117" t="s">
        <v>78</v>
      </c>
      <c r="S683" s="117" t="s">
        <v>109</v>
      </c>
      <c r="T683" s="117" t="s">
        <v>109</v>
      </c>
      <c r="U683" s="117" t="s">
        <v>128</v>
      </c>
      <c r="V683" s="12">
        <f>+IFERROR(IF(VLOOKUP(Q683,COMISIONES!$C$2:$K$33,9,0)&gt;=VLOOKUP(TC!Q683,COMISIONES!$C$2:$I$33,7,0),1,0),0)</f>
        <v>0</v>
      </c>
      <c r="W683" s="262">
        <f>+IF(H683="Segunda",VLOOKUP(_xlfn.CONCAT(P683,G683,H683,V683),'PUNTOS 2021'!$E$23:$F$30,2,0),TC!L683)</f>
        <v>7</v>
      </c>
      <c r="X683" s="67">
        <f>+VLOOKUP(Q683,COMISIONES!$C$2:$AO$33,39,0)</f>
        <v>65</v>
      </c>
      <c r="Y683" s="67">
        <f t="shared" si="10"/>
        <v>455</v>
      </c>
      <c r="Z683" s="58" t="s">
        <v>80</v>
      </c>
      <c r="AA683" s="13">
        <f>+VLOOKUP(Q683,COMISIONES!$C$2:$C$33,1,0)</f>
        <v>20010101</v>
      </c>
      <c r="AB683" s="13" t="s">
        <v>269</v>
      </c>
    </row>
    <row r="684" spans="1:28" hidden="1">
      <c r="A684" s="117" t="s">
        <v>821</v>
      </c>
      <c r="B684" s="138">
        <v>45168</v>
      </c>
      <c r="C684" s="117" t="s">
        <v>2872</v>
      </c>
      <c r="D684" s="117" t="s">
        <v>2873</v>
      </c>
      <c r="E684" s="117" t="s">
        <v>2874</v>
      </c>
      <c r="F684" s="117"/>
      <c r="G684" s="117" t="s">
        <v>43</v>
      </c>
      <c r="H684" s="117" t="s">
        <v>1</v>
      </c>
      <c r="I684"/>
      <c r="J684"/>
      <c r="K684" s="117" t="s">
        <v>105</v>
      </c>
      <c r="L684">
        <v>3</v>
      </c>
      <c r="M684" s="117" t="s">
        <v>273</v>
      </c>
      <c r="N684" s="117" t="s">
        <v>292</v>
      </c>
      <c r="O684" s="117" t="s">
        <v>51</v>
      </c>
      <c r="P684" s="117" t="s">
        <v>40</v>
      </c>
      <c r="Q684" s="139">
        <v>20007943</v>
      </c>
      <c r="R684" s="117" t="s">
        <v>78</v>
      </c>
      <c r="S684" s="117" t="s">
        <v>109</v>
      </c>
      <c r="T684" s="117" t="s">
        <v>109</v>
      </c>
      <c r="U684" s="117" t="s">
        <v>128</v>
      </c>
      <c r="V684" s="12">
        <f>+IFERROR(IF(VLOOKUP(Q684,COMISIONES!$C$2:$K$33,9,0)&gt;=VLOOKUP(TC!Q684,COMISIONES!$C$2:$I$33,7,0),1,0),0)</f>
        <v>0</v>
      </c>
      <c r="W684" s="262">
        <f>+IF(H684="Segunda",VLOOKUP(_xlfn.CONCAT(P684,G684,H684,V684),'PUNTOS 2021'!$E$23:$F$30,2,0),TC!L684)</f>
        <v>3</v>
      </c>
      <c r="X684" s="67">
        <f>+VLOOKUP(Q684,COMISIONES!$C$2:$AO$33,39,0)</f>
        <v>20</v>
      </c>
      <c r="Y684" s="67">
        <f t="shared" ref="Y684:Y746" si="11">X684*W684</f>
        <v>60</v>
      </c>
      <c r="Z684" s="58" t="s">
        <v>80</v>
      </c>
      <c r="AA684" s="13">
        <f>+VLOOKUP(Q684,COMISIONES!$C$2:$C$33,1,0)</f>
        <v>20007943</v>
      </c>
      <c r="AB684" s="13" t="s">
        <v>269</v>
      </c>
    </row>
    <row r="685" spans="1:28">
      <c r="A685" s="117" t="s">
        <v>821</v>
      </c>
      <c r="B685" s="138">
        <v>45168</v>
      </c>
      <c r="C685" s="117" t="s">
        <v>2875</v>
      </c>
      <c r="D685" s="117" t="s">
        <v>2876</v>
      </c>
      <c r="E685" s="117" t="s">
        <v>2877</v>
      </c>
      <c r="F685" s="117"/>
      <c r="G685" s="117" t="s">
        <v>45</v>
      </c>
      <c r="H685" s="117" t="s">
        <v>2</v>
      </c>
      <c r="I685"/>
      <c r="J685"/>
      <c r="K685" s="117" t="s">
        <v>105</v>
      </c>
      <c r="L685">
        <v>2</v>
      </c>
      <c r="M685" s="117" t="s">
        <v>106</v>
      </c>
      <c r="N685" s="117" t="s">
        <v>8</v>
      </c>
      <c r="O685" s="117" t="s">
        <v>51</v>
      </c>
      <c r="P685" s="117" t="s">
        <v>40</v>
      </c>
      <c r="Q685" s="139">
        <v>20002636</v>
      </c>
      <c r="R685" s="117" t="s">
        <v>78</v>
      </c>
      <c r="S685" s="117" t="s">
        <v>109</v>
      </c>
      <c r="T685" s="117" t="s">
        <v>109</v>
      </c>
      <c r="U685" s="117" t="s">
        <v>128</v>
      </c>
      <c r="V685" s="12">
        <f>+IFERROR(IF(VLOOKUP(Q685,COMISIONES!$C$2:$K$33,9,0)&gt;=VLOOKUP(TC!Q685,COMISIONES!$C$2:$I$33,7,0),1,0),0)</f>
        <v>0</v>
      </c>
      <c r="W685" s="262">
        <f>+IF(H685="Segunda",VLOOKUP(_xlfn.CONCAT(P685,G685,H685,V685),'PUNTOS 2021'!$E$23:$F$30,2,0),TC!L685)</f>
        <v>0.5</v>
      </c>
      <c r="X685" s="67">
        <f>+VLOOKUP(Q685,COMISIONES!$C$2:$AO$33,39,0)</f>
        <v>40</v>
      </c>
      <c r="Y685" s="67">
        <f t="shared" si="11"/>
        <v>20</v>
      </c>
      <c r="Z685" s="58" t="s">
        <v>80</v>
      </c>
      <c r="AA685" s="13">
        <f>+VLOOKUP(Q685,COMISIONES!$C$2:$C$33,1,0)</f>
        <v>20002636</v>
      </c>
      <c r="AB685" s="13" t="s">
        <v>269</v>
      </c>
    </row>
    <row r="686" spans="1:28" hidden="1">
      <c r="A686" s="117" t="s">
        <v>821</v>
      </c>
      <c r="B686" s="138">
        <v>45168</v>
      </c>
      <c r="C686" s="117" t="s">
        <v>2878</v>
      </c>
      <c r="D686" s="117" t="s">
        <v>2879</v>
      </c>
      <c r="E686" s="117" t="s">
        <v>2880</v>
      </c>
      <c r="F686" s="117"/>
      <c r="G686" s="117" t="s">
        <v>45</v>
      </c>
      <c r="H686" s="117" t="s">
        <v>1</v>
      </c>
      <c r="I686"/>
      <c r="J686"/>
      <c r="K686" s="117" t="s">
        <v>105</v>
      </c>
      <c r="L686">
        <v>7</v>
      </c>
      <c r="M686" s="117" t="s">
        <v>121</v>
      </c>
      <c r="N686" s="117" t="s">
        <v>3</v>
      </c>
      <c r="O686" s="117" t="s">
        <v>49</v>
      </c>
      <c r="P686" s="117" t="s">
        <v>40</v>
      </c>
      <c r="Q686" s="139">
        <v>20004161</v>
      </c>
      <c r="R686" s="117" t="s">
        <v>78</v>
      </c>
      <c r="S686" s="117" t="s">
        <v>109</v>
      </c>
      <c r="T686" s="117" t="s">
        <v>109</v>
      </c>
      <c r="U686" s="117" t="s">
        <v>128</v>
      </c>
      <c r="V686" s="12">
        <f>+IFERROR(IF(VLOOKUP(Q686,COMISIONES!$C$2:$K$33,9,0)&gt;=VLOOKUP(TC!Q686,COMISIONES!$C$2:$I$33,7,0),1,0),0)</f>
        <v>1</v>
      </c>
      <c r="W686" s="262">
        <f>+IF(H686="Segunda",VLOOKUP(_xlfn.CONCAT(P686,G686,H686,V686),'PUNTOS 2021'!$E$23:$F$30,2,0),TC!L686)</f>
        <v>7</v>
      </c>
      <c r="X686" s="67">
        <f>+VLOOKUP(Q686,COMISIONES!$C$2:$AO$33,39,0)</f>
        <v>65</v>
      </c>
      <c r="Y686" s="67">
        <f t="shared" si="11"/>
        <v>455</v>
      </c>
      <c r="Z686" s="58" t="s">
        <v>80</v>
      </c>
      <c r="AA686" s="13">
        <f>+VLOOKUP(Q686,COMISIONES!$C$2:$C$33,1,0)</f>
        <v>20004161</v>
      </c>
      <c r="AB686" s="13" t="s">
        <v>269</v>
      </c>
    </row>
    <row r="687" spans="1:28" hidden="1">
      <c r="A687" s="117" t="s">
        <v>821</v>
      </c>
      <c r="B687" s="138">
        <v>45168</v>
      </c>
      <c r="C687" s="117" t="s">
        <v>2881</v>
      </c>
      <c r="D687" s="117" t="s">
        <v>2882</v>
      </c>
      <c r="E687" s="117" t="s">
        <v>2883</v>
      </c>
      <c r="F687" s="117"/>
      <c r="G687" s="117" t="s">
        <v>44</v>
      </c>
      <c r="H687" s="117" t="s">
        <v>1</v>
      </c>
      <c r="I687"/>
      <c r="J687"/>
      <c r="K687" s="117" t="s">
        <v>105</v>
      </c>
      <c r="L687">
        <v>5</v>
      </c>
      <c r="M687" s="117" t="s">
        <v>121</v>
      </c>
      <c r="N687" s="117" t="s">
        <v>3</v>
      </c>
      <c r="O687" s="117" t="s">
        <v>49</v>
      </c>
      <c r="P687" s="117" t="s">
        <v>40</v>
      </c>
      <c r="Q687" s="139">
        <v>20004161</v>
      </c>
      <c r="R687" s="117" t="s">
        <v>78</v>
      </c>
      <c r="S687" s="117" t="s">
        <v>109</v>
      </c>
      <c r="T687" s="117" t="s">
        <v>109</v>
      </c>
      <c r="U687" s="117" t="s">
        <v>128</v>
      </c>
      <c r="V687" s="12">
        <f>+IFERROR(IF(VLOOKUP(Q687,COMISIONES!$C$2:$K$33,9,0)&gt;=VLOOKUP(TC!Q687,COMISIONES!$C$2:$I$33,7,0),1,0),0)</f>
        <v>1</v>
      </c>
      <c r="W687" s="262">
        <f>+IF(H687="Segunda",VLOOKUP(_xlfn.CONCAT(P687,G687,H687,V687),'PUNTOS 2021'!$E$23:$F$30,2,0),TC!L687)</f>
        <v>5</v>
      </c>
      <c r="X687" s="67">
        <f>+VLOOKUP(Q687,COMISIONES!$C$2:$AO$33,39,0)</f>
        <v>65</v>
      </c>
      <c r="Y687" s="67">
        <f t="shared" si="11"/>
        <v>325</v>
      </c>
      <c r="Z687" s="58" t="s">
        <v>80</v>
      </c>
      <c r="AA687" s="13">
        <f>+VLOOKUP(Q687,COMISIONES!$C$2:$C$33,1,0)</f>
        <v>20004161</v>
      </c>
      <c r="AB687" s="13" t="s">
        <v>269</v>
      </c>
    </row>
    <row r="688" spans="1:28">
      <c r="A688" s="117" t="s">
        <v>821</v>
      </c>
      <c r="B688" s="138">
        <v>45168</v>
      </c>
      <c r="C688" s="117" t="s">
        <v>2884</v>
      </c>
      <c r="D688" s="117" t="s">
        <v>2885</v>
      </c>
      <c r="E688" s="117" t="s">
        <v>2886</v>
      </c>
      <c r="F688" s="117"/>
      <c r="G688" s="117" t="s">
        <v>45</v>
      </c>
      <c r="H688" s="117" t="s">
        <v>2</v>
      </c>
      <c r="I688"/>
      <c r="J688"/>
      <c r="K688" s="117" t="s">
        <v>105</v>
      </c>
      <c r="L688">
        <v>2</v>
      </c>
      <c r="M688" s="117" t="s">
        <v>113</v>
      </c>
      <c r="N688" s="117" t="s">
        <v>12</v>
      </c>
      <c r="O688" s="117" t="s">
        <v>49</v>
      </c>
      <c r="P688" s="117" t="s">
        <v>40</v>
      </c>
      <c r="Q688" s="139">
        <v>20007726</v>
      </c>
      <c r="R688" s="117" t="s">
        <v>78</v>
      </c>
      <c r="S688" s="117" t="s">
        <v>109</v>
      </c>
      <c r="T688" s="117" t="s">
        <v>109</v>
      </c>
      <c r="U688" s="117" t="s">
        <v>128</v>
      </c>
      <c r="V688" s="12">
        <f>+IFERROR(IF(VLOOKUP(Q688,COMISIONES!$C$2:$K$33,9,0)&gt;=VLOOKUP(TC!Q688,COMISIONES!$C$2:$I$33,7,0),1,0),0)</f>
        <v>1</v>
      </c>
      <c r="W688" s="262">
        <f>+IF(H688="Segunda",VLOOKUP(_xlfn.CONCAT(P688,G688,H688,V688),'PUNTOS 2021'!$E$23:$F$30,2,0),TC!L688)</f>
        <v>2</v>
      </c>
      <c r="X688" s="67">
        <f>+VLOOKUP(Q688,COMISIONES!$C$2:$AO$33,39,0)</f>
        <v>65</v>
      </c>
      <c r="Y688" s="67">
        <f t="shared" si="11"/>
        <v>130</v>
      </c>
      <c r="Z688" s="58" t="s">
        <v>80</v>
      </c>
      <c r="AA688" s="13">
        <f>+VLOOKUP(Q688,COMISIONES!$C$2:$C$33,1,0)</f>
        <v>20007726</v>
      </c>
      <c r="AB688" s="13" t="s">
        <v>269</v>
      </c>
    </row>
    <row r="689" spans="1:28">
      <c r="A689" s="117" t="s">
        <v>821</v>
      </c>
      <c r="B689" s="138">
        <v>45168</v>
      </c>
      <c r="C689" s="117" t="s">
        <v>2887</v>
      </c>
      <c r="D689" s="117" t="s">
        <v>2888</v>
      </c>
      <c r="E689" s="117" t="s">
        <v>2889</v>
      </c>
      <c r="F689" s="117"/>
      <c r="G689" s="117" t="s">
        <v>44</v>
      </c>
      <c r="H689" s="117" t="s">
        <v>2</v>
      </c>
      <c r="I689"/>
      <c r="J689"/>
      <c r="K689" s="117" t="s">
        <v>105</v>
      </c>
      <c r="L689">
        <v>1</v>
      </c>
      <c r="M689" s="117" t="s">
        <v>114</v>
      </c>
      <c r="N689" s="117" t="s">
        <v>19</v>
      </c>
      <c r="O689" s="117" t="s">
        <v>49</v>
      </c>
      <c r="P689" s="117" t="s">
        <v>40</v>
      </c>
      <c r="Q689" s="139">
        <v>20008625</v>
      </c>
      <c r="R689" s="117" t="s">
        <v>78</v>
      </c>
      <c r="S689" s="117" t="s">
        <v>109</v>
      </c>
      <c r="T689" s="117" t="s">
        <v>109</v>
      </c>
      <c r="U689" s="117" t="s">
        <v>128</v>
      </c>
      <c r="V689" s="12">
        <f>+IFERROR(IF(VLOOKUP(Q689,COMISIONES!$C$2:$K$33,9,0)&gt;=VLOOKUP(TC!Q689,COMISIONES!$C$2:$I$33,7,0),1,0),0)</f>
        <v>0</v>
      </c>
      <c r="W689" s="262">
        <f>+IF(H689="Segunda",VLOOKUP(_xlfn.CONCAT(P689,G689,H689,V689),'PUNTOS 2021'!$E$23:$F$30,2,0),TC!L689)</f>
        <v>0.5</v>
      </c>
      <c r="X689" s="67">
        <f>+VLOOKUP(Q689,COMISIONES!$C$2:$AO$33,39,0)</f>
        <v>20</v>
      </c>
      <c r="Y689" s="67">
        <f t="shared" si="11"/>
        <v>10</v>
      </c>
      <c r="Z689" s="58" t="s">
        <v>80</v>
      </c>
      <c r="AA689" s="13">
        <f>+VLOOKUP(Q689,COMISIONES!$C$2:$C$33,1,0)</f>
        <v>20008625</v>
      </c>
      <c r="AB689" s="13" t="s">
        <v>269</v>
      </c>
    </row>
    <row r="690" spans="1:28" hidden="1">
      <c r="A690" s="117" t="s">
        <v>821</v>
      </c>
      <c r="B690" s="138">
        <v>45168</v>
      </c>
      <c r="C690" s="117" t="s">
        <v>2890</v>
      </c>
      <c r="D690" s="117" t="s">
        <v>2891</v>
      </c>
      <c r="E690" s="117" t="s">
        <v>2892</v>
      </c>
      <c r="F690" s="117"/>
      <c r="G690" s="117" t="s">
        <v>45</v>
      </c>
      <c r="H690" s="117" t="s">
        <v>1</v>
      </c>
      <c r="I690"/>
      <c r="J690"/>
      <c r="K690" s="117" t="s">
        <v>242</v>
      </c>
      <c r="L690">
        <v>7</v>
      </c>
      <c r="M690" s="117" t="s">
        <v>111</v>
      </c>
      <c r="N690" s="117" t="s">
        <v>14</v>
      </c>
      <c r="O690" s="117" t="s">
        <v>50</v>
      </c>
      <c r="P690" s="117" t="s">
        <v>40</v>
      </c>
      <c r="Q690" s="139">
        <v>20006360</v>
      </c>
      <c r="R690" s="117" t="s">
        <v>78</v>
      </c>
      <c r="S690" s="117" t="s">
        <v>109</v>
      </c>
      <c r="T690" s="117" t="s">
        <v>109</v>
      </c>
      <c r="U690" s="117" t="s">
        <v>128</v>
      </c>
      <c r="V690" s="12">
        <f>+IFERROR(IF(VLOOKUP(Q690,COMISIONES!$C$2:$K$33,9,0)&gt;=VLOOKUP(TC!Q690,COMISIONES!$C$2:$I$33,7,0),1,0),0)</f>
        <v>0</v>
      </c>
      <c r="W690" s="262">
        <f>+IF(H690="Segunda",VLOOKUP(_xlfn.CONCAT(P690,G690,H690,V690),'PUNTOS 2021'!$E$23:$F$30,2,0),TC!L690)</f>
        <v>7</v>
      </c>
      <c r="X690" s="67">
        <f>+VLOOKUP(Q690,COMISIONES!$C$2:$AO$33,39,0)</f>
        <v>40</v>
      </c>
      <c r="Y690" s="67">
        <f t="shared" si="11"/>
        <v>280</v>
      </c>
      <c r="Z690" s="58" t="s">
        <v>80</v>
      </c>
      <c r="AA690" s="13">
        <f>+VLOOKUP(Q690,COMISIONES!$C$2:$C$33,1,0)</f>
        <v>20006360</v>
      </c>
      <c r="AB690" s="13" t="s">
        <v>269</v>
      </c>
    </row>
    <row r="691" spans="1:28" hidden="1">
      <c r="A691" s="117" t="s">
        <v>821</v>
      </c>
      <c r="B691" s="138">
        <v>45168</v>
      </c>
      <c r="C691" s="117" t="s">
        <v>2893</v>
      </c>
      <c r="D691" s="117" t="s">
        <v>2894</v>
      </c>
      <c r="E691" s="117" t="s">
        <v>2895</v>
      </c>
      <c r="F691" s="117"/>
      <c r="G691" s="117" t="s">
        <v>44</v>
      </c>
      <c r="H691" s="117" t="s">
        <v>1</v>
      </c>
      <c r="I691"/>
      <c r="J691"/>
      <c r="K691" s="117" t="s">
        <v>105</v>
      </c>
      <c r="L691">
        <v>5</v>
      </c>
      <c r="M691" s="117" t="s">
        <v>402</v>
      </c>
      <c r="N691" s="117" t="s">
        <v>389</v>
      </c>
      <c r="O691" s="117" t="s">
        <v>50</v>
      </c>
      <c r="P691" s="117" t="s">
        <v>40</v>
      </c>
      <c r="Q691" s="139">
        <v>20010604</v>
      </c>
      <c r="R691" s="117" t="s">
        <v>78</v>
      </c>
      <c r="S691" s="117" t="s">
        <v>109</v>
      </c>
      <c r="T691" s="117" t="s">
        <v>109</v>
      </c>
      <c r="U691" s="117" t="s">
        <v>128</v>
      </c>
      <c r="V691" s="12">
        <f>+IFERROR(IF(VLOOKUP(Q691,COMISIONES!$C$2:$K$33,9,0)&gt;=VLOOKUP(TC!Q691,COMISIONES!$C$2:$I$33,7,0),1,0),0)</f>
        <v>0</v>
      </c>
      <c r="W691" s="262">
        <f>+IF(H691="Segunda",VLOOKUP(_xlfn.CONCAT(P691,G691,H691,V691),'PUNTOS 2021'!$E$23:$F$30,2,0),TC!L691)</f>
        <v>5</v>
      </c>
      <c r="X691" s="67">
        <f>+VLOOKUP(Q691,COMISIONES!$C$2:$AO$33,39,0)</f>
        <v>40</v>
      </c>
      <c r="Y691" s="67">
        <f t="shared" si="11"/>
        <v>200</v>
      </c>
      <c r="Z691" s="58" t="s">
        <v>80</v>
      </c>
      <c r="AA691" s="13">
        <f>+VLOOKUP(Q691,COMISIONES!$C$2:$C$33,1,0)</f>
        <v>20010604</v>
      </c>
      <c r="AB691" s="13" t="s">
        <v>269</v>
      </c>
    </row>
    <row r="692" spans="1:28" hidden="1">
      <c r="A692" s="117" t="s">
        <v>821</v>
      </c>
      <c r="B692" s="138">
        <v>45168</v>
      </c>
      <c r="C692" s="117" t="s">
        <v>2896</v>
      </c>
      <c r="D692" s="117" t="s">
        <v>2897</v>
      </c>
      <c r="E692" s="117" t="s">
        <v>2898</v>
      </c>
      <c r="F692" s="117"/>
      <c r="G692" s="117" t="s">
        <v>45</v>
      </c>
      <c r="H692" s="117" t="s">
        <v>1</v>
      </c>
      <c r="I692"/>
      <c r="J692"/>
      <c r="K692" s="117" t="s">
        <v>105</v>
      </c>
      <c r="L692">
        <v>7</v>
      </c>
      <c r="M692" s="117" t="s">
        <v>159</v>
      </c>
      <c r="N692" s="117" t="s">
        <v>227</v>
      </c>
      <c r="O692" s="117" t="s">
        <v>49</v>
      </c>
      <c r="P692" s="117" t="s">
        <v>40</v>
      </c>
      <c r="Q692" s="139">
        <v>20009690</v>
      </c>
      <c r="R692" s="117" t="s">
        <v>78</v>
      </c>
      <c r="S692" s="117" t="s">
        <v>109</v>
      </c>
      <c r="T692" s="117" t="s">
        <v>109</v>
      </c>
      <c r="U692" s="117" t="s">
        <v>128</v>
      </c>
      <c r="V692" s="12">
        <f>+IFERROR(IF(VLOOKUP(Q692,COMISIONES!$C$2:$K$33,9,0)&gt;=VLOOKUP(TC!Q692,COMISIONES!$C$2:$I$33,7,0),1,0),0)</f>
        <v>0</v>
      </c>
      <c r="W692" s="262">
        <f>+IF(H692="Segunda",VLOOKUP(_xlfn.CONCAT(P692,G692,H692,V692),'PUNTOS 2021'!$E$23:$F$30,2,0),TC!L692)</f>
        <v>7</v>
      </c>
      <c r="X692" s="67">
        <f>+VLOOKUP(Q692,COMISIONES!$C$2:$AO$33,39,0)</f>
        <v>45</v>
      </c>
      <c r="Y692" s="67">
        <f t="shared" si="11"/>
        <v>315</v>
      </c>
      <c r="Z692" s="58" t="s">
        <v>80</v>
      </c>
      <c r="AA692" s="13">
        <f>+VLOOKUP(Q692,COMISIONES!$C$2:$C$33,1,0)</f>
        <v>20009690</v>
      </c>
      <c r="AB692" s="13" t="s">
        <v>269</v>
      </c>
    </row>
    <row r="693" spans="1:28">
      <c r="A693" s="117" t="s">
        <v>821</v>
      </c>
      <c r="B693" s="138">
        <v>45168</v>
      </c>
      <c r="C693" s="117" t="s">
        <v>2899</v>
      </c>
      <c r="D693" s="117" t="s">
        <v>2900</v>
      </c>
      <c r="E693" s="117" t="s">
        <v>2901</v>
      </c>
      <c r="F693" s="117"/>
      <c r="G693" s="117" t="s">
        <v>43</v>
      </c>
      <c r="H693" s="117" t="s">
        <v>2</v>
      </c>
      <c r="I693"/>
      <c r="J693"/>
      <c r="K693" s="117" t="s">
        <v>105</v>
      </c>
      <c r="L693">
        <v>1</v>
      </c>
      <c r="M693" s="117" t="s">
        <v>127</v>
      </c>
      <c r="N693" s="117" t="s">
        <v>16</v>
      </c>
      <c r="O693" s="117" t="s">
        <v>49</v>
      </c>
      <c r="P693" s="117" t="s">
        <v>40</v>
      </c>
      <c r="Q693" s="139">
        <v>20002708</v>
      </c>
      <c r="R693" s="117" t="s">
        <v>78</v>
      </c>
      <c r="S693" s="117" t="s">
        <v>109</v>
      </c>
      <c r="T693" s="117" t="s">
        <v>109</v>
      </c>
      <c r="U693" s="117" t="s">
        <v>128</v>
      </c>
      <c r="V693" s="12">
        <f>+IFERROR(IF(VLOOKUP(Q693,COMISIONES!$C$2:$K$33,9,0)&gt;=VLOOKUP(TC!Q693,COMISIONES!$C$2:$I$33,7,0),1,0),0)</f>
        <v>0</v>
      </c>
      <c r="W693" s="262">
        <f>+IF(H693="Segunda",VLOOKUP(_xlfn.CONCAT(P693,G693,H693,V693),'PUNTOS 2021'!$E$23:$F$30,2,0),TC!L693)</f>
        <v>0.5</v>
      </c>
      <c r="X693" s="67">
        <f>+VLOOKUP(Q693,COMISIONES!$C$2:$AO$33,39,0)</f>
        <v>60</v>
      </c>
      <c r="Y693" s="67">
        <f t="shared" si="11"/>
        <v>30</v>
      </c>
      <c r="Z693" s="58" t="s">
        <v>80</v>
      </c>
      <c r="AA693" s="13">
        <f>+VLOOKUP(Q693,COMISIONES!$C$2:$C$33,1,0)</f>
        <v>20002708</v>
      </c>
      <c r="AB693" s="13" t="s">
        <v>269</v>
      </c>
    </row>
    <row r="694" spans="1:28" hidden="1">
      <c r="A694" s="117" t="s">
        <v>821</v>
      </c>
      <c r="B694" s="138">
        <v>45168</v>
      </c>
      <c r="C694" s="117" t="s">
        <v>2902</v>
      </c>
      <c r="D694" s="117" t="s">
        <v>2903</v>
      </c>
      <c r="E694" s="117" t="s">
        <v>2904</v>
      </c>
      <c r="F694" s="117"/>
      <c r="G694" s="117" t="s">
        <v>44</v>
      </c>
      <c r="H694" s="117" t="s">
        <v>1</v>
      </c>
      <c r="I694"/>
      <c r="J694"/>
      <c r="K694" s="117" t="s">
        <v>105</v>
      </c>
      <c r="L694">
        <v>5</v>
      </c>
      <c r="M694" s="117" t="s">
        <v>270</v>
      </c>
      <c r="N694" s="117" t="s">
        <v>271</v>
      </c>
      <c r="O694" s="117" t="s">
        <v>52</v>
      </c>
      <c r="P694" s="117" t="s">
        <v>40</v>
      </c>
      <c r="Q694" s="139">
        <v>20009592</v>
      </c>
      <c r="R694" s="117" t="s">
        <v>78</v>
      </c>
      <c r="S694" s="117" t="s">
        <v>109</v>
      </c>
      <c r="T694" s="117" t="s">
        <v>109</v>
      </c>
      <c r="U694" s="117" t="s">
        <v>128</v>
      </c>
      <c r="V694" s="12">
        <f>+IFERROR(IF(VLOOKUP(Q694,COMISIONES!$C$2:$K$33,9,0)&gt;=VLOOKUP(TC!Q694,COMISIONES!$C$2:$I$33,7,0),1,0),0)</f>
        <v>1</v>
      </c>
      <c r="W694" s="262">
        <f>+IF(H694="Segunda",VLOOKUP(_xlfn.CONCAT(P694,G694,H694,V694),'PUNTOS 2021'!$E$23:$F$30,2,0),TC!L694)</f>
        <v>5</v>
      </c>
      <c r="X694" s="67">
        <f>+VLOOKUP(Q694,COMISIONES!$C$2:$AO$33,39,0)</f>
        <v>60</v>
      </c>
      <c r="Y694" s="67">
        <f t="shared" si="11"/>
        <v>300</v>
      </c>
      <c r="Z694" s="58" t="s">
        <v>80</v>
      </c>
      <c r="AA694" s="13">
        <f>+VLOOKUP(Q694,COMISIONES!$C$2:$C$33,1,0)</f>
        <v>20009592</v>
      </c>
      <c r="AB694" s="13" t="s">
        <v>269</v>
      </c>
    </row>
    <row r="695" spans="1:28">
      <c r="A695" s="117" t="s">
        <v>821</v>
      </c>
      <c r="B695" s="138">
        <v>45168</v>
      </c>
      <c r="C695" s="117" t="s">
        <v>2905</v>
      </c>
      <c r="D695" s="117" t="s">
        <v>2906</v>
      </c>
      <c r="E695" s="117" t="s">
        <v>2907</v>
      </c>
      <c r="F695" s="117"/>
      <c r="G695" s="117" t="s">
        <v>45</v>
      </c>
      <c r="H695" s="117" t="s">
        <v>2</v>
      </c>
      <c r="I695"/>
      <c r="J695"/>
      <c r="K695" s="117" t="s">
        <v>105</v>
      </c>
      <c r="L695">
        <v>2</v>
      </c>
      <c r="M695" s="117" t="s">
        <v>110</v>
      </c>
      <c r="N695" s="117" t="s">
        <v>10</v>
      </c>
      <c r="O695" s="117" t="s">
        <v>51</v>
      </c>
      <c r="P695" s="117" t="s">
        <v>40</v>
      </c>
      <c r="Q695" s="139">
        <v>20000661</v>
      </c>
      <c r="R695" s="117" t="s">
        <v>78</v>
      </c>
      <c r="S695" s="117" t="s">
        <v>109</v>
      </c>
      <c r="T695" s="117" t="s">
        <v>109</v>
      </c>
      <c r="U695" s="117" t="s">
        <v>128</v>
      </c>
      <c r="V695" s="12">
        <f>+IFERROR(IF(VLOOKUP(Q695,COMISIONES!$C$2:$K$33,9,0)&gt;=VLOOKUP(TC!Q695,COMISIONES!$C$2:$I$33,7,0),1,0),0)</f>
        <v>1</v>
      </c>
      <c r="W695" s="262">
        <f>+IF(H695="Segunda",VLOOKUP(_xlfn.CONCAT(P695,G695,H695,V695),'PUNTOS 2021'!$E$23:$F$30,2,0),TC!L695)</f>
        <v>2</v>
      </c>
      <c r="X695" s="67">
        <f>+VLOOKUP(Q695,COMISIONES!$C$2:$AO$33,39,0)</f>
        <v>60</v>
      </c>
      <c r="Y695" s="67">
        <f t="shared" si="11"/>
        <v>120</v>
      </c>
      <c r="Z695" s="58" t="s">
        <v>80</v>
      </c>
      <c r="AA695" s="13">
        <f>+VLOOKUP(Q695,COMISIONES!$C$2:$C$33,1,0)</f>
        <v>20000661</v>
      </c>
      <c r="AB695" s="13" t="s">
        <v>269</v>
      </c>
    </row>
    <row r="696" spans="1:28" hidden="1">
      <c r="A696" s="117" t="s">
        <v>821</v>
      </c>
      <c r="B696" s="138">
        <v>45168</v>
      </c>
      <c r="C696" s="117" t="s">
        <v>2908</v>
      </c>
      <c r="D696" s="117" t="s">
        <v>2909</v>
      </c>
      <c r="E696" s="117" t="s">
        <v>2910</v>
      </c>
      <c r="F696" s="117"/>
      <c r="G696" s="117" t="s">
        <v>45</v>
      </c>
      <c r="H696" s="117" t="s">
        <v>1</v>
      </c>
      <c r="I696"/>
      <c r="J696"/>
      <c r="K696" s="117" t="s">
        <v>105</v>
      </c>
      <c r="L696">
        <v>7</v>
      </c>
      <c r="M696" s="117" t="s">
        <v>120</v>
      </c>
      <c r="N696" s="117" t="s">
        <v>21</v>
      </c>
      <c r="O696" s="117" t="s">
        <v>50</v>
      </c>
      <c r="P696" s="117" t="s">
        <v>40</v>
      </c>
      <c r="Q696" s="139">
        <v>20008711</v>
      </c>
      <c r="R696" s="117" t="s">
        <v>78</v>
      </c>
      <c r="S696" s="117" t="s">
        <v>109</v>
      </c>
      <c r="T696" s="117" t="s">
        <v>109</v>
      </c>
      <c r="U696" s="117" t="s">
        <v>128</v>
      </c>
      <c r="V696" s="12">
        <f>+IFERROR(IF(VLOOKUP(Q696,COMISIONES!$C$2:$K$33,9,0)&gt;=VLOOKUP(TC!Q696,COMISIONES!$C$2:$I$33,7,0),1,0),0)</f>
        <v>0</v>
      </c>
      <c r="W696" s="262">
        <f>+IF(H696="Segunda",VLOOKUP(_xlfn.CONCAT(P696,G696,H696,V696),'PUNTOS 2021'!$E$23:$F$30,2,0),TC!L696)</f>
        <v>7</v>
      </c>
      <c r="X696" s="67">
        <f>+VLOOKUP(Q696,COMISIONES!$C$2:$AO$33,39,0)</f>
        <v>60</v>
      </c>
      <c r="Y696" s="67">
        <f t="shared" si="11"/>
        <v>420</v>
      </c>
      <c r="Z696" s="58" t="s">
        <v>80</v>
      </c>
      <c r="AA696" s="13">
        <f>+VLOOKUP(Q696,COMISIONES!$C$2:$C$33,1,0)</f>
        <v>20008711</v>
      </c>
      <c r="AB696" s="13" t="s">
        <v>269</v>
      </c>
    </row>
    <row r="697" spans="1:28" hidden="1">
      <c r="A697" s="117" t="s">
        <v>821</v>
      </c>
      <c r="B697" s="138">
        <v>45168</v>
      </c>
      <c r="C697" s="117" t="s">
        <v>2911</v>
      </c>
      <c r="D697" s="117" t="s">
        <v>2912</v>
      </c>
      <c r="E697" s="117" t="s">
        <v>2913</v>
      </c>
      <c r="F697" s="117"/>
      <c r="G697" s="117" t="s">
        <v>45</v>
      </c>
      <c r="H697" s="117" t="s">
        <v>1</v>
      </c>
      <c r="I697"/>
      <c r="J697"/>
      <c r="K697" s="117" t="s">
        <v>105</v>
      </c>
      <c r="L697">
        <v>7</v>
      </c>
      <c r="M697" s="117" t="s">
        <v>122</v>
      </c>
      <c r="N697" s="117" t="s">
        <v>5</v>
      </c>
      <c r="O697" s="117" t="s">
        <v>50</v>
      </c>
      <c r="P697" s="117" t="s">
        <v>40</v>
      </c>
      <c r="Q697" s="139">
        <v>20004566</v>
      </c>
      <c r="R697" s="117" t="s">
        <v>78</v>
      </c>
      <c r="S697" s="117" t="s">
        <v>109</v>
      </c>
      <c r="T697" s="117" t="s">
        <v>109</v>
      </c>
      <c r="U697" s="117" t="s">
        <v>128</v>
      </c>
      <c r="V697" s="12">
        <f>+IFERROR(IF(VLOOKUP(Q697,COMISIONES!$C$2:$K$33,9,0)&gt;=VLOOKUP(TC!Q697,COMISIONES!$C$2:$I$33,7,0),1,0),0)</f>
        <v>1</v>
      </c>
      <c r="W697" s="262">
        <f>+IF(H697="Segunda",VLOOKUP(_xlfn.CONCAT(P697,G697,H697,V697),'PUNTOS 2021'!$E$23:$F$30,2,0),TC!L697)</f>
        <v>7</v>
      </c>
      <c r="X697" s="67">
        <f>+VLOOKUP(Q697,COMISIONES!$C$2:$AO$33,39,0)</f>
        <v>60</v>
      </c>
      <c r="Y697" s="67">
        <f t="shared" si="11"/>
        <v>420</v>
      </c>
      <c r="Z697" s="58" t="s">
        <v>80</v>
      </c>
      <c r="AA697" s="13">
        <f>+VLOOKUP(Q697,COMISIONES!$C$2:$C$33,1,0)</f>
        <v>20004566</v>
      </c>
      <c r="AB697" s="13" t="s">
        <v>269</v>
      </c>
    </row>
    <row r="698" spans="1:28">
      <c r="A698" s="117" t="s">
        <v>821</v>
      </c>
      <c r="B698" s="138">
        <v>45168</v>
      </c>
      <c r="C698" s="117" t="s">
        <v>2914</v>
      </c>
      <c r="D698" s="117" t="s">
        <v>2915</v>
      </c>
      <c r="E698" s="117" t="s">
        <v>2916</v>
      </c>
      <c r="F698" s="117"/>
      <c r="G698" s="117" t="s">
        <v>45</v>
      </c>
      <c r="H698" s="117" t="s">
        <v>2</v>
      </c>
      <c r="I698"/>
      <c r="J698"/>
      <c r="K698" s="117" t="s">
        <v>105</v>
      </c>
      <c r="L698">
        <v>2</v>
      </c>
      <c r="M698" s="117" t="s">
        <v>120</v>
      </c>
      <c r="N698" s="117" t="s">
        <v>21</v>
      </c>
      <c r="O698" s="117" t="s">
        <v>50</v>
      </c>
      <c r="P698" s="117" t="s">
        <v>40</v>
      </c>
      <c r="Q698" s="139">
        <v>20008711</v>
      </c>
      <c r="R698" s="117" t="s">
        <v>78</v>
      </c>
      <c r="S698" s="117" t="s">
        <v>109</v>
      </c>
      <c r="T698" s="117" t="s">
        <v>109</v>
      </c>
      <c r="U698" s="117" t="s">
        <v>128</v>
      </c>
      <c r="V698" s="12">
        <f>+IFERROR(IF(VLOOKUP(Q698,COMISIONES!$C$2:$K$33,9,0)&gt;=VLOOKUP(TC!Q698,COMISIONES!$C$2:$I$33,7,0),1,0),0)</f>
        <v>0</v>
      </c>
      <c r="W698" s="262">
        <f>+IF(H698="Segunda",VLOOKUP(_xlfn.CONCAT(P698,G698,H698,V698),'PUNTOS 2021'!$E$23:$F$30,2,0),TC!L698)</f>
        <v>0.5</v>
      </c>
      <c r="X698" s="67">
        <f>+VLOOKUP(Q698,COMISIONES!$C$2:$AO$33,39,0)</f>
        <v>60</v>
      </c>
      <c r="Y698" s="67">
        <f t="shared" si="11"/>
        <v>30</v>
      </c>
      <c r="Z698" s="58" t="s">
        <v>80</v>
      </c>
      <c r="AA698" s="13">
        <f>+VLOOKUP(Q698,COMISIONES!$C$2:$C$33,1,0)</f>
        <v>20008711</v>
      </c>
      <c r="AB698" s="13" t="s">
        <v>269</v>
      </c>
    </row>
    <row r="699" spans="1:28" hidden="1">
      <c r="A699" s="117" t="s">
        <v>821</v>
      </c>
      <c r="B699" s="138">
        <v>45168</v>
      </c>
      <c r="C699" s="117" t="s">
        <v>2917</v>
      </c>
      <c r="D699" s="117" t="s">
        <v>2918</v>
      </c>
      <c r="E699" s="117" t="s">
        <v>2919</v>
      </c>
      <c r="F699" s="117"/>
      <c r="G699" s="117" t="s">
        <v>44</v>
      </c>
      <c r="H699" s="117" t="s">
        <v>1</v>
      </c>
      <c r="I699"/>
      <c r="J699"/>
      <c r="K699" s="117" t="s">
        <v>105</v>
      </c>
      <c r="L699">
        <v>5</v>
      </c>
      <c r="M699" s="117" t="s">
        <v>255</v>
      </c>
      <c r="N699" s="117" t="s">
        <v>4</v>
      </c>
      <c r="O699" s="117" t="s">
        <v>51</v>
      </c>
      <c r="P699" s="117" t="s">
        <v>40</v>
      </c>
      <c r="Q699" s="139">
        <v>20000033</v>
      </c>
      <c r="R699" s="117" t="s">
        <v>78</v>
      </c>
      <c r="S699" s="117" t="s">
        <v>109</v>
      </c>
      <c r="T699" s="117" t="s">
        <v>109</v>
      </c>
      <c r="U699" s="117" t="s">
        <v>128</v>
      </c>
      <c r="V699" s="12">
        <f>+IFERROR(IF(VLOOKUP(Q699,COMISIONES!$C$2:$K$33,9,0)&gt;=VLOOKUP(TC!Q699,COMISIONES!$C$2:$I$33,7,0),1,0),0)</f>
        <v>1</v>
      </c>
      <c r="W699" s="262">
        <f>+IF(H699="Segunda",VLOOKUP(_xlfn.CONCAT(P699,G699,H699,V699),'PUNTOS 2021'!$E$23:$F$30,2,0),TC!L699)</f>
        <v>5</v>
      </c>
      <c r="X699" s="67">
        <f>+VLOOKUP(Q699,COMISIONES!$C$2:$AO$33,39,0)</f>
        <v>60</v>
      </c>
      <c r="Y699" s="67">
        <f t="shared" si="11"/>
        <v>300</v>
      </c>
      <c r="Z699" s="58" t="s">
        <v>80</v>
      </c>
      <c r="AA699" s="13">
        <f>+VLOOKUP(Q699,COMISIONES!$C$2:$C$33,1,0)</f>
        <v>20000033</v>
      </c>
      <c r="AB699" s="13" t="s">
        <v>269</v>
      </c>
    </row>
    <row r="700" spans="1:28" hidden="1">
      <c r="A700" s="117" t="s">
        <v>821</v>
      </c>
      <c r="B700" s="138">
        <v>45168</v>
      </c>
      <c r="C700" s="117" t="s">
        <v>2920</v>
      </c>
      <c r="D700" s="117" t="s">
        <v>2921</v>
      </c>
      <c r="E700" s="117" t="s">
        <v>2922</v>
      </c>
      <c r="F700" s="117"/>
      <c r="G700" s="117" t="s">
        <v>44</v>
      </c>
      <c r="H700" s="117" t="s">
        <v>1</v>
      </c>
      <c r="I700"/>
      <c r="J700"/>
      <c r="K700" s="117" t="s">
        <v>105</v>
      </c>
      <c r="L700">
        <v>5</v>
      </c>
      <c r="M700" s="117" t="s">
        <v>413</v>
      </c>
      <c r="N700" s="117" t="s">
        <v>390</v>
      </c>
      <c r="O700" s="117" t="s">
        <v>49</v>
      </c>
      <c r="P700" s="117" t="s">
        <v>40</v>
      </c>
      <c r="Q700" s="139">
        <v>20010617</v>
      </c>
      <c r="R700" s="117" t="s">
        <v>78</v>
      </c>
      <c r="S700" s="117" t="s">
        <v>109</v>
      </c>
      <c r="T700" s="117" t="s">
        <v>109</v>
      </c>
      <c r="U700" s="117" t="s">
        <v>128</v>
      </c>
      <c r="V700" s="12">
        <f>+IFERROR(IF(VLOOKUP(Q700,COMISIONES!$C$2:$K$33,9,0)&gt;=VLOOKUP(TC!Q700,COMISIONES!$C$2:$I$33,7,0),1,0),0)</f>
        <v>0</v>
      </c>
      <c r="W700" s="262">
        <f>+IF(H700="Segunda",VLOOKUP(_xlfn.CONCAT(P700,G700,H700,V700),'PUNTOS 2021'!$E$23:$F$30,2,0),TC!L700)</f>
        <v>5</v>
      </c>
      <c r="X700" s="67">
        <f>+VLOOKUP(Q700,COMISIONES!$C$2:$AO$33,39,0)</f>
        <v>18</v>
      </c>
      <c r="Y700" s="67">
        <f t="shared" si="11"/>
        <v>90</v>
      </c>
      <c r="Z700" s="58" t="s">
        <v>80</v>
      </c>
      <c r="AA700" s="13">
        <f>+VLOOKUP(Q700,COMISIONES!$C$2:$C$33,1,0)</f>
        <v>20010617</v>
      </c>
      <c r="AB700" s="13" t="s">
        <v>269</v>
      </c>
    </row>
    <row r="701" spans="1:28" hidden="1">
      <c r="A701" s="117" t="s">
        <v>821</v>
      </c>
      <c r="B701" s="138">
        <v>45168</v>
      </c>
      <c r="C701" s="117" t="s">
        <v>2923</v>
      </c>
      <c r="D701" s="117" t="s">
        <v>2924</v>
      </c>
      <c r="E701" s="117" t="s">
        <v>2925</v>
      </c>
      <c r="F701" s="117"/>
      <c r="G701" s="117" t="s">
        <v>43</v>
      </c>
      <c r="H701" s="117" t="s">
        <v>1</v>
      </c>
      <c r="I701"/>
      <c r="J701"/>
      <c r="K701" s="117" t="s">
        <v>2926</v>
      </c>
      <c r="L701">
        <v>3</v>
      </c>
      <c r="M701" s="117" t="s">
        <v>272</v>
      </c>
      <c r="N701" s="117" t="s">
        <v>275</v>
      </c>
      <c r="O701" s="117" t="s">
        <v>52</v>
      </c>
      <c r="P701" s="117" t="s">
        <v>40</v>
      </c>
      <c r="Q701" s="139">
        <v>20009688</v>
      </c>
      <c r="R701" s="117" t="s">
        <v>78</v>
      </c>
      <c r="S701" s="117" t="s">
        <v>109</v>
      </c>
      <c r="T701" s="117" t="s">
        <v>109</v>
      </c>
      <c r="U701" s="117" t="s">
        <v>128</v>
      </c>
      <c r="V701" s="12">
        <f>+IFERROR(IF(VLOOKUP(Q701,COMISIONES!$C$2:$K$33,9,0)&gt;=VLOOKUP(TC!Q701,COMISIONES!$C$2:$I$33,7,0),1,0),0)</f>
        <v>0</v>
      </c>
      <c r="W701" s="262">
        <f>+IF(H701="Segunda",VLOOKUP(_xlfn.CONCAT(P701,G701,H701,V701),'PUNTOS 2021'!$E$23:$F$30,2,0),TC!L701)</f>
        <v>3</v>
      </c>
      <c r="X701" s="67">
        <f>+VLOOKUP(Q701,COMISIONES!$C$2:$AO$33,39,0)</f>
        <v>30</v>
      </c>
      <c r="Y701" s="67">
        <f t="shared" si="11"/>
        <v>90</v>
      </c>
      <c r="Z701" s="58" t="s">
        <v>80</v>
      </c>
      <c r="AA701" s="13">
        <f>+VLOOKUP(Q701,COMISIONES!$C$2:$C$33,1,0)</f>
        <v>20009688</v>
      </c>
      <c r="AB701" s="13" t="s">
        <v>269</v>
      </c>
    </row>
    <row r="702" spans="1:28">
      <c r="A702" s="117" t="s">
        <v>821</v>
      </c>
      <c r="B702" s="138">
        <v>45169</v>
      </c>
      <c r="C702" s="117" t="s">
        <v>2927</v>
      </c>
      <c r="D702" s="117" t="s">
        <v>2928</v>
      </c>
      <c r="E702" s="117" t="s">
        <v>2929</v>
      </c>
      <c r="F702" s="117"/>
      <c r="G702" s="117" t="s">
        <v>45</v>
      </c>
      <c r="H702" s="117" t="s">
        <v>2</v>
      </c>
      <c r="I702"/>
      <c r="J702"/>
      <c r="K702" s="117" t="s">
        <v>105</v>
      </c>
      <c r="L702">
        <v>2</v>
      </c>
      <c r="M702" s="117" t="s">
        <v>120</v>
      </c>
      <c r="N702" s="117" t="s">
        <v>21</v>
      </c>
      <c r="O702" s="117" t="s">
        <v>50</v>
      </c>
      <c r="P702" s="117" t="s">
        <v>40</v>
      </c>
      <c r="Q702" s="139">
        <v>20008711</v>
      </c>
      <c r="R702" s="117" t="s">
        <v>78</v>
      </c>
      <c r="S702" s="117" t="s">
        <v>109</v>
      </c>
      <c r="T702" s="117" t="s">
        <v>109</v>
      </c>
      <c r="U702" s="117" t="s">
        <v>118</v>
      </c>
      <c r="V702" s="12">
        <f>+IFERROR(IF(VLOOKUP(Q702,COMISIONES!$C$2:$K$33,9,0)&gt;=VLOOKUP(TC!Q702,COMISIONES!$C$2:$I$33,7,0),1,0),0)</f>
        <v>0</v>
      </c>
      <c r="W702" s="262">
        <f>+IF(H702="Segunda",VLOOKUP(_xlfn.CONCAT(P702,G702,H702,V702),'PUNTOS 2021'!$E$23:$F$30,2,0),TC!L702)</f>
        <v>0.5</v>
      </c>
      <c r="X702" s="67">
        <f>+VLOOKUP(Q702,COMISIONES!$C$2:$AO$33,39,0)</f>
        <v>60</v>
      </c>
      <c r="Y702" s="67">
        <f t="shared" si="11"/>
        <v>30</v>
      </c>
      <c r="Z702" s="58" t="s">
        <v>80</v>
      </c>
      <c r="AA702" s="13">
        <f>+VLOOKUP(Q702,COMISIONES!$C$2:$C$33,1,0)</f>
        <v>20008711</v>
      </c>
      <c r="AB702" s="13" t="s">
        <v>269</v>
      </c>
    </row>
    <row r="703" spans="1:28">
      <c r="A703" s="117" t="s">
        <v>821</v>
      </c>
      <c r="B703" s="138">
        <v>45169</v>
      </c>
      <c r="C703" s="117" t="s">
        <v>2930</v>
      </c>
      <c r="D703" s="117" t="s">
        <v>2931</v>
      </c>
      <c r="E703" s="117" t="s">
        <v>2932</v>
      </c>
      <c r="F703" s="117"/>
      <c r="G703" s="117" t="s">
        <v>43</v>
      </c>
      <c r="H703" s="117" t="s">
        <v>2</v>
      </c>
      <c r="I703"/>
      <c r="J703"/>
      <c r="K703" s="117" t="s">
        <v>105</v>
      </c>
      <c r="L703">
        <v>1</v>
      </c>
      <c r="M703" s="117" t="s">
        <v>113</v>
      </c>
      <c r="N703" s="117" t="s">
        <v>12</v>
      </c>
      <c r="O703" s="117" t="s">
        <v>49</v>
      </c>
      <c r="P703" s="117" t="s">
        <v>40</v>
      </c>
      <c r="Q703" s="139">
        <v>20007726</v>
      </c>
      <c r="R703" s="117" t="s">
        <v>78</v>
      </c>
      <c r="S703" s="117" t="s">
        <v>109</v>
      </c>
      <c r="T703" s="117" t="s">
        <v>109</v>
      </c>
      <c r="U703" s="117" t="s">
        <v>118</v>
      </c>
      <c r="V703" s="12">
        <f>+IFERROR(IF(VLOOKUP(Q703,COMISIONES!$C$2:$K$33,9,0)&gt;=VLOOKUP(TC!Q703,COMISIONES!$C$2:$I$33,7,0),1,0),0)</f>
        <v>1</v>
      </c>
      <c r="W703" s="262">
        <f>+IF(H703="Segunda",VLOOKUP(_xlfn.CONCAT(P703,G703,H703,V703),'PUNTOS 2021'!$E$23:$F$30,2,0),TC!L703)</f>
        <v>1</v>
      </c>
      <c r="X703" s="67">
        <f>+VLOOKUP(Q703,COMISIONES!$C$2:$AO$33,39,0)</f>
        <v>65</v>
      </c>
      <c r="Y703" s="67">
        <f t="shared" si="11"/>
        <v>65</v>
      </c>
      <c r="Z703" s="58" t="s">
        <v>80</v>
      </c>
      <c r="AA703" s="13">
        <f>+VLOOKUP(Q703,COMISIONES!$C$2:$C$33,1,0)</f>
        <v>20007726</v>
      </c>
      <c r="AB703" s="13" t="s">
        <v>269</v>
      </c>
    </row>
    <row r="704" spans="1:28">
      <c r="A704" s="117" t="s">
        <v>821</v>
      </c>
      <c r="B704" s="138">
        <v>45169</v>
      </c>
      <c r="C704" s="117" t="s">
        <v>2933</v>
      </c>
      <c r="D704" s="117" t="s">
        <v>2934</v>
      </c>
      <c r="E704" s="117" t="s">
        <v>2935</v>
      </c>
      <c r="F704" s="117"/>
      <c r="G704" s="117" t="s">
        <v>45</v>
      </c>
      <c r="H704" s="117" t="s">
        <v>2</v>
      </c>
      <c r="I704"/>
      <c r="J704"/>
      <c r="K704" s="117" t="s">
        <v>105</v>
      </c>
      <c r="L704">
        <v>2</v>
      </c>
      <c r="M704" s="117" t="s">
        <v>119</v>
      </c>
      <c r="N704" s="117" t="s">
        <v>22</v>
      </c>
      <c r="O704" s="117" t="s">
        <v>52</v>
      </c>
      <c r="P704" s="117" t="s">
        <v>40</v>
      </c>
      <c r="Q704" s="139">
        <v>20009174</v>
      </c>
      <c r="R704" s="117" t="s">
        <v>78</v>
      </c>
      <c r="S704" s="117" t="s">
        <v>109</v>
      </c>
      <c r="T704" s="117" t="s">
        <v>109</v>
      </c>
      <c r="U704" s="117" t="s">
        <v>118</v>
      </c>
      <c r="V704" s="12">
        <f>+IFERROR(IF(VLOOKUP(Q704,COMISIONES!$C$2:$K$33,9,0)&gt;=VLOOKUP(TC!Q704,COMISIONES!$C$2:$I$33,7,0),1,0),0)</f>
        <v>0</v>
      </c>
      <c r="W704" s="262">
        <f>+IF(H704="Segunda",VLOOKUP(_xlfn.CONCAT(P704,G704,H704,V704),'PUNTOS 2021'!$E$23:$F$30,2,0),TC!L704)</f>
        <v>0.5</v>
      </c>
      <c r="X704" s="67">
        <f>+VLOOKUP(Q704,COMISIONES!$C$2:$AO$33,39,0)</f>
        <v>60</v>
      </c>
      <c r="Y704" s="67">
        <f t="shared" si="11"/>
        <v>30</v>
      </c>
      <c r="Z704" s="58" t="s">
        <v>80</v>
      </c>
      <c r="AA704" s="13">
        <f>+VLOOKUP(Q704,COMISIONES!$C$2:$C$33,1,0)</f>
        <v>20009174</v>
      </c>
      <c r="AB704" s="13" t="s">
        <v>269</v>
      </c>
    </row>
    <row r="705" spans="1:28">
      <c r="A705" s="117" t="s">
        <v>821</v>
      </c>
      <c r="B705" s="138">
        <v>45169</v>
      </c>
      <c r="C705" s="117" t="s">
        <v>2936</v>
      </c>
      <c r="D705" s="117" t="s">
        <v>2937</v>
      </c>
      <c r="E705" s="117" t="s">
        <v>2938</v>
      </c>
      <c r="F705" s="117"/>
      <c r="G705" s="117" t="s">
        <v>43</v>
      </c>
      <c r="H705" s="117" t="s">
        <v>2</v>
      </c>
      <c r="I705"/>
      <c r="J705"/>
      <c r="K705" s="117" t="s">
        <v>130</v>
      </c>
      <c r="L705">
        <v>1</v>
      </c>
      <c r="M705" s="117" t="s">
        <v>119</v>
      </c>
      <c r="N705" s="117" t="s">
        <v>22</v>
      </c>
      <c r="O705" s="117" t="s">
        <v>52</v>
      </c>
      <c r="P705" s="117" t="s">
        <v>40</v>
      </c>
      <c r="Q705" s="139">
        <v>20009174</v>
      </c>
      <c r="R705" s="117" t="s">
        <v>78</v>
      </c>
      <c r="S705" s="117" t="s">
        <v>109</v>
      </c>
      <c r="T705" s="117" t="s">
        <v>109</v>
      </c>
      <c r="U705" s="117" t="s">
        <v>118</v>
      </c>
      <c r="V705" s="12">
        <f>+IFERROR(IF(VLOOKUP(Q705,COMISIONES!$C$2:$K$33,9,0)&gt;=VLOOKUP(TC!Q705,COMISIONES!$C$2:$I$33,7,0),1,0),0)</f>
        <v>0</v>
      </c>
      <c r="W705" s="262">
        <f>+IF(H705="Segunda",VLOOKUP(_xlfn.CONCAT(P705,G705,H705,V705),'PUNTOS 2021'!$E$23:$F$30,2,0),TC!L705)</f>
        <v>0.5</v>
      </c>
      <c r="X705" s="67">
        <f>+VLOOKUP(Q705,COMISIONES!$C$2:$AO$33,39,0)</f>
        <v>60</v>
      </c>
      <c r="Y705" s="67">
        <f t="shared" si="11"/>
        <v>30</v>
      </c>
      <c r="Z705" s="58" t="s">
        <v>80</v>
      </c>
      <c r="AA705" s="13">
        <f>+VLOOKUP(Q705,COMISIONES!$C$2:$C$33,1,0)</f>
        <v>20009174</v>
      </c>
      <c r="AB705" s="13" t="s">
        <v>269</v>
      </c>
    </row>
    <row r="706" spans="1:28" hidden="1">
      <c r="A706" s="117" t="s">
        <v>821</v>
      </c>
      <c r="B706" s="138">
        <v>45169</v>
      </c>
      <c r="C706" s="117" t="s">
        <v>2939</v>
      </c>
      <c r="D706" s="117" t="s">
        <v>2940</v>
      </c>
      <c r="E706" s="117" t="s">
        <v>2941</v>
      </c>
      <c r="F706" s="117"/>
      <c r="G706" s="117" t="s">
        <v>44</v>
      </c>
      <c r="H706" s="117" t="s">
        <v>1</v>
      </c>
      <c r="I706"/>
      <c r="J706"/>
      <c r="K706" s="117" t="s">
        <v>105</v>
      </c>
      <c r="L706">
        <v>5</v>
      </c>
      <c r="M706" s="117" t="s">
        <v>112</v>
      </c>
      <c r="N706" s="117" t="s">
        <v>9</v>
      </c>
      <c r="O706" s="117" t="s">
        <v>51</v>
      </c>
      <c r="P706" s="117" t="s">
        <v>40</v>
      </c>
      <c r="Q706" s="139">
        <v>20004638</v>
      </c>
      <c r="R706" s="117" t="s">
        <v>78</v>
      </c>
      <c r="S706" s="117" t="s">
        <v>109</v>
      </c>
      <c r="T706" s="117" t="s">
        <v>109</v>
      </c>
      <c r="U706" s="117" t="s">
        <v>128</v>
      </c>
      <c r="V706" s="12">
        <f>+IFERROR(IF(VLOOKUP(Q706,COMISIONES!$C$2:$K$33,9,0)&gt;=VLOOKUP(TC!Q706,COMISIONES!$C$2:$I$33,7,0),1,0),0)</f>
        <v>0</v>
      </c>
      <c r="W706" s="262">
        <f>+IF(H706="Segunda",VLOOKUP(_xlfn.CONCAT(P706,G706,H706,V706),'PUNTOS 2021'!$E$23:$F$30,2,0),TC!L706)</f>
        <v>5</v>
      </c>
      <c r="X706" s="67">
        <f>+VLOOKUP(Q706,COMISIONES!$C$2:$AO$33,39,0)</f>
        <v>60</v>
      </c>
      <c r="Y706" s="67">
        <f t="shared" si="11"/>
        <v>300</v>
      </c>
      <c r="Z706" s="58" t="s">
        <v>80</v>
      </c>
      <c r="AA706" s="13">
        <f>+VLOOKUP(Q706,COMISIONES!$C$2:$C$33,1,0)</f>
        <v>20004638</v>
      </c>
      <c r="AB706" s="13" t="s">
        <v>269</v>
      </c>
    </row>
    <row r="707" spans="1:28" hidden="1">
      <c r="A707" s="117" t="s">
        <v>821</v>
      </c>
      <c r="B707" s="138">
        <v>45169</v>
      </c>
      <c r="C707" s="117" t="s">
        <v>2942</v>
      </c>
      <c r="D707" s="117" t="s">
        <v>2943</v>
      </c>
      <c r="E707" s="117" t="s">
        <v>2944</v>
      </c>
      <c r="F707" s="117"/>
      <c r="G707" s="117" t="s">
        <v>45</v>
      </c>
      <c r="H707" s="117" t="s">
        <v>1</v>
      </c>
      <c r="I707"/>
      <c r="J707"/>
      <c r="K707" s="117" t="s">
        <v>117</v>
      </c>
      <c r="L707">
        <v>7</v>
      </c>
      <c r="M707" s="117" t="s">
        <v>127</v>
      </c>
      <c r="N707" s="117" t="s">
        <v>16</v>
      </c>
      <c r="O707" s="117" t="s">
        <v>49</v>
      </c>
      <c r="P707" s="117" t="s">
        <v>40</v>
      </c>
      <c r="Q707" s="139">
        <v>20002708</v>
      </c>
      <c r="R707" s="117" t="s">
        <v>78</v>
      </c>
      <c r="S707" s="117" t="s">
        <v>109</v>
      </c>
      <c r="T707" s="117" t="s">
        <v>109</v>
      </c>
      <c r="U707" s="117" t="s">
        <v>128</v>
      </c>
      <c r="V707" s="12">
        <f>+IFERROR(IF(VLOOKUP(Q707,COMISIONES!$C$2:$K$33,9,0)&gt;=VLOOKUP(TC!Q707,COMISIONES!$C$2:$I$33,7,0),1,0),0)</f>
        <v>0</v>
      </c>
      <c r="W707" s="262">
        <f>+IF(H707="Segunda",VLOOKUP(_xlfn.CONCAT(P707,G707,H707,V707),'PUNTOS 2021'!$E$23:$F$30,2,0),TC!L707)</f>
        <v>7</v>
      </c>
      <c r="X707" s="67">
        <f>+VLOOKUP(Q707,COMISIONES!$C$2:$AO$33,39,0)</f>
        <v>60</v>
      </c>
      <c r="Y707" s="67">
        <f t="shared" si="11"/>
        <v>420</v>
      </c>
      <c r="Z707" s="58" t="s">
        <v>80</v>
      </c>
      <c r="AA707" s="13">
        <f>+VLOOKUP(Q707,COMISIONES!$C$2:$C$33,1,0)</f>
        <v>20002708</v>
      </c>
      <c r="AB707" s="13" t="s">
        <v>269</v>
      </c>
    </row>
    <row r="708" spans="1:28" hidden="1">
      <c r="A708" s="117" t="s">
        <v>821</v>
      </c>
      <c r="B708" s="138">
        <v>45169</v>
      </c>
      <c r="C708" s="117" t="s">
        <v>2945</v>
      </c>
      <c r="D708" s="117" t="s">
        <v>2946</v>
      </c>
      <c r="E708" s="117" t="s">
        <v>2947</v>
      </c>
      <c r="F708" s="117"/>
      <c r="G708" s="117" t="s">
        <v>43</v>
      </c>
      <c r="H708" s="117" t="s">
        <v>1</v>
      </c>
      <c r="I708"/>
      <c r="J708"/>
      <c r="K708" s="117" t="s">
        <v>105</v>
      </c>
      <c r="L708">
        <v>3</v>
      </c>
      <c r="M708" s="117" t="s">
        <v>270</v>
      </c>
      <c r="N708" s="117" t="s">
        <v>271</v>
      </c>
      <c r="O708" s="117" t="s">
        <v>52</v>
      </c>
      <c r="P708" s="117" t="s">
        <v>40</v>
      </c>
      <c r="Q708" s="139">
        <v>20009592</v>
      </c>
      <c r="R708" s="117" t="s">
        <v>78</v>
      </c>
      <c r="S708" s="117" t="s">
        <v>109</v>
      </c>
      <c r="T708" s="117" t="s">
        <v>109</v>
      </c>
      <c r="U708" s="117" t="s">
        <v>128</v>
      </c>
      <c r="V708" s="12">
        <f>+IFERROR(IF(VLOOKUP(Q708,COMISIONES!$C$2:$K$33,9,0)&gt;=VLOOKUP(TC!Q708,COMISIONES!$C$2:$I$33,7,0),1,0),0)</f>
        <v>1</v>
      </c>
      <c r="W708" s="262">
        <f>+IF(H708="Segunda",VLOOKUP(_xlfn.CONCAT(P708,G708,H708,V708),'PUNTOS 2021'!$E$23:$F$30,2,0),TC!L708)</f>
        <v>3</v>
      </c>
      <c r="X708" s="67">
        <f>+VLOOKUP(Q708,COMISIONES!$C$2:$AO$33,39,0)</f>
        <v>60</v>
      </c>
      <c r="Y708" s="67">
        <f t="shared" si="11"/>
        <v>180</v>
      </c>
      <c r="Z708" s="58" t="s">
        <v>80</v>
      </c>
      <c r="AA708" s="13">
        <f>+VLOOKUP(Q708,COMISIONES!$C$2:$C$33,1,0)</f>
        <v>20009592</v>
      </c>
      <c r="AB708" s="13" t="s">
        <v>269</v>
      </c>
    </row>
    <row r="709" spans="1:28" hidden="1">
      <c r="A709" s="117" t="s">
        <v>821</v>
      </c>
      <c r="B709" s="138">
        <v>45169</v>
      </c>
      <c r="C709" s="117" t="s">
        <v>2948</v>
      </c>
      <c r="D709" s="117" t="s">
        <v>2949</v>
      </c>
      <c r="E709" s="117" t="s">
        <v>2950</v>
      </c>
      <c r="F709" s="117"/>
      <c r="G709" s="117" t="s">
        <v>43</v>
      </c>
      <c r="H709" s="117" t="s">
        <v>1</v>
      </c>
      <c r="I709"/>
      <c r="J709"/>
      <c r="K709" s="117" t="s">
        <v>105</v>
      </c>
      <c r="L709">
        <v>3</v>
      </c>
      <c r="M709" s="117" t="s">
        <v>119</v>
      </c>
      <c r="N709" s="117" t="s">
        <v>22</v>
      </c>
      <c r="O709" s="117" t="s">
        <v>52</v>
      </c>
      <c r="P709" s="117" t="s">
        <v>40</v>
      </c>
      <c r="Q709" s="139">
        <v>20009174</v>
      </c>
      <c r="R709" s="117" t="s">
        <v>78</v>
      </c>
      <c r="S709" s="117" t="s">
        <v>109</v>
      </c>
      <c r="T709" s="117" t="s">
        <v>109</v>
      </c>
      <c r="U709" s="117" t="s">
        <v>128</v>
      </c>
      <c r="V709" s="12">
        <f>+IFERROR(IF(VLOOKUP(Q709,COMISIONES!$C$2:$K$33,9,0)&gt;=VLOOKUP(TC!Q709,COMISIONES!$C$2:$I$33,7,0),1,0),0)</f>
        <v>0</v>
      </c>
      <c r="W709" s="262">
        <f>+IF(H709="Segunda",VLOOKUP(_xlfn.CONCAT(P709,G709,H709,V709),'PUNTOS 2021'!$E$23:$F$30,2,0),TC!L709)</f>
        <v>3</v>
      </c>
      <c r="X709" s="67">
        <f>+VLOOKUP(Q709,COMISIONES!$C$2:$AO$33,39,0)</f>
        <v>60</v>
      </c>
      <c r="Y709" s="67">
        <f t="shared" si="11"/>
        <v>180</v>
      </c>
      <c r="Z709" s="58" t="s">
        <v>80</v>
      </c>
      <c r="AA709" s="13">
        <f>+VLOOKUP(Q709,COMISIONES!$C$2:$C$33,1,0)</f>
        <v>20009174</v>
      </c>
      <c r="AB709" s="13" t="s">
        <v>269</v>
      </c>
    </row>
    <row r="710" spans="1:28" hidden="1">
      <c r="A710" s="117" t="s">
        <v>821</v>
      </c>
      <c r="B710" s="138">
        <v>45169</v>
      </c>
      <c r="C710" s="117" t="s">
        <v>2951</v>
      </c>
      <c r="D710" s="117" t="s">
        <v>2952</v>
      </c>
      <c r="E710" s="117" t="s">
        <v>2953</v>
      </c>
      <c r="F710" s="117"/>
      <c r="G710" s="117" t="s">
        <v>43</v>
      </c>
      <c r="H710" s="117" t="s">
        <v>1</v>
      </c>
      <c r="I710"/>
      <c r="J710"/>
      <c r="K710" s="117" t="s">
        <v>105</v>
      </c>
      <c r="L710">
        <v>3</v>
      </c>
      <c r="M710" s="117" t="s">
        <v>260</v>
      </c>
      <c r="N710" s="117" t="s">
        <v>261</v>
      </c>
      <c r="O710" s="117" t="s">
        <v>52</v>
      </c>
      <c r="P710" s="117" t="s">
        <v>40</v>
      </c>
      <c r="Q710" s="139">
        <v>20010262</v>
      </c>
      <c r="R710" s="117" t="s">
        <v>78</v>
      </c>
      <c r="S710" s="117" t="s">
        <v>109</v>
      </c>
      <c r="T710" s="117" t="s">
        <v>109</v>
      </c>
      <c r="U710" s="117" t="s">
        <v>128</v>
      </c>
      <c r="V710" s="12">
        <f>+IFERROR(IF(VLOOKUP(Q710,COMISIONES!$C$2:$K$33,9,0)&gt;=VLOOKUP(TC!Q710,COMISIONES!$C$2:$I$33,7,0),1,0),0)</f>
        <v>0</v>
      </c>
      <c r="W710" s="262">
        <f>+IF(H710="Segunda",VLOOKUP(_xlfn.CONCAT(P710,G710,H710,V710),'PUNTOS 2021'!$E$23:$F$30,2,0),TC!L710)</f>
        <v>3</v>
      </c>
      <c r="X710" s="67">
        <f>+VLOOKUP(Q710,COMISIONES!$C$2:$AO$33,39,0)</f>
        <v>60</v>
      </c>
      <c r="Y710" s="67">
        <f t="shared" si="11"/>
        <v>180</v>
      </c>
      <c r="Z710" s="58" t="s">
        <v>80</v>
      </c>
      <c r="AA710" s="13">
        <f>+VLOOKUP(Q710,COMISIONES!$C$2:$C$33,1,0)</f>
        <v>20010262</v>
      </c>
      <c r="AB710" s="13" t="s">
        <v>269</v>
      </c>
    </row>
    <row r="711" spans="1:28" hidden="1">
      <c r="A711" s="117" t="s">
        <v>821</v>
      </c>
      <c r="B711" s="138">
        <v>45169</v>
      </c>
      <c r="C711" s="117" t="s">
        <v>2954</v>
      </c>
      <c r="D711" s="117" t="s">
        <v>2955</v>
      </c>
      <c r="E711" s="117" t="s">
        <v>2956</v>
      </c>
      <c r="F711" s="117"/>
      <c r="G711" s="117" t="s">
        <v>43</v>
      </c>
      <c r="H711" s="117" t="s">
        <v>1</v>
      </c>
      <c r="I711"/>
      <c r="J711"/>
      <c r="K711" s="117" t="s">
        <v>129</v>
      </c>
      <c r="L711">
        <v>3</v>
      </c>
      <c r="M711" s="117" t="s">
        <v>161</v>
      </c>
      <c r="N711" s="117" t="s">
        <v>158</v>
      </c>
      <c r="O711" s="117" t="s">
        <v>50</v>
      </c>
      <c r="P711" s="117" t="s">
        <v>40</v>
      </c>
      <c r="Q711" s="139">
        <v>20006162</v>
      </c>
      <c r="R711" s="117" t="s">
        <v>78</v>
      </c>
      <c r="S711" s="117" t="s">
        <v>109</v>
      </c>
      <c r="T711" s="117" t="s">
        <v>109</v>
      </c>
      <c r="U711" s="117" t="s">
        <v>128</v>
      </c>
      <c r="V711" s="12">
        <f>+IFERROR(IF(VLOOKUP(Q711,COMISIONES!$C$2:$K$33,9,0)&gt;=VLOOKUP(TC!Q711,COMISIONES!$C$2:$I$33,7,0),1,0),0)</f>
        <v>0</v>
      </c>
      <c r="W711" s="262">
        <f>+IF(H711="Segunda",VLOOKUP(_xlfn.CONCAT(P711,G711,H711,V711),'PUNTOS 2021'!$E$23:$F$30,2,0),TC!L711)</f>
        <v>3</v>
      </c>
      <c r="X711" s="67">
        <f>+VLOOKUP(Q711,COMISIONES!$C$2:$AO$33,39,0)</f>
        <v>60</v>
      </c>
      <c r="Y711" s="67">
        <f t="shared" si="11"/>
        <v>180</v>
      </c>
      <c r="Z711" s="58" t="s">
        <v>80</v>
      </c>
      <c r="AA711" s="13">
        <f>+VLOOKUP(Q711,COMISIONES!$C$2:$C$33,1,0)</f>
        <v>20006162</v>
      </c>
      <c r="AB711" s="13" t="s">
        <v>269</v>
      </c>
    </row>
    <row r="712" spans="1:28" hidden="1">
      <c r="A712" s="117" t="s">
        <v>821</v>
      </c>
      <c r="B712" s="138">
        <v>45169</v>
      </c>
      <c r="C712" s="117" t="s">
        <v>2957</v>
      </c>
      <c r="D712" s="117" t="s">
        <v>2958</v>
      </c>
      <c r="E712" s="117" t="s">
        <v>2959</v>
      </c>
      <c r="F712" s="117"/>
      <c r="G712" s="117" t="s">
        <v>45</v>
      </c>
      <c r="H712" s="117" t="s">
        <v>1</v>
      </c>
      <c r="I712"/>
      <c r="J712"/>
      <c r="K712" s="117" t="s">
        <v>105</v>
      </c>
      <c r="L712">
        <v>7</v>
      </c>
      <c r="M712" s="117" t="s">
        <v>112</v>
      </c>
      <c r="N712" s="117" t="s">
        <v>9</v>
      </c>
      <c r="O712" s="117" t="s">
        <v>51</v>
      </c>
      <c r="P712" s="117" t="s">
        <v>40</v>
      </c>
      <c r="Q712" s="139">
        <v>20004638</v>
      </c>
      <c r="R712" s="117" t="s">
        <v>78</v>
      </c>
      <c r="S712" s="117" t="s">
        <v>109</v>
      </c>
      <c r="T712" s="117" t="s">
        <v>109</v>
      </c>
      <c r="U712" s="117" t="s">
        <v>128</v>
      </c>
      <c r="V712" s="12">
        <f>+IFERROR(IF(VLOOKUP(Q712,COMISIONES!$C$2:$K$33,9,0)&gt;=VLOOKUP(TC!Q712,COMISIONES!$C$2:$I$33,7,0),1,0),0)</f>
        <v>0</v>
      </c>
      <c r="W712" s="262">
        <f>+IF(H712="Segunda",VLOOKUP(_xlfn.CONCAT(P712,G712,H712,V712),'PUNTOS 2021'!$E$23:$F$30,2,0),TC!L712)</f>
        <v>7</v>
      </c>
      <c r="X712" s="67">
        <f>+VLOOKUP(Q712,COMISIONES!$C$2:$AO$33,39,0)</f>
        <v>60</v>
      </c>
      <c r="Y712" s="67">
        <f t="shared" si="11"/>
        <v>420</v>
      </c>
      <c r="Z712" s="58" t="s">
        <v>80</v>
      </c>
      <c r="AA712" s="13">
        <f>+VLOOKUP(Q712,COMISIONES!$C$2:$C$33,1,0)</f>
        <v>20004638</v>
      </c>
      <c r="AB712" s="13" t="s">
        <v>269</v>
      </c>
    </row>
    <row r="713" spans="1:28" hidden="1">
      <c r="A713" s="117" t="s">
        <v>821</v>
      </c>
      <c r="B713" s="138">
        <v>45169</v>
      </c>
      <c r="C713" s="117" t="s">
        <v>2960</v>
      </c>
      <c r="D713" s="117" t="s">
        <v>2961</v>
      </c>
      <c r="E713" s="117" t="s">
        <v>2962</v>
      </c>
      <c r="F713" s="117"/>
      <c r="G713" s="117" t="s">
        <v>45</v>
      </c>
      <c r="H713" s="117" t="s">
        <v>1</v>
      </c>
      <c r="I713"/>
      <c r="J713"/>
      <c r="K713" s="117" t="s">
        <v>105</v>
      </c>
      <c r="L713">
        <v>7</v>
      </c>
      <c r="M713" s="117" t="s">
        <v>112</v>
      </c>
      <c r="N713" s="117" t="s">
        <v>9</v>
      </c>
      <c r="O713" s="117" t="s">
        <v>51</v>
      </c>
      <c r="P713" s="117" t="s">
        <v>40</v>
      </c>
      <c r="Q713" s="139">
        <v>20004638</v>
      </c>
      <c r="R713" s="117" t="s">
        <v>78</v>
      </c>
      <c r="S713" s="117" t="s">
        <v>109</v>
      </c>
      <c r="T713" s="117" t="s">
        <v>109</v>
      </c>
      <c r="U713" s="117" t="s">
        <v>128</v>
      </c>
      <c r="V713" s="12">
        <f>+IFERROR(IF(VLOOKUP(Q713,COMISIONES!$C$2:$K$33,9,0)&gt;=VLOOKUP(TC!Q713,COMISIONES!$C$2:$I$33,7,0),1,0),0)</f>
        <v>0</v>
      </c>
      <c r="W713" s="262">
        <f>+IF(H713="Segunda",VLOOKUP(_xlfn.CONCAT(P713,G713,H713,V713),'PUNTOS 2021'!$E$23:$F$30,2,0),TC!L713)</f>
        <v>7</v>
      </c>
      <c r="X713" s="67">
        <f>+VLOOKUP(Q713,COMISIONES!$C$2:$AO$33,39,0)</f>
        <v>60</v>
      </c>
      <c r="Y713" s="67">
        <f t="shared" si="11"/>
        <v>420</v>
      </c>
      <c r="Z713" s="58" t="s">
        <v>80</v>
      </c>
      <c r="AA713" s="13">
        <f>+VLOOKUP(Q713,COMISIONES!$C$2:$C$33,1,0)</f>
        <v>20004638</v>
      </c>
      <c r="AB713" s="13" t="s">
        <v>269</v>
      </c>
    </row>
    <row r="714" spans="1:28" hidden="1">
      <c r="A714" s="117" t="s">
        <v>821</v>
      </c>
      <c r="B714" s="138">
        <v>45169</v>
      </c>
      <c r="C714" s="117" t="s">
        <v>2963</v>
      </c>
      <c r="D714" s="117" t="s">
        <v>2964</v>
      </c>
      <c r="E714" s="117" t="s">
        <v>2965</v>
      </c>
      <c r="F714" s="117"/>
      <c r="G714" s="117" t="s">
        <v>45</v>
      </c>
      <c r="H714" s="117" t="s">
        <v>1</v>
      </c>
      <c r="I714"/>
      <c r="J714"/>
      <c r="K714" s="117" t="s">
        <v>105</v>
      </c>
      <c r="L714">
        <v>7</v>
      </c>
      <c r="M714" s="117" t="s">
        <v>270</v>
      </c>
      <c r="N714" s="117" t="s">
        <v>271</v>
      </c>
      <c r="O714" s="117" t="s">
        <v>52</v>
      </c>
      <c r="P714" s="117" t="s">
        <v>40</v>
      </c>
      <c r="Q714" s="139">
        <v>20009592</v>
      </c>
      <c r="R714" s="117" t="s">
        <v>78</v>
      </c>
      <c r="S714" s="117" t="s">
        <v>109</v>
      </c>
      <c r="T714" s="117" t="s">
        <v>109</v>
      </c>
      <c r="U714" s="117" t="s">
        <v>128</v>
      </c>
      <c r="V714" s="12">
        <f>+IFERROR(IF(VLOOKUP(Q714,COMISIONES!$C$2:$K$33,9,0)&gt;=VLOOKUP(TC!Q714,COMISIONES!$C$2:$I$33,7,0),1,0),0)</f>
        <v>1</v>
      </c>
      <c r="W714" s="262">
        <f>+IF(H714="Segunda",VLOOKUP(_xlfn.CONCAT(P714,G714,H714,V714),'PUNTOS 2021'!$E$23:$F$30,2,0),TC!L714)</f>
        <v>7</v>
      </c>
      <c r="X714" s="67">
        <f>+VLOOKUP(Q714,COMISIONES!$C$2:$AO$33,39,0)</f>
        <v>60</v>
      </c>
      <c r="Y714" s="67">
        <f t="shared" si="11"/>
        <v>420</v>
      </c>
      <c r="Z714" s="58" t="s">
        <v>80</v>
      </c>
      <c r="AA714" s="13">
        <f>+VLOOKUP(Q714,COMISIONES!$C$2:$C$33,1,0)</f>
        <v>20009592</v>
      </c>
      <c r="AB714" s="13" t="s">
        <v>269</v>
      </c>
    </row>
    <row r="715" spans="1:28" hidden="1">
      <c r="A715" s="117" t="s">
        <v>821</v>
      </c>
      <c r="B715" s="138">
        <v>45169</v>
      </c>
      <c r="C715" s="117" t="s">
        <v>2966</v>
      </c>
      <c r="D715" s="117" t="s">
        <v>2967</v>
      </c>
      <c r="E715" s="117" t="s">
        <v>2968</v>
      </c>
      <c r="F715" s="117"/>
      <c r="G715" s="117" t="s">
        <v>43</v>
      </c>
      <c r="H715" s="117" t="s">
        <v>1</v>
      </c>
      <c r="I715"/>
      <c r="J715"/>
      <c r="K715" s="117" t="s">
        <v>105</v>
      </c>
      <c r="L715">
        <v>3</v>
      </c>
      <c r="M715" s="117" t="s">
        <v>259</v>
      </c>
      <c r="N715" s="117" t="s">
        <v>20</v>
      </c>
      <c r="O715" s="117" t="s">
        <v>50</v>
      </c>
      <c r="P715" s="117" t="s">
        <v>40</v>
      </c>
      <c r="Q715" s="139">
        <v>20008700</v>
      </c>
      <c r="R715" s="117" t="s">
        <v>78</v>
      </c>
      <c r="S715" s="117" t="s">
        <v>109</v>
      </c>
      <c r="T715" s="117" t="s">
        <v>109</v>
      </c>
      <c r="U715" s="117" t="s">
        <v>128</v>
      </c>
      <c r="V715" s="12">
        <f>+IFERROR(IF(VLOOKUP(Q715,COMISIONES!$C$2:$K$33,9,0)&gt;=VLOOKUP(TC!Q715,COMISIONES!$C$2:$I$33,7,0),1,0),0)</f>
        <v>0</v>
      </c>
      <c r="W715" s="262">
        <f>+IF(H715="Segunda",VLOOKUP(_xlfn.CONCAT(P715,G715,H715,V715),'PUNTOS 2021'!$E$23:$F$30,2,0),TC!L715)</f>
        <v>3</v>
      </c>
      <c r="X715" s="67">
        <f>+VLOOKUP(Q715,COMISIONES!$C$2:$AO$33,39,0)</f>
        <v>40</v>
      </c>
      <c r="Y715" s="67">
        <f t="shared" si="11"/>
        <v>120</v>
      </c>
      <c r="Z715" s="58" t="s">
        <v>80</v>
      </c>
      <c r="AA715" s="13">
        <f>+VLOOKUP(Q715,COMISIONES!$C$2:$C$33,1,0)</f>
        <v>20008700</v>
      </c>
      <c r="AB715" s="13" t="s">
        <v>269</v>
      </c>
    </row>
    <row r="716" spans="1:28" hidden="1">
      <c r="A716" s="117" t="s">
        <v>821</v>
      </c>
      <c r="B716" s="138">
        <v>45169</v>
      </c>
      <c r="C716" s="117" t="s">
        <v>2969</v>
      </c>
      <c r="D716" s="117" t="s">
        <v>2970</v>
      </c>
      <c r="E716" s="117" t="s">
        <v>2971</v>
      </c>
      <c r="F716" s="117"/>
      <c r="G716" s="117" t="s">
        <v>44</v>
      </c>
      <c r="H716" s="117" t="s">
        <v>1</v>
      </c>
      <c r="I716"/>
      <c r="J716"/>
      <c r="K716" s="117" t="s">
        <v>105</v>
      </c>
      <c r="L716">
        <v>5</v>
      </c>
      <c r="M716" s="117" t="s">
        <v>262</v>
      </c>
      <c r="N716" s="117" t="s">
        <v>7</v>
      </c>
      <c r="O716" s="117" t="s">
        <v>52</v>
      </c>
      <c r="P716" s="117" t="s">
        <v>40</v>
      </c>
      <c r="Q716" s="139">
        <v>20007352</v>
      </c>
      <c r="R716" s="117" t="s">
        <v>78</v>
      </c>
      <c r="S716" s="117" t="s">
        <v>109</v>
      </c>
      <c r="T716" s="117" t="s">
        <v>109</v>
      </c>
      <c r="U716" s="117" t="s">
        <v>128</v>
      </c>
      <c r="V716" s="12">
        <f>+IFERROR(IF(VLOOKUP(Q716,COMISIONES!$C$2:$K$33,9,0)&gt;=VLOOKUP(TC!Q716,COMISIONES!$C$2:$I$33,7,0),1,0),0)</f>
        <v>0</v>
      </c>
      <c r="W716" s="262">
        <f>+IF(H716="Segunda",VLOOKUP(_xlfn.CONCAT(P716,G716,H716,V716),'PUNTOS 2021'!$E$23:$F$30,2,0),TC!L716)</f>
        <v>5</v>
      </c>
      <c r="X716" s="67">
        <f>+VLOOKUP(Q716,COMISIONES!$C$2:$AO$33,39,0)</f>
        <v>30</v>
      </c>
      <c r="Y716" s="67">
        <f t="shared" si="11"/>
        <v>150</v>
      </c>
      <c r="Z716" s="58" t="s">
        <v>80</v>
      </c>
      <c r="AA716" s="13">
        <f>+VLOOKUP(Q716,COMISIONES!$C$2:$C$33,1,0)</f>
        <v>20007352</v>
      </c>
      <c r="AB716" s="13" t="s">
        <v>269</v>
      </c>
    </row>
    <row r="717" spans="1:28" hidden="1">
      <c r="A717" s="117" t="s">
        <v>821</v>
      </c>
      <c r="B717" s="138">
        <v>45169</v>
      </c>
      <c r="C717" s="117" t="s">
        <v>2972</v>
      </c>
      <c r="D717" s="117" t="s">
        <v>2973</v>
      </c>
      <c r="E717" s="117" t="s">
        <v>2974</v>
      </c>
      <c r="F717" s="117"/>
      <c r="G717" s="117" t="s">
        <v>44</v>
      </c>
      <c r="H717" s="117" t="s">
        <v>1</v>
      </c>
      <c r="I717"/>
      <c r="J717"/>
      <c r="K717" s="117" t="s">
        <v>105</v>
      </c>
      <c r="L717">
        <v>5</v>
      </c>
      <c r="M717" s="117" t="s">
        <v>272</v>
      </c>
      <c r="N717" s="117" t="s">
        <v>275</v>
      </c>
      <c r="O717" s="117" t="s">
        <v>52</v>
      </c>
      <c r="P717" s="117" t="s">
        <v>40</v>
      </c>
      <c r="Q717" s="139">
        <v>20009688</v>
      </c>
      <c r="R717" s="117" t="s">
        <v>78</v>
      </c>
      <c r="S717" s="117" t="s">
        <v>109</v>
      </c>
      <c r="T717" s="117" t="s">
        <v>109</v>
      </c>
      <c r="U717" s="117" t="s">
        <v>128</v>
      </c>
      <c r="V717" s="12">
        <f>+IFERROR(IF(VLOOKUP(Q717,COMISIONES!$C$2:$K$33,9,0)&gt;=VLOOKUP(TC!Q717,COMISIONES!$C$2:$I$33,7,0),1,0),0)</f>
        <v>0</v>
      </c>
      <c r="W717" s="262">
        <f>+IF(H717="Segunda",VLOOKUP(_xlfn.CONCAT(P717,G717,H717,V717),'PUNTOS 2021'!$E$23:$F$30,2,0),TC!L717)</f>
        <v>5</v>
      </c>
      <c r="X717" s="67">
        <f>+VLOOKUP(Q717,COMISIONES!$C$2:$AO$33,39,0)</f>
        <v>30</v>
      </c>
      <c r="Y717" s="67">
        <f t="shared" si="11"/>
        <v>150</v>
      </c>
      <c r="Z717" s="58" t="s">
        <v>80</v>
      </c>
      <c r="AA717" s="13">
        <f>+VLOOKUP(Q717,COMISIONES!$C$2:$C$33,1,0)</f>
        <v>20009688</v>
      </c>
      <c r="AB717" s="13" t="s">
        <v>269</v>
      </c>
    </row>
    <row r="718" spans="1:28">
      <c r="A718" s="117" t="s">
        <v>821</v>
      </c>
      <c r="B718" s="138">
        <v>45169</v>
      </c>
      <c r="C718" s="117" t="s">
        <v>2975</v>
      </c>
      <c r="D718" s="117" t="s">
        <v>2976</v>
      </c>
      <c r="E718" s="117" t="s">
        <v>2977</v>
      </c>
      <c r="F718" s="117"/>
      <c r="G718" s="117" t="s">
        <v>45</v>
      </c>
      <c r="H718" s="117" t="s">
        <v>2</v>
      </c>
      <c r="I718"/>
      <c r="J718"/>
      <c r="K718" s="117" t="s">
        <v>105</v>
      </c>
      <c r="L718">
        <v>2</v>
      </c>
      <c r="M718" s="117" t="s">
        <v>115</v>
      </c>
      <c r="N718" s="117" t="s">
        <v>6</v>
      </c>
      <c r="O718" s="117" t="s">
        <v>51</v>
      </c>
      <c r="P718" s="117" t="s">
        <v>40</v>
      </c>
      <c r="Q718" s="139">
        <v>20001487</v>
      </c>
      <c r="R718" s="117" t="s">
        <v>78</v>
      </c>
      <c r="S718" s="117" t="s">
        <v>109</v>
      </c>
      <c r="T718" s="117" t="s">
        <v>109</v>
      </c>
      <c r="U718" s="117" t="s">
        <v>128</v>
      </c>
      <c r="V718" s="12">
        <f>+IFERROR(IF(VLOOKUP(Q718,COMISIONES!$C$2:$K$33,9,0)&gt;=VLOOKUP(TC!Q718,COMISIONES!$C$2:$I$33,7,0),1,0),0)</f>
        <v>1</v>
      </c>
      <c r="W718" s="262">
        <f>+IF(H718="Segunda",VLOOKUP(_xlfn.CONCAT(P718,G718,H718,V718),'PUNTOS 2021'!$E$23:$F$30,2,0),TC!L718)</f>
        <v>2</v>
      </c>
      <c r="X718" s="67">
        <f>+VLOOKUP(Q718,COMISIONES!$C$2:$AO$33,39,0)</f>
        <v>65</v>
      </c>
      <c r="Y718" s="67">
        <f t="shared" si="11"/>
        <v>130</v>
      </c>
      <c r="Z718" s="58" t="s">
        <v>80</v>
      </c>
      <c r="AA718" s="13">
        <f>+VLOOKUP(Q718,COMISIONES!$C$2:$C$33,1,0)</f>
        <v>20001487</v>
      </c>
      <c r="AB718" s="13" t="s">
        <v>269</v>
      </c>
    </row>
    <row r="719" spans="1:28" hidden="1">
      <c r="A719" s="117" t="s">
        <v>821</v>
      </c>
      <c r="B719" s="138">
        <v>45169</v>
      </c>
      <c r="C719" s="117" t="s">
        <v>2978</v>
      </c>
      <c r="D719" s="117" t="s">
        <v>2979</v>
      </c>
      <c r="E719" s="117" t="s">
        <v>2980</v>
      </c>
      <c r="F719" s="117"/>
      <c r="G719" s="117" t="s">
        <v>45</v>
      </c>
      <c r="H719" s="117" t="s">
        <v>1</v>
      </c>
      <c r="I719"/>
      <c r="J719"/>
      <c r="K719" s="117" t="s">
        <v>129</v>
      </c>
      <c r="L719">
        <v>7</v>
      </c>
      <c r="M719" s="117" t="s">
        <v>273</v>
      </c>
      <c r="N719" s="117" t="s">
        <v>292</v>
      </c>
      <c r="O719" s="117" t="s">
        <v>51</v>
      </c>
      <c r="P719" s="117" t="s">
        <v>40</v>
      </c>
      <c r="Q719" s="139">
        <v>20007943</v>
      </c>
      <c r="R719" s="117" t="s">
        <v>78</v>
      </c>
      <c r="S719" s="117" t="s">
        <v>109</v>
      </c>
      <c r="T719" s="117" t="s">
        <v>109</v>
      </c>
      <c r="U719" s="117" t="s">
        <v>128</v>
      </c>
      <c r="V719" s="12">
        <f>+IFERROR(IF(VLOOKUP(Q719,COMISIONES!$C$2:$K$33,9,0)&gt;=VLOOKUP(TC!Q719,COMISIONES!$C$2:$I$33,7,0),1,0),0)</f>
        <v>0</v>
      </c>
      <c r="W719" s="262">
        <f>+IF(H719="Segunda",VLOOKUP(_xlfn.CONCAT(P719,G719,H719,V719),'PUNTOS 2021'!$E$23:$F$30,2,0),TC!L719)</f>
        <v>7</v>
      </c>
      <c r="X719" s="67">
        <f>+VLOOKUP(Q719,COMISIONES!$C$2:$AO$33,39,0)</f>
        <v>20</v>
      </c>
      <c r="Y719" s="67">
        <f t="shared" si="11"/>
        <v>140</v>
      </c>
      <c r="Z719" s="58" t="s">
        <v>80</v>
      </c>
      <c r="AA719" s="13">
        <f>+VLOOKUP(Q719,COMISIONES!$C$2:$C$33,1,0)</f>
        <v>20007943</v>
      </c>
      <c r="AB719" s="13" t="s">
        <v>269</v>
      </c>
    </row>
    <row r="720" spans="1:28" hidden="1">
      <c r="A720" s="117" t="s">
        <v>821</v>
      </c>
      <c r="B720" s="138">
        <v>45169</v>
      </c>
      <c r="C720" s="117" t="s">
        <v>2981</v>
      </c>
      <c r="D720" s="117" t="s">
        <v>2982</v>
      </c>
      <c r="E720" s="117" t="s">
        <v>2983</v>
      </c>
      <c r="F720" s="117"/>
      <c r="G720" s="117" t="s">
        <v>45</v>
      </c>
      <c r="H720" s="117" t="s">
        <v>1</v>
      </c>
      <c r="I720"/>
      <c r="J720"/>
      <c r="K720" s="117" t="s">
        <v>105</v>
      </c>
      <c r="L720">
        <v>7</v>
      </c>
      <c r="M720" s="117" t="s">
        <v>119</v>
      </c>
      <c r="N720" s="117" t="s">
        <v>22</v>
      </c>
      <c r="O720" s="117" t="s">
        <v>52</v>
      </c>
      <c r="P720" s="117" t="s">
        <v>40</v>
      </c>
      <c r="Q720" s="139">
        <v>20009174</v>
      </c>
      <c r="R720" s="117" t="s">
        <v>78</v>
      </c>
      <c r="S720" s="117" t="s">
        <v>109</v>
      </c>
      <c r="T720" s="117" t="s">
        <v>109</v>
      </c>
      <c r="U720" s="117" t="s">
        <v>128</v>
      </c>
      <c r="V720" s="12">
        <f>+IFERROR(IF(VLOOKUP(Q720,COMISIONES!$C$2:$K$33,9,0)&gt;=VLOOKUP(TC!Q720,COMISIONES!$C$2:$I$33,7,0),1,0),0)</f>
        <v>0</v>
      </c>
      <c r="W720" s="262">
        <f>+IF(H720="Segunda",VLOOKUP(_xlfn.CONCAT(P720,G720,H720,V720),'PUNTOS 2021'!$E$23:$F$30,2,0),TC!L720)</f>
        <v>7</v>
      </c>
      <c r="X720" s="67">
        <f>+VLOOKUP(Q720,COMISIONES!$C$2:$AO$33,39,0)</f>
        <v>60</v>
      </c>
      <c r="Y720" s="67">
        <f t="shared" si="11"/>
        <v>420</v>
      </c>
      <c r="Z720" s="58" t="s">
        <v>80</v>
      </c>
      <c r="AA720" s="13">
        <f>+VLOOKUP(Q720,COMISIONES!$C$2:$C$33,1,0)</f>
        <v>20009174</v>
      </c>
      <c r="AB720" s="13" t="s">
        <v>269</v>
      </c>
    </row>
    <row r="721" spans="1:28" hidden="1">
      <c r="A721" s="117"/>
      <c r="B721" s="138"/>
      <c r="C721" s="117"/>
      <c r="D721" s="117"/>
      <c r="E721" s="117"/>
      <c r="F721" s="117"/>
      <c r="G721" s="117"/>
      <c r="H721" s="117"/>
      <c r="I721"/>
      <c r="J721"/>
      <c r="K721" s="117"/>
      <c r="L721"/>
      <c r="M721" s="117"/>
      <c r="N721" s="117"/>
      <c r="O721" s="117"/>
      <c r="P721" s="117"/>
      <c r="Q721" s="139"/>
      <c r="R721" s="117"/>
      <c r="S721" s="117"/>
      <c r="T721" s="117"/>
      <c r="U721" s="117"/>
      <c r="V721" s="12">
        <f>+IFERROR(IF(VLOOKUP(Q721,COMISIONES!$C$2:$K$33,9,0)&gt;=VLOOKUP(TC!Q721,COMISIONES!$C$2:$I$33,7,0),1,0),0)</f>
        <v>0</v>
      </c>
      <c r="W721" s="262">
        <f>+IF(H721="Segunda",VLOOKUP(_xlfn.CONCAT(P721,G721,H721,V721),'PUNTOS 2021'!$E$23:$F$30,2,0),TC!L721)</f>
        <v>0</v>
      </c>
      <c r="X721" s="67" t="e">
        <f>+VLOOKUP(Q721,COMISIONES!$C$2:$AO$33,39,0)</f>
        <v>#N/A</v>
      </c>
      <c r="Y721" s="67" t="e">
        <f t="shared" si="11"/>
        <v>#N/A</v>
      </c>
      <c r="Z721" s="58"/>
      <c r="AA721" s="13" t="e">
        <f>+VLOOKUP(Q721,COMISIONES!$C$2:$C$33,1,0)</f>
        <v>#N/A</v>
      </c>
      <c r="AB721" s="13" t="s">
        <v>269</v>
      </c>
    </row>
    <row r="722" spans="1:28" hidden="1">
      <c r="A722" s="117"/>
      <c r="B722" s="138"/>
      <c r="C722" s="117"/>
      <c r="D722" s="117"/>
      <c r="E722" s="117"/>
      <c r="F722" s="117"/>
      <c r="G722" s="117"/>
      <c r="H722" s="117"/>
      <c r="I722"/>
      <c r="J722"/>
      <c r="K722" s="117"/>
      <c r="L722"/>
      <c r="M722" s="117"/>
      <c r="N722" s="117"/>
      <c r="O722" s="117"/>
      <c r="P722" s="117"/>
      <c r="Q722" s="139"/>
      <c r="R722" s="117"/>
      <c r="S722" s="117"/>
      <c r="T722" s="117"/>
      <c r="U722" s="117"/>
      <c r="V722" s="12">
        <f>+IFERROR(IF(VLOOKUP(Q722,COMISIONES!$C$2:$K$33,9,0)&gt;=VLOOKUP(TC!Q722,COMISIONES!$C$2:$I$33,7,0),1,0),0)</f>
        <v>0</v>
      </c>
      <c r="W722" s="262">
        <f>+IF(H722="Segunda",VLOOKUP(_xlfn.CONCAT(P722,G722,H722,V722),'PUNTOS 2021'!$E$23:$F$30,2,0),TC!L722)</f>
        <v>0</v>
      </c>
      <c r="X722" s="67" t="e">
        <f>+VLOOKUP(Q722,COMISIONES!$C$2:$AO$33,39,0)</f>
        <v>#N/A</v>
      </c>
      <c r="Y722" s="67" t="e">
        <f t="shared" si="11"/>
        <v>#N/A</v>
      </c>
      <c r="Z722" s="58"/>
      <c r="AA722" s="13" t="e">
        <f>+VLOOKUP(Q722,COMISIONES!$C$2:$C$33,1,0)</f>
        <v>#N/A</v>
      </c>
      <c r="AB722" s="13" t="s">
        <v>269</v>
      </c>
    </row>
    <row r="723" spans="1:28" hidden="1">
      <c r="A723" s="117"/>
      <c r="B723" s="138"/>
      <c r="C723" s="117"/>
      <c r="D723" s="117"/>
      <c r="E723" s="117"/>
      <c r="F723" s="117"/>
      <c r="G723" s="117"/>
      <c r="H723" s="117"/>
      <c r="I723"/>
      <c r="J723"/>
      <c r="K723" s="117"/>
      <c r="L723"/>
      <c r="M723" s="117"/>
      <c r="N723" s="117"/>
      <c r="O723" s="117"/>
      <c r="P723" s="117"/>
      <c r="Q723" s="139"/>
      <c r="R723" s="117"/>
      <c r="S723" s="117"/>
      <c r="T723" s="117"/>
      <c r="U723" s="117"/>
      <c r="V723" s="12">
        <f>+IFERROR(IF(VLOOKUP(Q723,COMISIONES!$C$2:$K$33,9,0)&gt;=VLOOKUP(TC!Q723,COMISIONES!$C$2:$I$33,7,0),1,0),0)</f>
        <v>0</v>
      </c>
      <c r="W723" s="262">
        <f>+IF(H723="Segunda",VLOOKUP(_xlfn.CONCAT(P723,G723,H723,V723),'PUNTOS 2021'!$E$23:$F$30,2,0),TC!L723)</f>
        <v>0</v>
      </c>
      <c r="X723" s="67" t="e">
        <f>+VLOOKUP(Q723,COMISIONES!$C$2:$AO$33,39,0)</f>
        <v>#N/A</v>
      </c>
      <c r="Y723" s="67" t="e">
        <f t="shared" si="11"/>
        <v>#N/A</v>
      </c>
      <c r="Z723" s="58"/>
      <c r="AA723" s="13" t="e">
        <f>+VLOOKUP(Q723,COMISIONES!$C$2:$C$33,1,0)</f>
        <v>#N/A</v>
      </c>
      <c r="AB723" s="13" t="s">
        <v>269</v>
      </c>
    </row>
    <row r="724" spans="1:28" hidden="1">
      <c r="A724" s="117"/>
      <c r="B724" s="138"/>
      <c r="C724" s="117"/>
      <c r="D724" s="117"/>
      <c r="E724" s="117"/>
      <c r="F724" s="117"/>
      <c r="G724" s="117"/>
      <c r="H724" s="117"/>
      <c r="I724"/>
      <c r="J724"/>
      <c r="K724" s="117"/>
      <c r="L724"/>
      <c r="M724" s="117"/>
      <c r="N724" s="117"/>
      <c r="O724" s="117"/>
      <c r="P724" s="117"/>
      <c r="Q724" s="139"/>
      <c r="R724" s="117"/>
      <c r="S724" s="117"/>
      <c r="T724" s="117"/>
      <c r="U724" s="117"/>
      <c r="V724" s="12">
        <f>+IFERROR(IF(VLOOKUP(Q724,COMISIONES!$C$2:$K$33,9,0)&gt;=VLOOKUP(TC!Q724,COMISIONES!$C$2:$I$33,7,0),1,0),0)</f>
        <v>0</v>
      </c>
      <c r="W724" s="262">
        <f>+IF(H724="Segunda",VLOOKUP(_xlfn.CONCAT(P724,G724,H724,V724),'PUNTOS 2021'!$E$23:$F$30,2,0),TC!L724)</f>
        <v>0</v>
      </c>
      <c r="X724" s="67" t="e">
        <f>+VLOOKUP(Q724,COMISIONES!$C$2:$AO$33,39,0)</f>
        <v>#N/A</v>
      </c>
      <c r="Y724" s="67" t="e">
        <f t="shared" si="11"/>
        <v>#N/A</v>
      </c>
      <c r="Z724" s="58"/>
      <c r="AA724" s="13" t="e">
        <f>+VLOOKUP(Q724,COMISIONES!$C$2:$C$33,1,0)</f>
        <v>#N/A</v>
      </c>
      <c r="AB724" s="13" t="s">
        <v>269</v>
      </c>
    </row>
    <row r="725" spans="1:28" hidden="1">
      <c r="A725" s="117"/>
      <c r="B725" s="138"/>
      <c r="C725" s="117"/>
      <c r="D725" s="117"/>
      <c r="E725" s="117"/>
      <c r="F725" s="117"/>
      <c r="G725" s="117"/>
      <c r="H725" s="117"/>
      <c r="I725"/>
      <c r="J725"/>
      <c r="K725" s="117"/>
      <c r="L725"/>
      <c r="M725" s="117"/>
      <c r="N725" s="117"/>
      <c r="O725" s="117"/>
      <c r="P725" s="117"/>
      <c r="Q725" s="139"/>
      <c r="R725" s="117"/>
      <c r="S725" s="117"/>
      <c r="T725" s="117"/>
      <c r="U725" s="117"/>
      <c r="V725" s="12">
        <f>+IFERROR(IF(VLOOKUP(Q725,COMISIONES!$C$2:$K$33,9,0)&gt;=VLOOKUP(TC!Q725,COMISIONES!$C$2:$I$33,7,0),1,0),0)</f>
        <v>0</v>
      </c>
      <c r="W725" s="262">
        <f>+IF(H725="Segunda",VLOOKUP(_xlfn.CONCAT(P725,G725,H725,V725),'PUNTOS 2021'!$E$23:$F$30,2,0),TC!L725)</f>
        <v>0</v>
      </c>
      <c r="X725" s="67" t="e">
        <f>+VLOOKUP(Q725,COMISIONES!$C$2:$AO$33,39,0)</f>
        <v>#N/A</v>
      </c>
      <c r="Y725" s="67" t="e">
        <f t="shared" si="11"/>
        <v>#N/A</v>
      </c>
      <c r="Z725" s="58"/>
      <c r="AA725" s="13" t="e">
        <f>+VLOOKUP(Q725,COMISIONES!$C$2:$C$33,1,0)</f>
        <v>#N/A</v>
      </c>
      <c r="AB725" s="13" t="s">
        <v>269</v>
      </c>
    </row>
    <row r="726" spans="1:28" hidden="1">
      <c r="A726" s="117"/>
      <c r="B726" s="138"/>
      <c r="C726" s="117"/>
      <c r="D726" s="117"/>
      <c r="E726" s="117"/>
      <c r="F726" s="117"/>
      <c r="G726" s="117"/>
      <c r="H726" s="117"/>
      <c r="I726"/>
      <c r="J726"/>
      <c r="K726" s="117"/>
      <c r="L726"/>
      <c r="M726" s="117"/>
      <c r="N726" s="117"/>
      <c r="O726" s="117"/>
      <c r="P726" s="117"/>
      <c r="Q726" s="139"/>
      <c r="R726" s="117"/>
      <c r="S726" s="117"/>
      <c r="T726" s="117"/>
      <c r="U726" s="117"/>
      <c r="V726" s="12">
        <f>+IFERROR(IF(VLOOKUP(Q726,COMISIONES!$C$2:$K$33,9,0)&gt;=VLOOKUP(TC!Q726,COMISIONES!$C$2:$I$33,7,0),1,0),0)</f>
        <v>0</v>
      </c>
      <c r="W726" s="262">
        <f>+IF(H726="Segunda",VLOOKUP(_xlfn.CONCAT(P726,G726,H726,V726),'PUNTOS 2021'!$E$23:$F$30,2,0),TC!L726)</f>
        <v>0</v>
      </c>
      <c r="X726" s="67" t="e">
        <f>+VLOOKUP(Q726,COMISIONES!$C$2:$AO$33,39,0)</f>
        <v>#N/A</v>
      </c>
      <c r="Y726" s="67" t="e">
        <f t="shared" si="11"/>
        <v>#N/A</v>
      </c>
      <c r="Z726" s="58"/>
      <c r="AA726" s="13" t="e">
        <f>+VLOOKUP(Q726,COMISIONES!$C$2:$C$33,1,0)</f>
        <v>#N/A</v>
      </c>
      <c r="AB726" s="13" t="s">
        <v>269</v>
      </c>
    </row>
    <row r="727" spans="1:28" hidden="1">
      <c r="A727" s="117"/>
      <c r="B727" s="138"/>
      <c r="C727" s="117"/>
      <c r="D727" s="117"/>
      <c r="E727" s="117"/>
      <c r="F727" s="117"/>
      <c r="G727" s="117"/>
      <c r="H727" s="117"/>
      <c r="I727"/>
      <c r="J727"/>
      <c r="K727" s="117"/>
      <c r="L727"/>
      <c r="M727" s="117"/>
      <c r="N727" s="117"/>
      <c r="O727" s="117"/>
      <c r="P727" s="117"/>
      <c r="Q727" s="139"/>
      <c r="R727" s="117"/>
      <c r="S727" s="117"/>
      <c r="T727" s="117"/>
      <c r="U727" s="117"/>
      <c r="V727" s="12">
        <f>+IFERROR(IF(VLOOKUP(Q727,COMISIONES!$C$2:$K$33,9,0)&gt;=VLOOKUP(TC!Q727,COMISIONES!$C$2:$I$33,7,0),1,0),0)</f>
        <v>0</v>
      </c>
      <c r="W727" s="262">
        <f>+IF(H727="Segunda",VLOOKUP(_xlfn.CONCAT(P727,G727,H727,V727),'PUNTOS 2021'!$E$23:$F$30,2,0),TC!L727)</f>
        <v>0</v>
      </c>
      <c r="X727" s="67" t="e">
        <f>+VLOOKUP(Q727,COMISIONES!$C$2:$AO$33,39,0)</f>
        <v>#N/A</v>
      </c>
      <c r="Y727" s="67" t="e">
        <f t="shared" si="11"/>
        <v>#N/A</v>
      </c>
      <c r="Z727" s="58"/>
      <c r="AA727" s="13" t="e">
        <f>+VLOOKUP(Q727,COMISIONES!$C$2:$C$33,1,0)</f>
        <v>#N/A</v>
      </c>
      <c r="AB727" s="13" t="s">
        <v>269</v>
      </c>
    </row>
    <row r="728" spans="1:28" hidden="1">
      <c r="A728" s="117"/>
      <c r="B728" s="138"/>
      <c r="C728" s="117"/>
      <c r="D728" s="117"/>
      <c r="E728" s="117"/>
      <c r="F728" s="117"/>
      <c r="G728" s="117"/>
      <c r="H728" s="117"/>
      <c r="I728"/>
      <c r="J728"/>
      <c r="K728" s="117"/>
      <c r="L728"/>
      <c r="M728" s="117"/>
      <c r="N728" s="117"/>
      <c r="O728" s="117"/>
      <c r="P728" s="117"/>
      <c r="Q728" s="139"/>
      <c r="R728" s="117"/>
      <c r="S728" s="117"/>
      <c r="T728" s="117"/>
      <c r="U728" s="117"/>
      <c r="V728" s="12">
        <f>+IFERROR(IF(VLOOKUP(Q728,COMISIONES!$C$2:$K$33,9,0)&gt;=VLOOKUP(TC!Q728,COMISIONES!$C$2:$I$33,7,0),1,0),0)</f>
        <v>0</v>
      </c>
      <c r="W728" s="262">
        <f>+IF(H728="Segunda",VLOOKUP(_xlfn.CONCAT(P728,G728,H728,V728),'PUNTOS 2021'!$E$23:$F$30,2,0),TC!L728)</f>
        <v>0</v>
      </c>
      <c r="X728" s="67" t="e">
        <f>+VLOOKUP(Q728,COMISIONES!$C$2:$AO$33,39,0)</f>
        <v>#N/A</v>
      </c>
      <c r="Y728" s="67" t="e">
        <f t="shared" si="11"/>
        <v>#N/A</v>
      </c>
      <c r="Z728" s="58"/>
      <c r="AA728" s="13" t="e">
        <f>+VLOOKUP(Q728,COMISIONES!$C$2:$C$33,1,0)</f>
        <v>#N/A</v>
      </c>
      <c r="AB728" s="13" t="s">
        <v>269</v>
      </c>
    </row>
    <row r="729" spans="1:28" hidden="1">
      <c r="A729" s="117"/>
      <c r="B729" s="138"/>
      <c r="C729" s="117"/>
      <c r="D729" s="117"/>
      <c r="E729" s="117"/>
      <c r="F729" s="117"/>
      <c r="G729" s="117"/>
      <c r="H729" s="117"/>
      <c r="I729"/>
      <c r="J729"/>
      <c r="K729" s="117"/>
      <c r="L729"/>
      <c r="M729" s="117"/>
      <c r="N729" s="117"/>
      <c r="O729" s="117"/>
      <c r="P729" s="117"/>
      <c r="Q729" s="139"/>
      <c r="R729" s="117"/>
      <c r="S729" s="117"/>
      <c r="T729" s="117"/>
      <c r="U729" s="117"/>
      <c r="V729" s="12">
        <f>+IFERROR(IF(VLOOKUP(Q729,COMISIONES!$C$2:$K$33,9,0)&gt;=VLOOKUP(TC!Q729,COMISIONES!$C$2:$I$33,7,0),1,0),0)</f>
        <v>0</v>
      </c>
      <c r="W729" s="262">
        <f>+IF(H729="Segunda",VLOOKUP(_xlfn.CONCAT(P729,G729,H729,V729),'PUNTOS 2021'!$E$23:$F$30,2,0),TC!L729)</f>
        <v>0</v>
      </c>
      <c r="X729" s="67" t="e">
        <f>+VLOOKUP(Q729,COMISIONES!$C$2:$AO$33,39,0)</f>
        <v>#N/A</v>
      </c>
      <c r="Y729" s="67" t="e">
        <f t="shared" si="11"/>
        <v>#N/A</v>
      </c>
      <c r="Z729" s="58"/>
      <c r="AA729" s="13" t="e">
        <f>+VLOOKUP(Q729,COMISIONES!$C$2:$C$33,1,0)</f>
        <v>#N/A</v>
      </c>
      <c r="AB729" s="13" t="s">
        <v>269</v>
      </c>
    </row>
    <row r="730" spans="1:28" hidden="1">
      <c r="A730" s="117"/>
      <c r="B730" s="138"/>
      <c r="C730" s="117"/>
      <c r="D730" s="117"/>
      <c r="E730" s="117"/>
      <c r="F730" s="117"/>
      <c r="G730" s="117"/>
      <c r="H730" s="117"/>
      <c r="I730"/>
      <c r="J730"/>
      <c r="K730" s="117"/>
      <c r="L730"/>
      <c r="M730" s="117"/>
      <c r="N730" s="117"/>
      <c r="O730" s="117"/>
      <c r="P730" s="117"/>
      <c r="Q730" s="139"/>
      <c r="R730" s="117"/>
      <c r="S730" s="117"/>
      <c r="T730" s="117"/>
      <c r="U730" s="117"/>
      <c r="V730" s="12">
        <f>+IFERROR(IF(VLOOKUP(Q730,COMISIONES!$C$2:$K$33,9,0)&gt;=VLOOKUP(TC!Q730,COMISIONES!$C$2:$I$33,7,0),1,0),0)</f>
        <v>0</v>
      </c>
      <c r="W730" s="262">
        <f>+IF(H730="Segunda",VLOOKUP(_xlfn.CONCAT(P730,G730,H730,V730),'PUNTOS 2021'!$E$23:$F$30,2,0),TC!L730)</f>
        <v>0</v>
      </c>
      <c r="X730" s="67" t="e">
        <f>+VLOOKUP(Q730,COMISIONES!$C$2:$AO$33,39,0)</f>
        <v>#N/A</v>
      </c>
      <c r="Y730" s="67" t="e">
        <f t="shared" si="11"/>
        <v>#N/A</v>
      </c>
      <c r="Z730" s="58"/>
      <c r="AA730" s="13" t="e">
        <f>+VLOOKUP(Q730,COMISIONES!$C$2:$C$33,1,0)</f>
        <v>#N/A</v>
      </c>
      <c r="AB730" s="13" t="s">
        <v>269</v>
      </c>
    </row>
    <row r="731" spans="1:28" hidden="1">
      <c r="A731" s="117"/>
      <c r="B731" s="138"/>
      <c r="C731" s="117"/>
      <c r="D731" s="117"/>
      <c r="E731" s="117"/>
      <c r="F731" s="117"/>
      <c r="G731" s="117"/>
      <c r="H731" s="117"/>
      <c r="I731"/>
      <c r="J731"/>
      <c r="K731" s="117"/>
      <c r="L731"/>
      <c r="M731" s="117"/>
      <c r="N731" s="117"/>
      <c r="O731" s="117"/>
      <c r="P731" s="117"/>
      <c r="Q731" s="139"/>
      <c r="R731" s="117"/>
      <c r="S731" s="117"/>
      <c r="T731" s="117"/>
      <c r="U731" s="117"/>
      <c r="V731" s="12">
        <f>+IFERROR(IF(VLOOKUP(Q731,COMISIONES!$C$2:$K$33,9,0)&gt;=VLOOKUP(TC!Q731,COMISIONES!$C$2:$I$33,7,0),1,0),0)</f>
        <v>0</v>
      </c>
      <c r="W731" s="262">
        <f>+IF(H731="Segunda",VLOOKUP(_xlfn.CONCAT(P731,G731,H731,V731),'PUNTOS 2021'!$E$23:$F$30,2,0),TC!L731)</f>
        <v>0</v>
      </c>
      <c r="X731" s="67" t="e">
        <f>+VLOOKUP(Q731,COMISIONES!$C$2:$AO$33,39,0)</f>
        <v>#N/A</v>
      </c>
      <c r="Y731" s="67" t="e">
        <f t="shared" si="11"/>
        <v>#N/A</v>
      </c>
      <c r="Z731" s="58"/>
      <c r="AA731" s="13" t="e">
        <f>+VLOOKUP(Q731,COMISIONES!$C$2:$C$33,1,0)</f>
        <v>#N/A</v>
      </c>
      <c r="AB731" s="13" t="s">
        <v>269</v>
      </c>
    </row>
    <row r="732" spans="1:28" hidden="1">
      <c r="A732" s="117"/>
      <c r="B732" s="138"/>
      <c r="C732" s="117"/>
      <c r="D732" s="117"/>
      <c r="E732" s="117"/>
      <c r="F732" s="117"/>
      <c r="G732" s="117"/>
      <c r="H732" s="117"/>
      <c r="I732"/>
      <c r="J732"/>
      <c r="K732" s="117"/>
      <c r="L732"/>
      <c r="M732" s="117"/>
      <c r="N732" s="117"/>
      <c r="O732" s="117"/>
      <c r="P732" s="117"/>
      <c r="Q732" s="139"/>
      <c r="R732" s="117"/>
      <c r="S732" s="117"/>
      <c r="T732" s="117"/>
      <c r="U732" s="117"/>
      <c r="V732" s="12">
        <f>+IFERROR(IF(VLOOKUP(Q732,COMISIONES!$C$2:$K$33,9,0)&gt;=VLOOKUP(TC!Q732,COMISIONES!$C$2:$I$33,7,0),1,0),0)</f>
        <v>0</v>
      </c>
      <c r="W732" s="262">
        <f>+IF(H732="Segunda",VLOOKUP(_xlfn.CONCAT(P732,G732,H732,V732),'PUNTOS 2021'!$E$23:$F$30,2,0),TC!L732)</f>
        <v>0</v>
      </c>
      <c r="X732" s="67" t="e">
        <f>+VLOOKUP(Q732,COMISIONES!$C$2:$AO$33,39,0)</f>
        <v>#N/A</v>
      </c>
      <c r="Y732" s="67" t="e">
        <f t="shared" si="11"/>
        <v>#N/A</v>
      </c>
      <c r="Z732" s="58"/>
      <c r="AA732" s="13" t="e">
        <f>+VLOOKUP(Q732,COMISIONES!$C$2:$C$33,1,0)</f>
        <v>#N/A</v>
      </c>
      <c r="AB732" s="13" t="s">
        <v>269</v>
      </c>
    </row>
    <row r="733" spans="1:28" hidden="1">
      <c r="A733" s="117"/>
      <c r="B733" s="138"/>
      <c r="C733" s="117"/>
      <c r="D733" s="117"/>
      <c r="E733" s="117"/>
      <c r="F733" s="117"/>
      <c r="G733" s="117"/>
      <c r="H733" s="117"/>
      <c r="I733"/>
      <c r="J733"/>
      <c r="K733" s="117"/>
      <c r="L733"/>
      <c r="M733" s="117"/>
      <c r="N733" s="117"/>
      <c r="O733" s="117"/>
      <c r="P733" s="117"/>
      <c r="Q733" s="139"/>
      <c r="R733" s="117"/>
      <c r="S733" s="117"/>
      <c r="T733" s="117"/>
      <c r="U733" s="117"/>
      <c r="V733" s="12">
        <f>+IFERROR(IF(VLOOKUP(Q733,COMISIONES!$C$2:$K$33,9,0)&gt;=VLOOKUP(TC!Q733,COMISIONES!$C$2:$I$33,7,0),1,0),0)</f>
        <v>0</v>
      </c>
      <c r="W733" s="262">
        <f>+IF(H733="Segunda",VLOOKUP(_xlfn.CONCAT(P733,G733,H733,V733),'PUNTOS 2021'!$E$23:$F$30,2,0),TC!L733)</f>
        <v>0</v>
      </c>
      <c r="X733" s="67" t="e">
        <f>+VLOOKUP(Q733,COMISIONES!$C$2:$AO$33,39,0)</f>
        <v>#N/A</v>
      </c>
      <c r="Y733" s="67" t="e">
        <f t="shared" si="11"/>
        <v>#N/A</v>
      </c>
      <c r="Z733" s="58"/>
      <c r="AA733" s="13" t="e">
        <f>+VLOOKUP(Q733,COMISIONES!$C$2:$C$33,1,0)</f>
        <v>#N/A</v>
      </c>
      <c r="AB733" s="13" t="s">
        <v>269</v>
      </c>
    </row>
    <row r="734" spans="1:28" hidden="1">
      <c r="A734" s="117"/>
      <c r="B734" s="138"/>
      <c r="C734" s="117"/>
      <c r="D734" s="117"/>
      <c r="E734" s="117"/>
      <c r="F734" s="117"/>
      <c r="G734" s="117"/>
      <c r="H734" s="117"/>
      <c r="I734"/>
      <c r="J734"/>
      <c r="K734" s="117"/>
      <c r="L734"/>
      <c r="M734" s="117"/>
      <c r="N734" s="117"/>
      <c r="O734" s="117"/>
      <c r="P734" s="117"/>
      <c r="Q734" s="139"/>
      <c r="R734" s="117"/>
      <c r="S734" s="117"/>
      <c r="T734" s="117"/>
      <c r="U734" s="117"/>
      <c r="V734" s="12">
        <f>+IFERROR(IF(VLOOKUP(Q734,COMISIONES!$C$2:$K$33,9,0)&gt;=VLOOKUP(TC!Q734,COMISIONES!$C$2:$I$33,7,0),1,0),0)</f>
        <v>0</v>
      </c>
      <c r="W734" s="262">
        <f>+IF(H734="Segunda",VLOOKUP(_xlfn.CONCAT(P734,G734,H734,V734),'PUNTOS 2021'!$E$23:$F$30,2,0),TC!L734)</f>
        <v>0</v>
      </c>
      <c r="X734" s="67" t="e">
        <f>+VLOOKUP(Q734,COMISIONES!$C$2:$AO$33,39,0)</f>
        <v>#N/A</v>
      </c>
      <c r="Y734" s="67" t="e">
        <f t="shared" si="11"/>
        <v>#N/A</v>
      </c>
      <c r="Z734" s="58"/>
      <c r="AA734" s="13" t="e">
        <f>+VLOOKUP(Q734,COMISIONES!$C$2:$C$33,1,0)</f>
        <v>#N/A</v>
      </c>
      <c r="AB734" s="13" t="s">
        <v>269</v>
      </c>
    </row>
    <row r="735" spans="1:28" hidden="1">
      <c r="A735" s="117"/>
      <c r="B735" s="138"/>
      <c r="C735" s="117"/>
      <c r="D735" s="117"/>
      <c r="E735" s="117"/>
      <c r="F735" s="117"/>
      <c r="G735" s="117"/>
      <c r="H735" s="117"/>
      <c r="I735"/>
      <c r="J735"/>
      <c r="K735" s="117"/>
      <c r="L735"/>
      <c r="M735" s="117"/>
      <c r="N735" s="117"/>
      <c r="O735" s="117"/>
      <c r="P735" s="117"/>
      <c r="Q735" s="139"/>
      <c r="R735" s="117"/>
      <c r="S735" s="117"/>
      <c r="T735" s="117"/>
      <c r="U735" s="117"/>
      <c r="V735" s="12">
        <f>+IFERROR(IF(VLOOKUP(Q735,COMISIONES!$C$2:$K$33,9,0)&gt;=VLOOKUP(TC!Q735,COMISIONES!$C$2:$I$33,7,0),1,0),0)</f>
        <v>0</v>
      </c>
      <c r="W735" s="262">
        <f>+IF(H735="Segunda",VLOOKUP(_xlfn.CONCAT(P735,G735,H735,V735),'PUNTOS 2021'!$E$23:$F$30,2,0),TC!L735)</f>
        <v>0</v>
      </c>
      <c r="X735" s="67" t="e">
        <f>+VLOOKUP(Q735,COMISIONES!$C$2:$AO$33,39,0)</f>
        <v>#N/A</v>
      </c>
      <c r="Y735" s="67" t="e">
        <f t="shared" si="11"/>
        <v>#N/A</v>
      </c>
      <c r="Z735" s="58"/>
      <c r="AA735" s="13" t="e">
        <f>+VLOOKUP(Q735,COMISIONES!$C$2:$C$33,1,0)</f>
        <v>#N/A</v>
      </c>
      <c r="AB735" s="13" t="s">
        <v>269</v>
      </c>
    </row>
    <row r="736" spans="1:28" hidden="1">
      <c r="A736" s="117"/>
      <c r="B736" s="138"/>
      <c r="C736" s="117"/>
      <c r="D736" s="117"/>
      <c r="E736" s="117"/>
      <c r="F736" s="117"/>
      <c r="G736" s="117"/>
      <c r="H736" s="117"/>
      <c r="I736"/>
      <c r="J736"/>
      <c r="K736" s="117"/>
      <c r="L736"/>
      <c r="M736" s="117"/>
      <c r="N736" s="117"/>
      <c r="O736" s="117"/>
      <c r="P736" s="117"/>
      <c r="Q736" s="139"/>
      <c r="R736" s="117"/>
      <c r="S736" s="117"/>
      <c r="T736" s="117"/>
      <c r="U736" s="117"/>
      <c r="V736" s="12">
        <f>+IFERROR(IF(VLOOKUP(Q736,COMISIONES!$C$2:$K$33,9,0)&gt;=VLOOKUP(TC!Q736,COMISIONES!$C$2:$I$33,7,0),1,0),0)</f>
        <v>0</v>
      </c>
      <c r="W736" s="262">
        <f>+IF(H736="Segunda",VLOOKUP(_xlfn.CONCAT(P736,G736,H736,V736),'PUNTOS 2021'!$E$23:$F$30,2,0),TC!L736)</f>
        <v>0</v>
      </c>
      <c r="X736" s="67" t="e">
        <f>+VLOOKUP(Q736,COMISIONES!$C$2:$AO$33,39,0)</f>
        <v>#N/A</v>
      </c>
      <c r="Y736" s="67" t="e">
        <f t="shared" si="11"/>
        <v>#N/A</v>
      </c>
      <c r="Z736" s="58"/>
      <c r="AA736" s="13" t="e">
        <f>+VLOOKUP(Q736,COMISIONES!$C$2:$C$33,1,0)</f>
        <v>#N/A</v>
      </c>
      <c r="AB736" s="13" t="s">
        <v>269</v>
      </c>
    </row>
    <row r="737" spans="1:28" hidden="1">
      <c r="A737" s="117"/>
      <c r="B737" s="138"/>
      <c r="C737" s="117"/>
      <c r="D737" s="117"/>
      <c r="E737" s="117"/>
      <c r="F737" s="117"/>
      <c r="G737" s="117"/>
      <c r="H737" s="117"/>
      <c r="I737"/>
      <c r="J737"/>
      <c r="K737" s="117"/>
      <c r="L737"/>
      <c r="M737" s="117"/>
      <c r="N737" s="117"/>
      <c r="O737" s="117"/>
      <c r="P737" s="117"/>
      <c r="Q737" s="139"/>
      <c r="R737" s="117"/>
      <c r="S737" s="117"/>
      <c r="T737" s="117"/>
      <c r="U737" s="117"/>
      <c r="V737" s="12">
        <f>+IFERROR(IF(VLOOKUP(Q737,COMISIONES!$C$2:$K$33,9,0)&gt;=VLOOKUP(TC!Q737,COMISIONES!$C$2:$I$33,7,0),1,0),0)</f>
        <v>0</v>
      </c>
      <c r="W737" s="262">
        <f>+IF(H737="Segunda",VLOOKUP(_xlfn.CONCAT(P737,G737,H737,V737),'PUNTOS 2021'!$E$23:$F$30,2,0),TC!L737)</f>
        <v>0</v>
      </c>
      <c r="X737" s="67" t="e">
        <f>+VLOOKUP(Q737,COMISIONES!$C$2:$AO$33,39,0)</f>
        <v>#N/A</v>
      </c>
      <c r="Y737" s="67" t="e">
        <f t="shared" si="11"/>
        <v>#N/A</v>
      </c>
      <c r="Z737" s="58"/>
      <c r="AA737" s="13" t="e">
        <f>+VLOOKUP(Q737,COMISIONES!$C$2:$C$33,1,0)</f>
        <v>#N/A</v>
      </c>
      <c r="AB737" s="13" t="s">
        <v>269</v>
      </c>
    </row>
    <row r="738" spans="1:28" hidden="1">
      <c r="A738" s="117"/>
      <c r="B738" s="138"/>
      <c r="C738" s="117"/>
      <c r="D738" s="117"/>
      <c r="E738" s="117"/>
      <c r="F738" s="117"/>
      <c r="G738" s="117"/>
      <c r="H738" s="117"/>
      <c r="I738"/>
      <c r="J738"/>
      <c r="K738" s="117"/>
      <c r="L738"/>
      <c r="M738" s="117"/>
      <c r="N738" s="117"/>
      <c r="O738" s="117"/>
      <c r="P738" s="117"/>
      <c r="Q738" s="139"/>
      <c r="R738" s="117"/>
      <c r="S738" s="117"/>
      <c r="T738" s="117"/>
      <c r="U738" s="117"/>
      <c r="V738" s="12">
        <f>+IFERROR(IF(VLOOKUP(Q738,COMISIONES!$C$2:$K$33,9,0)&gt;=VLOOKUP(TC!Q738,COMISIONES!$C$2:$I$33,7,0),1,0),0)</f>
        <v>0</v>
      </c>
      <c r="W738" s="262">
        <f>+IF(H738="Segunda",VLOOKUP(_xlfn.CONCAT(P738,G738,H738,V738),'PUNTOS 2021'!$E$23:$F$30,2,0),TC!L738)</f>
        <v>0</v>
      </c>
      <c r="X738" s="67" t="e">
        <f>+VLOOKUP(Q738,COMISIONES!$C$2:$AO$33,39,0)</f>
        <v>#N/A</v>
      </c>
      <c r="Y738" s="67" t="e">
        <f t="shared" si="11"/>
        <v>#N/A</v>
      </c>
      <c r="Z738" s="58"/>
      <c r="AA738" s="13" t="e">
        <f>+VLOOKUP(Q738,COMISIONES!$C$2:$C$33,1,0)</f>
        <v>#N/A</v>
      </c>
      <c r="AB738" s="13" t="s">
        <v>269</v>
      </c>
    </row>
    <row r="739" spans="1:28" hidden="1">
      <c r="A739" s="117"/>
      <c r="B739" s="138"/>
      <c r="C739" s="117"/>
      <c r="D739" s="117"/>
      <c r="E739" s="117"/>
      <c r="F739" s="117"/>
      <c r="G739" s="117"/>
      <c r="H739" s="117"/>
      <c r="I739"/>
      <c r="J739"/>
      <c r="K739" s="117"/>
      <c r="L739"/>
      <c r="M739" s="117"/>
      <c r="N739" s="117"/>
      <c r="O739" s="117"/>
      <c r="P739" s="117"/>
      <c r="Q739" s="139"/>
      <c r="R739" s="117"/>
      <c r="S739" s="117"/>
      <c r="T739" s="117"/>
      <c r="U739" s="117"/>
      <c r="V739" s="12">
        <f>+IFERROR(IF(VLOOKUP(Q739,COMISIONES!$C$2:$K$33,9,0)&gt;=VLOOKUP(TC!Q739,COMISIONES!$C$2:$I$33,7,0),1,0),0)</f>
        <v>0</v>
      </c>
      <c r="W739" s="262">
        <f>+IF(H739="Segunda",VLOOKUP(_xlfn.CONCAT(P739,G739,H739,V739),'PUNTOS 2021'!$E$23:$F$30,2,0),TC!L739)</f>
        <v>0</v>
      </c>
      <c r="X739" s="67" t="e">
        <f>+VLOOKUP(Q739,COMISIONES!$C$2:$AO$33,39,0)</f>
        <v>#N/A</v>
      </c>
      <c r="Y739" s="67" t="e">
        <f t="shared" si="11"/>
        <v>#N/A</v>
      </c>
      <c r="Z739" s="58"/>
      <c r="AA739" s="13" t="e">
        <f>+VLOOKUP(Q739,COMISIONES!$C$2:$C$33,1,0)</f>
        <v>#N/A</v>
      </c>
      <c r="AB739" s="13" t="s">
        <v>269</v>
      </c>
    </row>
    <row r="740" spans="1:28" hidden="1">
      <c r="A740" s="117"/>
      <c r="B740" s="138"/>
      <c r="C740" s="117"/>
      <c r="D740" s="117"/>
      <c r="E740" s="117"/>
      <c r="F740" s="117"/>
      <c r="G740" s="117"/>
      <c r="H740" s="117"/>
      <c r="I740"/>
      <c r="J740"/>
      <c r="K740" s="117"/>
      <c r="L740"/>
      <c r="M740" s="117"/>
      <c r="N740" s="117"/>
      <c r="O740" s="117"/>
      <c r="P740" s="117"/>
      <c r="Q740" s="139"/>
      <c r="R740" s="117"/>
      <c r="S740" s="117"/>
      <c r="T740" s="117"/>
      <c r="U740" s="117"/>
      <c r="V740" s="12">
        <f>+IFERROR(IF(VLOOKUP(Q740,COMISIONES!$C$2:$K$33,9,0)&gt;=VLOOKUP(TC!Q740,COMISIONES!$C$2:$I$33,7,0),1,0),0)</f>
        <v>0</v>
      </c>
      <c r="W740" s="262">
        <f>+IF(H740="Segunda",VLOOKUP(_xlfn.CONCAT(P740,G740,H740,V740),'PUNTOS 2021'!$E$23:$F$30,2,0),TC!L740)</f>
        <v>0</v>
      </c>
      <c r="X740" s="67" t="e">
        <f>+VLOOKUP(Q740,COMISIONES!$C$2:$AO$33,39,0)</f>
        <v>#N/A</v>
      </c>
      <c r="Y740" s="67" t="e">
        <f t="shared" si="11"/>
        <v>#N/A</v>
      </c>
      <c r="Z740" s="58"/>
      <c r="AA740" s="13" t="e">
        <f>+VLOOKUP(Q740,COMISIONES!$C$2:$C$33,1,0)</f>
        <v>#N/A</v>
      </c>
      <c r="AB740" s="13" t="s">
        <v>269</v>
      </c>
    </row>
    <row r="741" spans="1:28" hidden="1">
      <c r="A741" s="117"/>
      <c r="B741" s="138"/>
      <c r="C741" s="117"/>
      <c r="D741" s="117"/>
      <c r="E741" s="117"/>
      <c r="F741" s="117"/>
      <c r="G741" s="117"/>
      <c r="H741" s="117"/>
      <c r="I741"/>
      <c r="J741"/>
      <c r="K741" s="117"/>
      <c r="L741"/>
      <c r="M741" s="117"/>
      <c r="N741" s="117"/>
      <c r="O741" s="117"/>
      <c r="P741" s="117"/>
      <c r="Q741" s="139"/>
      <c r="R741" s="117"/>
      <c r="S741" s="117"/>
      <c r="T741" s="117"/>
      <c r="U741" s="117"/>
      <c r="V741" s="12">
        <f>+IFERROR(IF(VLOOKUP(Q741,COMISIONES!$C$2:$K$33,9,0)&gt;=VLOOKUP(TC!Q741,COMISIONES!$C$2:$I$33,7,0),1,0),0)</f>
        <v>0</v>
      </c>
      <c r="W741" s="262">
        <f>+IF(H741="Segunda",VLOOKUP(_xlfn.CONCAT(P741,G741,H741,V741),'PUNTOS 2021'!$E$23:$F$30,2,0),TC!L741)</f>
        <v>0</v>
      </c>
      <c r="X741" s="67" t="e">
        <f>+VLOOKUP(Q741,COMISIONES!$C$2:$AO$33,39,0)</f>
        <v>#N/A</v>
      </c>
      <c r="Y741" s="67" t="e">
        <f t="shared" si="11"/>
        <v>#N/A</v>
      </c>
      <c r="Z741" s="58"/>
      <c r="AA741" s="13" t="e">
        <f>+VLOOKUP(Q741,COMISIONES!$C$2:$C$33,1,0)</f>
        <v>#N/A</v>
      </c>
      <c r="AB741" s="13" t="s">
        <v>269</v>
      </c>
    </row>
    <row r="742" spans="1:28" hidden="1">
      <c r="A742" s="117"/>
      <c r="B742" s="138"/>
      <c r="C742" s="117"/>
      <c r="D742" s="117"/>
      <c r="E742" s="117"/>
      <c r="F742" s="117"/>
      <c r="G742" s="117"/>
      <c r="H742" s="117"/>
      <c r="I742"/>
      <c r="J742"/>
      <c r="K742" s="117"/>
      <c r="L742"/>
      <c r="M742" s="117"/>
      <c r="N742" s="117"/>
      <c r="O742" s="117"/>
      <c r="P742" s="117"/>
      <c r="Q742" s="139"/>
      <c r="R742" s="117"/>
      <c r="S742" s="117"/>
      <c r="T742" s="117"/>
      <c r="U742" s="117"/>
      <c r="V742" s="12">
        <f>+IFERROR(IF(VLOOKUP(Q742,COMISIONES!$C$2:$K$33,9,0)&gt;=VLOOKUP(TC!Q742,COMISIONES!$C$2:$I$33,7,0),1,0),0)</f>
        <v>0</v>
      </c>
      <c r="W742" s="262">
        <f>+IF(H742="Segunda",VLOOKUP(_xlfn.CONCAT(P742,G742,H742,V742),'PUNTOS 2021'!$E$23:$F$30,2,0),TC!L742)</f>
        <v>0</v>
      </c>
      <c r="X742" s="67" t="e">
        <f>+VLOOKUP(Q742,COMISIONES!$C$2:$AO$33,39,0)</f>
        <v>#N/A</v>
      </c>
      <c r="Y742" s="67" t="e">
        <f t="shared" si="11"/>
        <v>#N/A</v>
      </c>
      <c r="Z742" s="58"/>
      <c r="AA742" s="13" t="e">
        <f>+VLOOKUP(Q742,COMISIONES!$C$2:$C$33,1,0)</f>
        <v>#N/A</v>
      </c>
      <c r="AB742" s="13" t="s">
        <v>269</v>
      </c>
    </row>
    <row r="743" spans="1:28" hidden="1">
      <c r="A743" s="117"/>
      <c r="B743" s="138"/>
      <c r="C743" s="117"/>
      <c r="D743" s="117"/>
      <c r="E743" s="117"/>
      <c r="F743" s="117"/>
      <c r="G743" s="117"/>
      <c r="H743" s="117"/>
      <c r="I743"/>
      <c r="J743"/>
      <c r="K743" s="117"/>
      <c r="L743"/>
      <c r="M743" s="117"/>
      <c r="N743" s="117"/>
      <c r="O743" s="113"/>
      <c r="P743" s="117"/>
      <c r="Q743" s="139"/>
      <c r="R743" s="117"/>
      <c r="S743" s="117"/>
      <c r="T743" s="117"/>
      <c r="U743" s="117"/>
      <c r="V743" s="12">
        <f>+IFERROR(IF(VLOOKUP(Q743,COMISIONES!$C$2:$K$33,9,0)&gt;=VLOOKUP(TC!Q743,COMISIONES!$C$2:$I$33,7,0),1,0),0)</f>
        <v>0</v>
      </c>
      <c r="W743" s="262">
        <f>+IF(H743="Segunda",VLOOKUP(_xlfn.CONCAT(P743,G743,H743,V743),'PUNTOS 2021'!$E$23:$F$30,2,0),TC!L743)</f>
        <v>0</v>
      </c>
      <c r="X743" s="67" t="e">
        <f>+VLOOKUP(Q743,COMISIONES!$C$2:$AO$33,39,0)</f>
        <v>#N/A</v>
      </c>
      <c r="Y743" s="67" t="e">
        <f t="shared" si="11"/>
        <v>#N/A</v>
      </c>
      <c r="Z743" s="58"/>
      <c r="AA743" s="13" t="e">
        <f>+VLOOKUP(Q743,COMISIONES!$C$2:$C$33,1,0)</f>
        <v>#N/A</v>
      </c>
      <c r="AB743" s="13" t="s">
        <v>269</v>
      </c>
    </row>
    <row r="744" spans="1:28" hidden="1">
      <c r="A744" s="117"/>
      <c r="B744" s="138"/>
      <c r="C744" s="117"/>
      <c r="D744" s="117"/>
      <c r="E744" s="117"/>
      <c r="F744" s="117"/>
      <c r="G744" s="117"/>
      <c r="H744" s="117"/>
      <c r="I744"/>
      <c r="J744"/>
      <c r="K744" s="117"/>
      <c r="L744"/>
      <c r="M744" s="117"/>
      <c r="N744" s="117"/>
      <c r="O744" s="117"/>
      <c r="P744" s="117"/>
      <c r="Q744" s="139"/>
      <c r="R744" s="117"/>
      <c r="S744" s="117"/>
      <c r="T744" s="117"/>
      <c r="U744" s="117"/>
      <c r="V744" s="12">
        <f>+IFERROR(IF(VLOOKUP(Q744,COMISIONES!$C$2:$K$33,9,0)&gt;=VLOOKUP(TC!Q744,COMISIONES!$C$2:$I$33,7,0),1,0),0)</f>
        <v>0</v>
      </c>
      <c r="W744" s="262">
        <f>+IF(H744="Segunda",VLOOKUP(_xlfn.CONCAT(P744,G744,H744,V744),'PUNTOS 2021'!$E$23:$F$30,2,0),TC!L744)</f>
        <v>0</v>
      </c>
      <c r="X744" s="67" t="e">
        <f>+VLOOKUP(Q744,COMISIONES!$C$2:$AO$33,39,0)</f>
        <v>#N/A</v>
      </c>
      <c r="Y744" s="67" t="e">
        <f t="shared" si="11"/>
        <v>#N/A</v>
      </c>
      <c r="Z744" s="58"/>
      <c r="AA744" s="13" t="e">
        <f>+VLOOKUP(Q744,COMISIONES!$C$2:$C$33,1,0)</f>
        <v>#N/A</v>
      </c>
      <c r="AB744" s="13" t="s">
        <v>269</v>
      </c>
    </row>
    <row r="745" spans="1:28" hidden="1">
      <c r="A745" s="117"/>
      <c r="B745" s="138"/>
      <c r="C745" s="117"/>
      <c r="D745" s="117"/>
      <c r="E745" s="117"/>
      <c r="F745" s="117"/>
      <c r="G745" s="117"/>
      <c r="H745" s="117"/>
      <c r="I745"/>
      <c r="J745"/>
      <c r="K745" s="117"/>
      <c r="L745"/>
      <c r="M745" s="117"/>
      <c r="N745" s="117"/>
      <c r="O745" s="117"/>
      <c r="P745" s="117"/>
      <c r="Q745" s="139"/>
      <c r="R745" s="117"/>
      <c r="S745" s="117"/>
      <c r="T745" s="117"/>
      <c r="U745" s="117"/>
      <c r="V745" s="12">
        <f>+IFERROR(IF(VLOOKUP(Q745,COMISIONES!$C$2:$K$33,9,0)&gt;=VLOOKUP(TC!Q745,COMISIONES!$C$2:$I$33,7,0),1,0),0)</f>
        <v>0</v>
      </c>
      <c r="W745" s="262">
        <f>+IF(H745="Segunda",VLOOKUP(_xlfn.CONCAT(P745,G745,H745,V745),'PUNTOS 2021'!$E$23:$F$30,2,0),TC!L745)</f>
        <v>0</v>
      </c>
      <c r="X745" s="67" t="e">
        <f>+VLOOKUP(Q745,COMISIONES!$C$2:$AO$33,39,0)</f>
        <v>#N/A</v>
      </c>
      <c r="Y745" s="67" t="e">
        <f t="shared" si="11"/>
        <v>#N/A</v>
      </c>
      <c r="Z745" s="58"/>
      <c r="AA745" s="13" t="e">
        <f>+VLOOKUP(Q745,COMISIONES!$C$2:$C$33,1,0)</f>
        <v>#N/A</v>
      </c>
      <c r="AB745" s="13" t="s">
        <v>269</v>
      </c>
    </row>
    <row r="746" spans="1:28" hidden="1">
      <c r="A746" s="117"/>
      <c r="B746" s="138"/>
      <c r="C746" s="117"/>
      <c r="D746" s="117"/>
      <c r="E746" s="117"/>
      <c r="F746" s="117"/>
      <c r="G746" s="117"/>
      <c r="H746" s="117"/>
      <c r="I746"/>
      <c r="J746"/>
      <c r="K746" s="117"/>
      <c r="L746"/>
      <c r="M746" s="117"/>
      <c r="N746" s="117"/>
      <c r="O746" s="117"/>
      <c r="P746" s="117"/>
      <c r="Q746" s="139"/>
      <c r="R746" s="117"/>
      <c r="S746" s="117"/>
      <c r="T746" s="117"/>
      <c r="U746" s="117"/>
      <c r="V746" s="12">
        <f>+IFERROR(IF(VLOOKUP(Q746,COMISIONES!$C$2:$K$33,9,0)&gt;=VLOOKUP(TC!Q746,COMISIONES!$C$2:$I$33,7,0),1,0),0)</f>
        <v>0</v>
      </c>
      <c r="W746" s="262">
        <f>+IF(H746="Segunda",VLOOKUP(_xlfn.CONCAT(P746,G746,H746,V746),'PUNTOS 2021'!$E$23:$F$30,2,0),TC!L746)</f>
        <v>0</v>
      </c>
      <c r="X746" s="67" t="e">
        <f>+VLOOKUP(Q746,COMISIONES!$C$2:$AO$33,39,0)</f>
        <v>#N/A</v>
      </c>
      <c r="Y746" s="67" t="e">
        <f t="shared" si="11"/>
        <v>#N/A</v>
      </c>
      <c r="Z746" s="58"/>
      <c r="AA746" s="13" t="e">
        <f>+VLOOKUP(Q746,COMISIONES!$C$2:$C$33,1,0)</f>
        <v>#N/A</v>
      </c>
      <c r="AB746" s="13" t="s">
        <v>269</v>
      </c>
    </row>
    <row r="747" spans="1:28" hidden="1">
      <c r="A747" s="117"/>
      <c r="B747" s="138"/>
      <c r="C747" s="117"/>
      <c r="D747" s="117"/>
      <c r="E747" s="117"/>
      <c r="F747" s="117"/>
      <c r="G747" s="117"/>
      <c r="H747" s="117"/>
      <c r="I747"/>
      <c r="J747"/>
      <c r="K747" s="117"/>
      <c r="L747"/>
      <c r="M747" s="117"/>
      <c r="N747" s="117"/>
      <c r="O747" s="117"/>
      <c r="P747" s="117"/>
      <c r="Q747" s="139"/>
      <c r="R747" s="117"/>
      <c r="S747" s="117"/>
      <c r="T747" s="117"/>
      <c r="U747" s="117"/>
      <c r="V747" s="12">
        <f>+IFERROR(IF(VLOOKUP(Q747,COMISIONES!$C$2:$K$33,9,0)&gt;=VLOOKUP(TC!Q747,COMISIONES!$C$2:$I$33,7,0),1,0),0)</f>
        <v>0</v>
      </c>
      <c r="W747" s="262">
        <f>+IF(H747="Segunda",VLOOKUP(_xlfn.CONCAT(P747,G747,H747,V747),'PUNTOS 2021'!$E$23:$F$30,2,0),TC!L747)</f>
        <v>0</v>
      </c>
      <c r="X747" s="67" t="e">
        <f>+VLOOKUP(Q747,COMISIONES!$C$2:$AO$33,39,0)</f>
        <v>#N/A</v>
      </c>
      <c r="Y747" s="67" t="e">
        <f t="shared" ref="Y747:Y810" si="12">X747*W747</f>
        <v>#N/A</v>
      </c>
      <c r="Z747" s="58"/>
      <c r="AA747" s="13" t="e">
        <f>+VLOOKUP(Q747,COMISIONES!$C$2:$C$33,1,0)</f>
        <v>#N/A</v>
      </c>
      <c r="AB747" s="13" t="s">
        <v>269</v>
      </c>
    </row>
    <row r="748" spans="1:28" hidden="1">
      <c r="A748" s="117"/>
      <c r="B748" s="138"/>
      <c r="C748" s="117"/>
      <c r="D748" s="117"/>
      <c r="E748" s="117"/>
      <c r="F748" s="117"/>
      <c r="G748" s="117"/>
      <c r="H748" s="117"/>
      <c r="I748"/>
      <c r="J748"/>
      <c r="K748" s="117"/>
      <c r="L748"/>
      <c r="M748" s="117"/>
      <c r="N748" s="117"/>
      <c r="O748" s="117"/>
      <c r="P748" s="117"/>
      <c r="Q748" s="139"/>
      <c r="R748" s="117"/>
      <c r="S748" s="117"/>
      <c r="T748" s="117"/>
      <c r="U748" s="117"/>
      <c r="V748" s="12">
        <f>+IFERROR(IF(VLOOKUP(Q748,COMISIONES!$C$2:$K$33,9,0)&gt;=VLOOKUP(TC!Q748,COMISIONES!$C$2:$I$33,7,0),1,0),0)</f>
        <v>0</v>
      </c>
      <c r="W748" s="262">
        <f>+IF(H748="Segunda",VLOOKUP(_xlfn.CONCAT(P748,G748,H748,V748),'PUNTOS 2021'!$E$23:$F$30,2,0),TC!L748)</f>
        <v>0</v>
      </c>
      <c r="X748" s="67" t="e">
        <f>+VLOOKUP(Q748,COMISIONES!$C$2:$AO$33,39,0)</f>
        <v>#N/A</v>
      </c>
      <c r="Y748" s="67" t="e">
        <f t="shared" si="12"/>
        <v>#N/A</v>
      </c>
      <c r="Z748" s="58"/>
      <c r="AA748" s="13" t="e">
        <f>+VLOOKUP(Q748,COMISIONES!$C$2:$C$33,1,0)</f>
        <v>#N/A</v>
      </c>
      <c r="AB748" s="13" t="s">
        <v>269</v>
      </c>
    </row>
    <row r="749" spans="1:28" hidden="1">
      <c r="A749" s="117"/>
      <c r="B749" s="138"/>
      <c r="C749" s="117"/>
      <c r="D749" s="117"/>
      <c r="E749" s="117"/>
      <c r="F749" s="117"/>
      <c r="G749" s="117"/>
      <c r="H749" s="117"/>
      <c r="I749"/>
      <c r="J749"/>
      <c r="K749" s="117"/>
      <c r="L749"/>
      <c r="M749" s="117"/>
      <c r="N749" s="117"/>
      <c r="O749" s="117"/>
      <c r="P749" s="117"/>
      <c r="Q749" s="139"/>
      <c r="R749" s="117"/>
      <c r="S749" s="117"/>
      <c r="T749" s="117"/>
      <c r="U749" s="117"/>
      <c r="V749" s="12">
        <f>+IFERROR(IF(VLOOKUP(Q749,COMISIONES!$C$2:$K$33,9,0)&gt;=VLOOKUP(TC!Q749,COMISIONES!$C$2:$I$33,7,0),1,0),0)</f>
        <v>0</v>
      </c>
      <c r="W749" s="262">
        <f>+IF(H749="Segunda",VLOOKUP(_xlfn.CONCAT(P749,G749,H749,V749),'PUNTOS 2021'!$E$23:$F$30,2,0),TC!L749)</f>
        <v>0</v>
      </c>
      <c r="X749" s="67" t="e">
        <f>+VLOOKUP(Q749,COMISIONES!$C$2:$AO$33,39,0)</f>
        <v>#N/A</v>
      </c>
      <c r="Y749" s="67" t="e">
        <f t="shared" si="12"/>
        <v>#N/A</v>
      </c>
      <c r="Z749" s="58"/>
      <c r="AA749" s="13" t="e">
        <f>+VLOOKUP(Q749,COMISIONES!$C$2:$C$33,1,0)</f>
        <v>#N/A</v>
      </c>
      <c r="AB749" s="13" t="s">
        <v>269</v>
      </c>
    </row>
    <row r="750" spans="1:28" hidden="1">
      <c r="A750" s="117"/>
      <c r="B750" s="138"/>
      <c r="C750" s="117"/>
      <c r="D750" s="117"/>
      <c r="E750" s="117"/>
      <c r="F750" s="117"/>
      <c r="G750" s="117"/>
      <c r="H750" s="117"/>
      <c r="I750"/>
      <c r="J750"/>
      <c r="K750" s="117"/>
      <c r="L750"/>
      <c r="M750" s="117"/>
      <c r="N750" s="117"/>
      <c r="O750" s="117"/>
      <c r="P750" s="117"/>
      <c r="Q750" s="139"/>
      <c r="R750" s="117"/>
      <c r="S750" s="117"/>
      <c r="T750" s="117"/>
      <c r="U750" s="117"/>
      <c r="V750" s="12">
        <f>+IFERROR(IF(VLOOKUP(Q750,COMISIONES!$C$2:$K$33,9,0)&gt;=VLOOKUP(TC!Q750,COMISIONES!$C$2:$I$33,7,0),1,0),0)</f>
        <v>0</v>
      </c>
      <c r="W750" s="262">
        <f>+IF(H750="Segunda",VLOOKUP(_xlfn.CONCAT(P750,G750,H750,V750),'PUNTOS 2021'!$E$23:$F$30,2,0),TC!L750)</f>
        <v>0</v>
      </c>
      <c r="X750" s="67" t="e">
        <f>+VLOOKUP(Q750,COMISIONES!$C$2:$AO$33,39,0)</f>
        <v>#N/A</v>
      </c>
      <c r="Y750" s="67" t="e">
        <f t="shared" si="12"/>
        <v>#N/A</v>
      </c>
      <c r="Z750" s="58"/>
      <c r="AA750" s="13" t="e">
        <f>+VLOOKUP(Q750,COMISIONES!$C$2:$C$33,1,0)</f>
        <v>#N/A</v>
      </c>
      <c r="AB750" s="13" t="s">
        <v>269</v>
      </c>
    </row>
    <row r="751" spans="1:28" hidden="1">
      <c r="A751" s="117"/>
      <c r="B751" s="138"/>
      <c r="C751" s="117"/>
      <c r="D751" s="117"/>
      <c r="E751" s="117"/>
      <c r="F751" s="117"/>
      <c r="G751" s="117"/>
      <c r="H751" s="117"/>
      <c r="I751"/>
      <c r="J751"/>
      <c r="K751" s="117"/>
      <c r="L751"/>
      <c r="M751" s="117"/>
      <c r="N751" s="117"/>
      <c r="O751" s="117"/>
      <c r="P751" s="117"/>
      <c r="Q751" s="139"/>
      <c r="R751" s="117"/>
      <c r="S751" s="117"/>
      <c r="T751" s="117"/>
      <c r="U751" s="117"/>
      <c r="V751" s="12">
        <f>+IFERROR(IF(VLOOKUP(Q751,COMISIONES!$C$2:$K$33,9,0)&gt;=VLOOKUP(TC!Q751,COMISIONES!$C$2:$I$33,7,0),1,0),0)</f>
        <v>0</v>
      </c>
      <c r="W751" s="262">
        <f>+IF(H751="Segunda",VLOOKUP(_xlfn.CONCAT(P751,G751,H751,V751),'PUNTOS 2021'!$E$23:$F$30,2,0),TC!L751)</f>
        <v>0</v>
      </c>
      <c r="X751" s="67" t="e">
        <f>+VLOOKUP(Q751,COMISIONES!$C$2:$AO$33,39,0)</f>
        <v>#N/A</v>
      </c>
      <c r="Y751" s="67" t="e">
        <f t="shared" si="12"/>
        <v>#N/A</v>
      </c>
      <c r="Z751" s="58"/>
      <c r="AA751" s="13" t="e">
        <f>+VLOOKUP(Q751,COMISIONES!$C$2:$C$33,1,0)</f>
        <v>#N/A</v>
      </c>
      <c r="AB751" s="13" t="s">
        <v>269</v>
      </c>
    </row>
    <row r="752" spans="1:28" hidden="1">
      <c r="A752" s="117"/>
      <c r="B752" s="138"/>
      <c r="C752" s="117"/>
      <c r="D752" s="117"/>
      <c r="E752" s="117"/>
      <c r="F752" s="117"/>
      <c r="G752" s="117"/>
      <c r="H752" s="117"/>
      <c r="I752"/>
      <c r="J752"/>
      <c r="K752" s="117"/>
      <c r="L752"/>
      <c r="M752" s="117"/>
      <c r="N752" s="117"/>
      <c r="O752" s="117"/>
      <c r="P752" s="117"/>
      <c r="Q752" s="139"/>
      <c r="R752" s="117"/>
      <c r="S752" s="117"/>
      <c r="T752" s="117"/>
      <c r="U752" s="117"/>
      <c r="V752" s="12">
        <f>+IFERROR(IF(VLOOKUP(Q752,COMISIONES!$C$2:$K$33,9,0)&gt;=VLOOKUP(TC!Q752,COMISIONES!$C$2:$I$33,7,0),1,0),0)</f>
        <v>0</v>
      </c>
      <c r="W752" s="262">
        <f>+IF(H752="Segunda",VLOOKUP(_xlfn.CONCAT(P752,G752,H752,V752),'PUNTOS 2021'!$E$23:$F$30,2,0),TC!L752)</f>
        <v>0</v>
      </c>
      <c r="X752" s="67" t="e">
        <f>+VLOOKUP(Q752,COMISIONES!$C$2:$AO$33,39,0)</f>
        <v>#N/A</v>
      </c>
      <c r="Y752" s="67" t="e">
        <f t="shared" si="12"/>
        <v>#N/A</v>
      </c>
      <c r="Z752" s="58"/>
      <c r="AA752" s="13" t="e">
        <f>+VLOOKUP(Q752,COMISIONES!$C$2:$C$33,1,0)</f>
        <v>#N/A</v>
      </c>
      <c r="AB752" s="13" t="s">
        <v>269</v>
      </c>
    </row>
    <row r="753" spans="1:28" hidden="1">
      <c r="A753" s="117"/>
      <c r="B753" s="138"/>
      <c r="C753" s="117"/>
      <c r="D753" s="117"/>
      <c r="E753" s="117"/>
      <c r="F753" s="117"/>
      <c r="G753" s="117"/>
      <c r="H753" s="117"/>
      <c r="I753"/>
      <c r="J753"/>
      <c r="K753" s="117"/>
      <c r="L753"/>
      <c r="M753" s="117"/>
      <c r="N753" s="117"/>
      <c r="O753" s="117"/>
      <c r="P753" s="117"/>
      <c r="Q753" s="139"/>
      <c r="R753" s="117"/>
      <c r="S753" s="117"/>
      <c r="T753" s="117"/>
      <c r="U753" s="117"/>
      <c r="V753" s="12">
        <f>+IFERROR(IF(VLOOKUP(Q753,COMISIONES!$C$2:$K$33,9,0)&gt;=VLOOKUP(TC!Q753,COMISIONES!$C$2:$I$33,7,0),1,0),0)</f>
        <v>0</v>
      </c>
      <c r="W753" s="262">
        <f>+IF(H753="Segunda",VLOOKUP(_xlfn.CONCAT(P753,G753,H753,V753),'PUNTOS 2021'!$E$23:$F$30,2,0),TC!L753)</f>
        <v>0</v>
      </c>
      <c r="X753" s="67" t="e">
        <f>+VLOOKUP(Q753,COMISIONES!$C$2:$AO$33,39,0)</f>
        <v>#N/A</v>
      </c>
      <c r="Y753" s="67" t="e">
        <f t="shared" si="12"/>
        <v>#N/A</v>
      </c>
      <c r="Z753" s="58"/>
      <c r="AA753" s="13" t="e">
        <f>+VLOOKUP(Q753,COMISIONES!$C$2:$C$33,1,0)</f>
        <v>#N/A</v>
      </c>
      <c r="AB753" s="13" t="s">
        <v>269</v>
      </c>
    </row>
    <row r="754" spans="1:28" hidden="1">
      <c r="A754" s="117"/>
      <c r="B754" s="138"/>
      <c r="C754" s="117"/>
      <c r="D754" s="117"/>
      <c r="E754" s="117"/>
      <c r="F754" s="117"/>
      <c r="G754" s="117"/>
      <c r="H754" s="117"/>
      <c r="I754"/>
      <c r="J754"/>
      <c r="K754" s="117"/>
      <c r="L754"/>
      <c r="M754" s="117"/>
      <c r="N754" s="117"/>
      <c r="O754" s="113"/>
      <c r="P754" s="117"/>
      <c r="Q754" s="139"/>
      <c r="R754" s="117"/>
      <c r="S754" s="117"/>
      <c r="T754" s="117"/>
      <c r="U754" s="117"/>
      <c r="V754" s="12">
        <f>+IFERROR(IF(VLOOKUP(Q754,COMISIONES!$C$2:$K$33,9,0)&gt;=VLOOKUP(TC!Q754,COMISIONES!$C$2:$I$33,7,0),1,0),0)</f>
        <v>0</v>
      </c>
      <c r="W754" s="262">
        <f>+IF(H754="Segunda",VLOOKUP(_xlfn.CONCAT(P754,G754,H754,V754),'PUNTOS 2021'!$E$23:$F$30,2,0),TC!L754)</f>
        <v>0</v>
      </c>
      <c r="X754" s="67" t="e">
        <f>+VLOOKUP(Q754,COMISIONES!$C$2:$AO$33,39,0)</f>
        <v>#N/A</v>
      </c>
      <c r="Y754" s="67" t="e">
        <f t="shared" si="12"/>
        <v>#N/A</v>
      </c>
      <c r="Z754" s="58"/>
      <c r="AA754" s="13" t="e">
        <f>+VLOOKUP(Q754,COMISIONES!$C$2:$C$33,1,0)</f>
        <v>#N/A</v>
      </c>
      <c r="AB754" s="13" t="s">
        <v>269</v>
      </c>
    </row>
    <row r="755" spans="1:28" hidden="1">
      <c r="A755" s="117"/>
      <c r="B755" s="138"/>
      <c r="C755" s="117"/>
      <c r="D755" s="117"/>
      <c r="E755" s="117"/>
      <c r="F755" s="117"/>
      <c r="G755" s="117"/>
      <c r="H755" s="117"/>
      <c r="I755"/>
      <c r="J755"/>
      <c r="K755" s="117"/>
      <c r="L755"/>
      <c r="M755" s="117"/>
      <c r="N755" s="117"/>
      <c r="O755" s="117"/>
      <c r="P755" s="117"/>
      <c r="Q755" s="139"/>
      <c r="R755" s="117"/>
      <c r="S755" s="117"/>
      <c r="T755" s="117"/>
      <c r="U755" s="117"/>
      <c r="V755" s="12">
        <f>+IFERROR(IF(VLOOKUP(Q755,COMISIONES!$C$2:$K$33,9,0)&gt;=VLOOKUP(TC!Q755,COMISIONES!$C$2:$I$33,7,0),1,0),0)</f>
        <v>0</v>
      </c>
      <c r="W755" s="262">
        <f>+IF(H755="Segunda",VLOOKUP(_xlfn.CONCAT(P755,G755,H755,V755),'PUNTOS 2021'!$E$23:$F$30,2,0),TC!L755)</f>
        <v>0</v>
      </c>
      <c r="X755" s="67" t="e">
        <f>+VLOOKUP(Q755,COMISIONES!$C$2:$AO$33,39,0)</f>
        <v>#N/A</v>
      </c>
      <c r="Y755" s="67" t="e">
        <f t="shared" si="12"/>
        <v>#N/A</v>
      </c>
      <c r="Z755" s="58"/>
      <c r="AA755" s="13" t="e">
        <f>+VLOOKUP(Q755,COMISIONES!$C$2:$C$33,1,0)</f>
        <v>#N/A</v>
      </c>
      <c r="AB755" s="13" t="s">
        <v>269</v>
      </c>
    </row>
    <row r="756" spans="1:28" hidden="1">
      <c r="A756" s="117"/>
      <c r="B756" s="138"/>
      <c r="C756" s="117"/>
      <c r="D756" s="117"/>
      <c r="E756" s="117"/>
      <c r="F756" s="117"/>
      <c r="G756" s="117"/>
      <c r="H756" s="117"/>
      <c r="I756"/>
      <c r="J756"/>
      <c r="K756" s="117"/>
      <c r="L756"/>
      <c r="M756" s="117"/>
      <c r="N756" s="117"/>
      <c r="O756" s="117"/>
      <c r="P756" s="117"/>
      <c r="Q756" s="139"/>
      <c r="R756" s="117"/>
      <c r="S756" s="117"/>
      <c r="T756" s="117"/>
      <c r="U756" s="117"/>
      <c r="V756" s="12">
        <f>+IFERROR(IF(VLOOKUP(Q756,COMISIONES!$C$2:$K$33,9,0)&gt;=VLOOKUP(TC!Q756,COMISIONES!$C$2:$I$33,7,0),1,0),0)</f>
        <v>0</v>
      </c>
      <c r="W756" s="262">
        <f>+IF(H756="Segunda",VLOOKUP(_xlfn.CONCAT(P756,G756,H756,V756),'PUNTOS 2021'!$E$23:$F$30,2,0),TC!L756)</f>
        <v>0</v>
      </c>
      <c r="X756" s="67" t="e">
        <f>+VLOOKUP(Q756,COMISIONES!$C$2:$AO$33,39,0)</f>
        <v>#N/A</v>
      </c>
      <c r="Y756" s="67" t="e">
        <f t="shared" si="12"/>
        <v>#N/A</v>
      </c>
      <c r="Z756" s="58"/>
      <c r="AA756" s="13" t="e">
        <f>+VLOOKUP(Q756,COMISIONES!$C$2:$C$33,1,0)</f>
        <v>#N/A</v>
      </c>
      <c r="AB756" s="13" t="s">
        <v>269</v>
      </c>
    </row>
    <row r="757" spans="1:28" hidden="1">
      <c r="A757" s="117"/>
      <c r="B757" s="138"/>
      <c r="C757" s="117"/>
      <c r="D757" s="117"/>
      <c r="E757" s="117"/>
      <c r="F757" s="117"/>
      <c r="G757" s="117"/>
      <c r="H757" s="117"/>
      <c r="I757"/>
      <c r="J757"/>
      <c r="K757" s="117"/>
      <c r="L757"/>
      <c r="M757" s="117"/>
      <c r="N757" s="117"/>
      <c r="O757" s="117"/>
      <c r="P757" s="117"/>
      <c r="Q757" s="139"/>
      <c r="R757" s="117"/>
      <c r="S757" s="117"/>
      <c r="T757" s="117"/>
      <c r="U757" s="117"/>
      <c r="V757" s="12">
        <f>+IFERROR(IF(VLOOKUP(Q757,COMISIONES!$C$2:$K$33,9,0)&gt;=VLOOKUP(TC!Q757,COMISIONES!$C$2:$I$33,7,0),1,0),0)</f>
        <v>0</v>
      </c>
      <c r="W757" s="262">
        <f>+IF(H757="Segunda",VLOOKUP(_xlfn.CONCAT(P757,G757,H757,V757),'PUNTOS 2021'!$E$23:$F$30,2,0),TC!L757)</f>
        <v>0</v>
      </c>
      <c r="X757" s="67" t="e">
        <f>+VLOOKUP(Q757,COMISIONES!$C$2:$AO$33,39,0)</f>
        <v>#N/A</v>
      </c>
      <c r="Y757" s="67" t="e">
        <f t="shared" si="12"/>
        <v>#N/A</v>
      </c>
      <c r="Z757" s="58"/>
      <c r="AA757" s="13" t="e">
        <f>+VLOOKUP(Q757,COMISIONES!$C$2:$C$33,1,0)</f>
        <v>#N/A</v>
      </c>
      <c r="AB757" s="13" t="s">
        <v>269</v>
      </c>
    </row>
    <row r="758" spans="1:28" hidden="1">
      <c r="A758" s="117"/>
      <c r="B758" s="138"/>
      <c r="C758" s="117"/>
      <c r="D758" s="117"/>
      <c r="E758" s="117"/>
      <c r="F758" s="117"/>
      <c r="G758" s="117"/>
      <c r="H758" s="117"/>
      <c r="I758"/>
      <c r="J758"/>
      <c r="K758" s="117"/>
      <c r="L758"/>
      <c r="M758" s="117"/>
      <c r="N758" s="117"/>
      <c r="O758" s="117"/>
      <c r="P758" s="117"/>
      <c r="Q758" s="139"/>
      <c r="R758" s="117"/>
      <c r="S758" s="117"/>
      <c r="T758" s="117"/>
      <c r="U758" s="117"/>
      <c r="V758" s="12">
        <f>+IFERROR(IF(VLOOKUP(Q758,COMISIONES!$C$2:$K$33,9,0)&gt;=VLOOKUP(TC!Q758,COMISIONES!$C$2:$I$33,7,0),1,0),0)</f>
        <v>0</v>
      </c>
      <c r="W758" s="262">
        <f>+IF(H758="Segunda",VLOOKUP(_xlfn.CONCAT(P758,G758,H758,V758),'PUNTOS 2021'!$E$23:$F$30,2,0),TC!L758)</f>
        <v>0</v>
      </c>
      <c r="X758" s="67" t="e">
        <f>+VLOOKUP(Q758,COMISIONES!$C$2:$AO$33,39,0)</f>
        <v>#N/A</v>
      </c>
      <c r="Y758" s="67" t="e">
        <f t="shared" si="12"/>
        <v>#N/A</v>
      </c>
      <c r="Z758" s="58"/>
      <c r="AA758" s="13" t="e">
        <f>+VLOOKUP(Q758,COMISIONES!$C$2:$C$33,1,0)</f>
        <v>#N/A</v>
      </c>
      <c r="AB758" s="13" t="s">
        <v>269</v>
      </c>
    </row>
    <row r="759" spans="1:28" hidden="1">
      <c r="A759" s="117"/>
      <c r="B759" s="138"/>
      <c r="C759" s="117"/>
      <c r="D759" s="117"/>
      <c r="E759" s="117"/>
      <c r="F759" s="117"/>
      <c r="G759" s="117"/>
      <c r="H759" s="117"/>
      <c r="I759"/>
      <c r="J759"/>
      <c r="K759" s="117"/>
      <c r="L759"/>
      <c r="M759" s="117"/>
      <c r="N759" s="117"/>
      <c r="O759" s="117"/>
      <c r="P759" s="117"/>
      <c r="Q759" s="139"/>
      <c r="R759" s="117"/>
      <c r="S759" s="117"/>
      <c r="T759" s="117"/>
      <c r="U759" s="117"/>
      <c r="V759" s="12">
        <f>+IFERROR(IF(VLOOKUP(Q759,COMISIONES!$C$2:$K$33,9,0)&gt;=VLOOKUP(TC!Q759,COMISIONES!$C$2:$I$33,7,0),1,0),0)</f>
        <v>0</v>
      </c>
      <c r="W759" s="262">
        <f>+IF(H759="Segunda",VLOOKUP(_xlfn.CONCAT(P759,G759,H759,V759),'PUNTOS 2021'!$E$23:$F$30,2,0),TC!L759)</f>
        <v>0</v>
      </c>
      <c r="X759" s="67" t="e">
        <f>+VLOOKUP(Q759,COMISIONES!$C$2:$AO$33,39,0)</f>
        <v>#N/A</v>
      </c>
      <c r="Y759" s="67" t="e">
        <f t="shared" si="12"/>
        <v>#N/A</v>
      </c>
      <c r="Z759" s="58"/>
      <c r="AA759" s="13" t="e">
        <f>+VLOOKUP(Q759,COMISIONES!$C$2:$C$33,1,0)</f>
        <v>#N/A</v>
      </c>
      <c r="AB759" s="13" t="s">
        <v>269</v>
      </c>
    </row>
    <row r="760" spans="1:28" hidden="1">
      <c r="A760" s="117"/>
      <c r="B760" s="138"/>
      <c r="C760" s="117"/>
      <c r="D760" s="117"/>
      <c r="E760" s="117"/>
      <c r="F760" s="117"/>
      <c r="G760" s="117"/>
      <c r="H760" s="117"/>
      <c r="I760"/>
      <c r="J760"/>
      <c r="K760" s="117"/>
      <c r="L760"/>
      <c r="M760" s="117"/>
      <c r="N760" s="117"/>
      <c r="O760" s="117"/>
      <c r="P760" s="117"/>
      <c r="Q760" s="139"/>
      <c r="R760" s="117"/>
      <c r="S760" s="117"/>
      <c r="T760" s="117"/>
      <c r="U760" s="117"/>
      <c r="V760" s="12">
        <f>+IFERROR(IF(VLOOKUP(Q760,COMISIONES!$C$2:$K$33,9,0)&gt;=VLOOKUP(TC!Q760,COMISIONES!$C$2:$I$33,7,0),1,0),0)</f>
        <v>0</v>
      </c>
      <c r="W760" s="262">
        <f>+IF(H760="Segunda",VLOOKUP(_xlfn.CONCAT(P760,G760,H760,V760),'PUNTOS 2021'!$E$23:$F$30,2,0),TC!L760)</f>
        <v>0</v>
      </c>
      <c r="X760" s="67" t="e">
        <f>+VLOOKUP(Q760,COMISIONES!$C$2:$AO$33,39,0)</f>
        <v>#N/A</v>
      </c>
      <c r="Y760" s="67" t="e">
        <f t="shared" si="12"/>
        <v>#N/A</v>
      </c>
      <c r="Z760" s="58"/>
      <c r="AA760" s="13" t="e">
        <f>+VLOOKUP(Q760,COMISIONES!$C$2:$C$33,1,0)</f>
        <v>#N/A</v>
      </c>
      <c r="AB760" s="13" t="s">
        <v>269</v>
      </c>
    </row>
    <row r="761" spans="1:28" hidden="1">
      <c r="A761" s="117"/>
      <c r="B761" s="138"/>
      <c r="C761" s="243"/>
      <c r="D761" s="244"/>
      <c r="E761" s="245"/>
      <c r="F761" s="117"/>
      <c r="G761" s="117"/>
      <c r="H761" s="117"/>
      <c r="I761"/>
      <c r="J761"/>
      <c r="K761" s="117"/>
      <c r="L761"/>
      <c r="M761" s="117"/>
      <c r="N761" s="117"/>
      <c r="O761" s="117"/>
      <c r="P761" s="117"/>
      <c r="Q761" s="139"/>
      <c r="R761" s="117"/>
      <c r="S761" s="117"/>
      <c r="T761" s="117"/>
      <c r="U761" s="117"/>
      <c r="V761" s="12">
        <f>+IFERROR(IF(VLOOKUP(Q761,COMISIONES!$C$2:$K$33,9,0)&gt;=VLOOKUP(TC!Q761,COMISIONES!$C$2:$I$33,7,0),1,0),0)</f>
        <v>0</v>
      </c>
      <c r="W761" s="262">
        <f>+IF(H761="Segunda",VLOOKUP(_xlfn.CONCAT(P761,G761,H761,V761),'PUNTOS 2021'!$E$23:$F$30,2,0),TC!L761)</f>
        <v>0</v>
      </c>
      <c r="X761" s="67" t="e">
        <f>+VLOOKUP(Q761,COMISIONES!$C$2:$AO$33,39,0)</f>
        <v>#N/A</v>
      </c>
      <c r="Y761" s="67" t="e">
        <f t="shared" si="12"/>
        <v>#N/A</v>
      </c>
      <c r="Z761" s="58"/>
      <c r="AA761" s="13" t="e">
        <f>+VLOOKUP(Q761,COMISIONES!$C$2:$C$33,1,0)</f>
        <v>#N/A</v>
      </c>
      <c r="AB761" s="13" t="s">
        <v>269</v>
      </c>
    </row>
    <row r="762" spans="1:28" ht="18" hidden="1">
      <c r="A762" s="117"/>
      <c r="B762" s="138"/>
      <c r="C762" s="247"/>
      <c r="D762" s="246"/>
      <c r="E762" s="250"/>
      <c r="F762" s="117"/>
      <c r="G762" s="117"/>
      <c r="H762" s="117"/>
      <c r="I762"/>
      <c r="J762"/>
      <c r="K762" s="117"/>
      <c r="L762"/>
      <c r="M762" s="117"/>
      <c r="N762" s="117"/>
      <c r="O762" s="113"/>
      <c r="P762" s="117"/>
      <c r="Q762" s="139"/>
      <c r="R762" s="117"/>
      <c r="S762" s="117"/>
      <c r="T762" s="117"/>
      <c r="U762" s="117"/>
      <c r="V762" s="12">
        <f>+IFERROR(IF(VLOOKUP(Q762,COMISIONES!$C$2:$K$33,9,0)&gt;=VLOOKUP(TC!Q762,COMISIONES!$C$2:$I$33,7,0),1,0),0)</f>
        <v>0</v>
      </c>
      <c r="W762" s="262">
        <f>+IF(H762="Segunda",VLOOKUP(_xlfn.CONCAT(P762,G762,H762,V762),'PUNTOS 2021'!$E$23:$F$30,2,0),TC!L762)</f>
        <v>0</v>
      </c>
      <c r="X762" s="67" t="e">
        <f>+VLOOKUP(Q762,COMISIONES!$C$2:$AO$33,39,0)</f>
        <v>#N/A</v>
      </c>
      <c r="Y762" s="67" t="e">
        <f t="shared" si="12"/>
        <v>#N/A</v>
      </c>
      <c r="Z762" s="58"/>
      <c r="AA762" s="13" t="e">
        <f>+VLOOKUP(Q762,COMISIONES!$C$2:$C$33,1,0)</f>
        <v>#N/A</v>
      </c>
      <c r="AB762" s="13" t="s">
        <v>269</v>
      </c>
    </row>
    <row r="763" spans="1:28" hidden="1">
      <c r="A763" s="117"/>
      <c r="B763" s="138"/>
      <c r="C763" s="248"/>
      <c r="D763" s="246"/>
      <c r="E763" s="250"/>
      <c r="F763" s="117"/>
      <c r="G763" s="117"/>
      <c r="H763" s="117"/>
      <c r="I763"/>
      <c r="J763"/>
      <c r="K763" s="117"/>
      <c r="L763"/>
      <c r="M763" s="117"/>
      <c r="N763" s="117"/>
      <c r="O763" s="113"/>
      <c r="P763" s="117"/>
      <c r="Q763" s="139"/>
      <c r="R763" s="117"/>
      <c r="S763" s="117"/>
      <c r="T763" s="117"/>
      <c r="U763" s="117"/>
      <c r="V763" s="12">
        <f>+IFERROR(IF(VLOOKUP(Q763,COMISIONES!$C$2:$K$33,9,0)&gt;=VLOOKUP(TC!Q763,COMISIONES!$C$2:$I$33,7,0),1,0),0)</f>
        <v>0</v>
      </c>
      <c r="W763" s="262">
        <f>+IF(H763="Segunda",VLOOKUP(_xlfn.CONCAT(P763,G763,H763,V763),'PUNTOS 2021'!$E$23:$F$30,2,0),TC!L763)</f>
        <v>0</v>
      </c>
      <c r="X763" s="67" t="e">
        <f>+VLOOKUP(Q763,COMISIONES!$C$2:$AO$33,39,0)</f>
        <v>#N/A</v>
      </c>
      <c r="Y763" s="67" t="e">
        <f t="shared" si="12"/>
        <v>#N/A</v>
      </c>
      <c r="Z763" s="58"/>
      <c r="AA763" s="13" t="e">
        <f>+VLOOKUP(Q763,COMISIONES!$C$2:$C$33,1,0)</f>
        <v>#N/A</v>
      </c>
      <c r="AB763" s="13" t="s">
        <v>269</v>
      </c>
    </row>
    <row r="764" spans="1:28" hidden="1">
      <c r="A764" s="117"/>
      <c r="B764" s="138"/>
      <c r="C764" s="249"/>
      <c r="D764" s="246"/>
      <c r="E764" s="250"/>
      <c r="F764" s="117"/>
      <c r="G764" s="117"/>
      <c r="H764" s="117"/>
      <c r="I764"/>
      <c r="J764"/>
      <c r="K764" s="117"/>
      <c r="L764"/>
      <c r="M764" s="117"/>
      <c r="N764" s="117"/>
      <c r="O764" s="113"/>
      <c r="P764" s="117"/>
      <c r="Q764" s="139"/>
      <c r="R764" s="117"/>
      <c r="S764" s="117"/>
      <c r="T764" s="117"/>
      <c r="U764" s="117"/>
      <c r="V764" s="12">
        <f>+IFERROR(IF(VLOOKUP(Q764,COMISIONES!$C$2:$K$33,9,0)&gt;=VLOOKUP(TC!Q764,COMISIONES!$C$2:$I$33,7,0),1,0),0)</f>
        <v>0</v>
      </c>
      <c r="W764" s="262">
        <f>+IF(H764="Segunda",VLOOKUP(_xlfn.CONCAT(P764,G764,H764,V764),'PUNTOS 2021'!$E$23:$F$30,2,0),TC!L764)</f>
        <v>0</v>
      </c>
      <c r="X764" s="67" t="e">
        <f>+VLOOKUP(Q764,COMISIONES!$C$2:$AO$33,39,0)</f>
        <v>#N/A</v>
      </c>
      <c r="Y764" s="67" t="e">
        <f t="shared" si="12"/>
        <v>#N/A</v>
      </c>
      <c r="Z764" s="58"/>
      <c r="AA764" s="13" t="e">
        <f>+VLOOKUP(Q764,COMISIONES!$C$2:$C$33,1,0)</f>
        <v>#N/A</v>
      </c>
      <c r="AB764" s="13" t="s">
        <v>269</v>
      </c>
    </row>
    <row r="765" spans="1:28" hidden="1">
      <c r="A765" s="117"/>
      <c r="B765" s="138"/>
      <c r="C765" s="251"/>
      <c r="D765" s="252"/>
      <c r="E765" s="92"/>
      <c r="F765" s="117"/>
      <c r="G765" s="117"/>
      <c r="H765" s="117"/>
      <c r="I765"/>
      <c r="J765"/>
      <c r="K765" s="117"/>
      <c r="L765"/>
      <c r="M765" s="117"/>
      <c r="N765" s="117"/>
      <c r="O765" s="117"/>
      <c r="P765" s="117"/>
      <c r="Q765" s="139"/>
      <c r="R765" s="117"/>
      <c r="S765" s="117"/>
      <c r="T765" s="117"/>
      <c r="U765" s="117"/>
      <c r="V765" s="12">
        <f>+IFERROR(IF(VLOOKUP(Q765,COMISIONES!$C$2:$K$33,9,0)&gt;=VLOOKUP(TC!Q765,COMISIONES!$C$2:$I$33,7,0),1,0),0)</f>
        <v>0</v>
      </c>
      <c r="W765" s="262">
        <f>+IF(H765="Segunda",VLOOKUP(_xlfn.CONCAT(P765,G765,H765,V765),'PUNTOS 2021'!$E$23:$F$30,2,0),TC!L765)</f>
        <v>0</v>
      </c>
      <c r="X765" s="67" t="e">
        <f>+VLOOKUP(Q765,COMISIONES!$C$2:$AO$33,39,0)</f>
        <v>#N/A</v>
      </c>
      <c r="Y765" s="67" t="e">
        <f t="shared" si="12"/>
        <v>#N/A</v>
      </c>
      <c r="Z765" s="58"/>
      <c r="AA765" s="13" t="e">
        <f>+VLOOKUP(Q765,COMISIONES!$C$2:$C$33,1,0)</f>
        <v>#N/A</v>
      </c>
      <c r="AB765" s="13" t="s">
        <v>269</v>
      </c>
    </row>
    <row r="766" spans="1:28" hidden="1">
      <c r="A766" s="117"/>
      <c r="B766" s="138"/>
      <c r="C766" s="117"/>
      <c r="D766" s="117"/>
      <c r="E766" s="117"/>
      <c r="F766" s="117"/>
      <c r="G766" s="117"/>
      <c r="H766" s="117"/>
      <c r="I766"/>
      <c r="J766"/>
      <c r="K766" s="117"/>
      <c r="L766"/>
      <c r="M766" s="117"/>
      <c r="N766" s="117"/>
      <c r="O766" s="117"/>
      <c r="P766" s="117"/>
      <c r="Q766"/>
      <c r="R766" s="117"/>
      <c r="S766" s="117"/>
      <c r="T766" s="117"/>
      <c r="U766" s="117"/>
      <c r="V766" s="12"/>
      <c r="W766" s="12"/>
      <c r="X766" s="67" t="e">
        <f>+VLOOKUP(Q766,COMISIONES!$C$2:$AO$33,39,0)</f>
        <v>#N/A</v>
      </c>
      <c r="Y766" s="67" t="e">
        <f t="shared" si="12"/>
        <v>#N/A</v>
      </c>
      <c r="Z766" s="58"/>
      <c r="AA766" s="13" t="e">
        <f>+VLOOKUP(Q766,COMISIONES!$C$2:$C$33,1,0)</f>
        <v>#N/A</v>
      </c>
      <c r="AB766" s="13" t="s">
        <v>269</v>
      </c>
    </row>
    <row r="767" spans="1:28" hidden="1">
      <c r="A767" s="117"/>
      <c r="B767" s="138"/>
      <c r="C767" s="117"/>
      <c r="D767" s="117"/>
      <c r="E767" s="117"/>
      <c r="F767" s="117"/>
      <c r="G767" s="117"/>
      <c r="H767" s="117"/>
      <c r="I767"/>
      <c r="J767"/>
      <c r="K767" s="117"/>
      <c r="L767"/>
      <c r="M767" s="117"/>
      <c r="N767" s="117"/>
      <c r="O767" s="117"/>
      <c r="P767" s="117"/>
      <c r="Q767"/>
      <c r="R767" s="117"/>
      <c r="S767" s="117"/>
      <c r="T767" s="117"/>
      <c r="U767" s="117"/>
      <c r="V767" s="12"/>
      <c r="W767" s="12"/>
      <c r="X767" s="67" t="e">
        <f>+VLOOKUP(Q767,COMISIONES!$C$2:$AO$33,39,0)</f>
        <v>#N/A</v>
      </c>
      <c r="Y767" s="67" t="e">
        <f t="shared" si="12"/>
        <v>#N/A</v>
      </c>
      <c r="Z767" s="58"/>
      <c r="AA767" s="13" t="e">
        <f>+VLOOKUP(Q767,COMISIONES!$C$2:$C$33,1,0)</f>
        <v>#N/A</v>
      </c>
      <c r="AB767" s="13" t="s">
        <v>269</v>
      </c>
    </row>
    <row r="768" spans="1:28" hidden="1">
      <c r="A768" s="117"/>
      <c r="B768" s="138"/>
      <c r="C768" s="117"/>
      <c r="D768" s="117"/>
      <c r="E768" s="117"/>
      <c r="F768" s="117"/>
      <c r="G768" s="117"/>
      <c r="H768" s="117"/>
      <c r="I768"/>
      <c r="J768"/>
      <c r="K768" s="117"/>
      <c r="L768"/>
      <c r="M768" s="117"/>
      <c r="N768" s="117"/>
      <c r="O768" s="117"/>
      <c r="P768" s="117"/>
      <c r="Q768"/>
      <c r="R768" s="117"/>
      <c r="S768" s="117"/>
      <c r="T768" s="117"/>
      <c r="U768" s="117"/>
      <c r="V768" s="12"/>
      <c r="W768" s="12"/>
      <c r="X768" s="67" t="e">
        <f>+VLOOKUP(Q768,COMISIONES!$C$2:$AO$33,39,0)</f>
        <v>#N/A</v>
      </c>
      <c r="Y768" s="67" t="e">
        <f t="shared" si="12"/>
        <v>#N/A</v>
      </c>
      <c r="Z768" s="58"/>
      <c r="AA768" s="13" t="e">
        <f>+VLOOKUP(Q768,COMISIONES!$C$2:$C$33,1,0)</f>
        <v>#N/A</v>
      </c>
      <c r="AB768" s="13" t="s">
        <v>269</v>
      </c>
    </row>
    <row r="769" spans="1:28" hidden="1">
      <c r="A769" s="117"/>
      <c r="B769" s="138"/>
      <c r="C769" s="117"/>
      <c r="D769" s="117"/>
      <c r="E769" s="117"/>
      <c r="F769" s="117"/>
      <c r="G769" s="117"/>
      <c r="H769" s="117"/>
      <c r="I769"/>
      <c r="J769"/>
      <c r="K769" s="117"/>
      <c r="L769"/>
      <c r="M769" s="117"/>
      <c r="N769" s="117"/>
      <c r="O769" s="117"/>
      <c r="P769" s="117"/>
      <c r="Q769"/>
      <c r="R769" s="117"/>
      <c r="S769" s="117"/>
      <c r="T769" s="117"/>
      <c r="U769" s="117"/>
      <c r="V769" s="12"/>
      <c r="W769" s="12"/>
      <c r="X769" s="67" t="e">
        <f>+VLOOKUP(Q769,COMISIONES!$C$2:$AO$33,39,0)</f>
        <v>#N/A</v>
      </c>
      <c r="Y769" s="67" t="e">
        <f t="shared" si="12"/>
        <v>#N/A</v>
      </c>
      <c r="Z769" s="58"/>
      <c r="AA769" s="13" t="e">
        <f>+VLOOKUP(Q769,COMISIONES!$C$2:$C$33,1,0)</f>
        <v>#N/A</v>
      </c>
      <c r="AB769" s="13" t="s">
        <v>269</v>
      </c>
    </row>
    <row r="770" spans="1:28" hidden="1">
      <c r="A770" s="117"/>
      <c r="B770" s="138"/>
      <c r="C770" s="117"/>
      <c r="D770" s="117"/>
      <c r="E770" s="117"/>
      <c r="F770" s="117"/>
      <c r="G770" s="117"/>
      <c r="H770" s="117"/>
      <c r="I770"/>
      <c r="J770"/>
      <c r="K770" s="117"/>
      <c r="L770"/>
      <c r="M770" s="117"/>
      <c r="N770" s="117"/>
      <c r="O770" s="117"/>
      <c r="P770" s="117"/>
      <c r="Q770"/>
      <c r="R770" s="117"/>
      <c r="S770" s="117"/>
      <c r="T770" s="117"/>
      <c r="U770" s="117"/>
      <c r="V770" s="12"/>
      <c r="W770" s="12"/>
      <c r="X770" s="67" t="e">
        <f>+VLOOKUP(Q770,COMISIONES!$C$2:$AO$33,39,0)</f>
        <v>#N/A</v>
      </c>
      <c r="Y770" s="67" t="e">
        <f t="shared" si="12"/>
        <v>#N/A</v>
      </c>
      <c r="Z770" s="58"/>
      <c r="AA770" s="13" t="e">
        <f>+VLOOKUP(Q770,COMISIONES!$C$2:$C$33,1,0)</f>
        <v>#N/A</v>
      </c>
      <c r="AB770" s="13" t="s">
        <v>269</v>
      </c>
    </row>
    <row r="771" spans="1:28" hidden="1">
      <c r="A771" s="117"/>
      <c r="B771" s="138"/>
      <c r="C771" s="117"/>
      <c r="D771" s="117"/>
      <c r="E771" s="117"/>
      <c r="F771" s="117"/>
      <c r="G771" s="117"/>
      <c r="H771" s="117"/>
      <c r="I771"/>
      <c r="J771"/>
      <c r="K771" s="117"/>
      <c r="L771"/>
      <c r="M771" s="117"/>
      <c r="N771" s="117"/>
      <c r="O771" s="117"/>
      <c r="P771" s="117"/>
      <c r="Q771"/>
      <c r="R771" s="117"/>
      <c r="S771" s="117"/>
      <c r="T771" s="117"/>
      <c r="U771" s="117"/>
      <c r="V771" s="12"/>
      <c r="W771" s="12"/>
      <c r="X771" s="67" t="e">
        <f>+VLOOKUP(Q771,COMISIONES!$C$2:$AO$33,39,0)</f>
        <v>#N/A</v>
      </c>
      <c r="Y771" s="67" t="e">
        <f t="shared" si="12"/>
        <v>#N/A</v>
      </c>
      <c r="Z771" s="58"/>
      <c r="AA771" s="13" t="e">
        <f>+VLOOKUP(Q771,COMISIONES!$C$2:$C$33,1,0)</f>
        <v>#N/A</v>
      </c>
      <c r="AB771" s="13" t="s">
        <v>269</v>
      </c>
    </row>
    <row r="772" spans="1:28" hidden="1">
      <c r="A772" s="117"/>
      <c r="B772" s="138"/>
      <c r="C772" s="117"/>
      <c r="D772" s="117"/>
      <c r="E772" s="117"/>
      <c r="F772" s="117"/>
      <c r="G772" s="117"/>
      <c r="H772" s="117"/>
      <c r="I772"/>
      <c r="J772"/>
      <c r="K772" s="117"/>
      <c r="L772"/>
      <c r="M772" s="117"/>
      <c r="N772" s="117"/>
      <c r="O772" s="117"/>
      <c r="P772" s="117"/>
      <c r="Q772"/>
      <c r="R772" s="117"/>
      <c r="S772" s="117"/>
      <c r="T772" s="117"/>
      <c r="U772" s="117"/>
      <c r="V772" s="12"/>
      <c r="W772" s="12"/>
      <c r="X772" s="67" t="e">
        <f>+VLOOKUP(Q772,COMISIONES!$C$2:$AO$33,39,0)</f>
        <v>#N/A</v>
      </c>
      <c r="Y772" s="67" t="e">
        <f t="shared" si="12"/>
        <v>#N/A</v>
      </c>
      <c r="Z772" s="58"/>
      <c r="AA772" s="13" t="e">
        <f>+VLOOKUP(Q772,COMISIONES!$C$2:$C$33,1,0)</f>
        <v>#N/A</v>
      </c>
      <c r="AB772" s="13" t="s">
        <v>269</v>
      </c>
    </row>
    <row r="773" spans="1:28" hidden="1">
      <c r="A773" s="117"/>
      <c r="B773" s="138"/>
      <c r="C773" s="117"/>
      <c r="D773" s="117"/>
      <c r="E773" s="117"/>
      <c r="F773" s="117"/>
      <c r="G773" s="117"/>
      <c r="H773" s="117"/>
      <c r="I773"/>
      <c r="J773"/>
      <c r="K773" s="117"/>
      <c r="L773"/>
      <c r="M773" s="117"/>
      <c r="N773" s="117"/>
      <c r="O773" s="117"/>
      <c r="P773" s="117"/>
      <c r="Q773"/>
      <c r="R773" s="117"/>
      <c r="S773" s="117"/>
      <c r="T773" s="117"/>
      <c r="U773" s="117"/>
      <c r="V773" s="12"/>
      <c r="W773" s="12"/>
      <c r="X773" s="67" t="e">
        <f>+VLOOKUP(Q773,COMISIONES!$C$2:$AO$33,39,0)</f>
        <v>#N/A</v>
      </c>
      <c r="Y773" s="67" t="e">
        <f t="shared" si="12"/>
        <v>#N/A</v>
      </c>
      <c r="Z773" s="58"/>
      <c r="AA773" s="13" t="e">
        <f>+VLOOKUP(Q773,COMISIONES!$C$2:$C$33,1,0)</f>
        <v>#N/A</v>
      </c>
      <c r="AB773" s="13" t="s">
        <v>269</v>
      </c>
    </row>
    <row r="774" spans="1:28" hidden="1">
      <c r="A774" s="117"/>
      <c r="B774" s="138"/>
      <c r="C774" s="117"/>
      <c r="D774" s="117"/>
      <c r="E774" s="117"/>
      <c r="F774" s="117"/>
      <c r="G774" s="117"/>
      <c r="H774" s="117"/>
      <c r="I774"/>
      <c r="J774"/>
      <c r="K774" s="117"/>
      <c r="L774"/>
      <c r="M774" s="117"/>
      <c r="N774" s="117"/>
      <c r="O774" s="117"/>
      <c r="P774" s="117"/>
      <c r="Q774"/>
      <c r="R774" s="117"/>
      <c r="S774" s="117"/>
      <c r="T774" s="117"/>
      <c r="U774" s="117"/>
      <c r="V774" s="12"/>
      <c r="W774" s="12"/>
      <c r="X774" s="67" t="e">
        <f>+VLOOKUP(Q774,COMISIONES!$C$2:$AO$33,39,0)</f>
        <v>#N/A</v>
      </c>
      <c r="Y774" s="67" t="e">
        <f t="shared" si="12"/>
        <v>#N/A</v>
      </c>
      <c r="Z774" s="58"/>
      <c r="AA774" s="13" t="e">
        <f>+VLOOKUP(Q774,COMISIONES!$C$2:$C$33,1,0)</f>
        <v>#N/A</v>
      </c>
      <c r="AB774" s="13" t="s">
        <v>269</v>
      </c>
    </row>
    <row r="775" spans="1:28" hidden="1">
      <c r="A775" s="117"/>
      <c r="B775" s="138"/>
      <c r="C775" s="117"/>
      <c r="D775" s="117"/>
      <c r="E775" s="117"/>
      <c r="F775" s="117"/>
      <c r="G775" s="117"/>
      <c r="H775" s="117"/>
      <c r="I775"/>
      <c r="J775"/>
      <c r="K775" s="117"/>
      <c r="L775"/>
      <c r="M775" s="117"/>
      <c r="N775" s="117"/>
      <c r="O775" s="117"/>
      <c r="P775" s="117"/>
      <c r="Q775"/>
      <c r="R775" s="117"/>
      <c r="S775" s="117"/>
      <c r="T775" s="117"/>
      <c r="U775" s="117"/>
      <c r="V775" s="12"/>
      <c r="W775" s="12"/>
      <c r="X775" s="67" t="e">
        <f>+VLOOKUP(Q775,COMISIONES!$C$2:$AO$33,39,0)</f>
        <v>#N/A</v>
      </c>
      <c r="Y775" s="67" t="e">
        <f t="shared" si="12"/>
        <v>#N/A</v>
      </c>
      <c r="Z775" s="58"/>
      <c r="AA775" s="13" t="e">
        <f>+VLOOKUP(Q775,COMISIONES!$C$2:$C$33,1,0)</f>
        <v>#N/A</v>
      </c>
      <c r="AB775" s="13" t="s">
        <v>269</v>
      </c>
    </row>
    <row r="776" spans="1:28" hidden="1">
      <c r="A776" s="117"/>
      <c r="B776" s="138"/>
      <c r="C776" s="117"/>
      <c r="D776" s="117"/>
      <c r="E776" s="117"/>
      <c r="F776" s="117"/>
      <c r="G776" s="117"/>
      <c r="H776" s="117"/>
      <c r="I776"/>
      <c r="J776"/>
      <c r="K776" s="117"/>
      <c r="L776"/>
      <c r="M776" s="117"/>
      <c r="N776" s="117"/>
      <c r="O776" s="117"/>
      <c r="P776" s="117"/>
      <c r="Q776"/>
      <c r="R776" s="117"/>
      <c r="S776" s="117"/>
      <c r="T776" s="117"/>
      <c r="U776" s="117"/>
      <c r="V776" s="12"/>
      <c r="W776" s="12"/>
      <c r="X776" s="67" t="e">
        <f>+VLOOKUP(Q776,COMISIONES!$C$2:$AO$33,39,0)</f>
        <v>#N/A</v>
      </c>
      <c r="Y776" s="67" t="e">
        <f t="shared" si="12"/>
        <v>#N/A</v>
      </c>
      <c r="Z776" s="58"/>
      <c r="AA776" s="13" t="e">
        <f>+VLOOKUP(Q776,COMISIONES!$C$2:$C$33,1,0)</f>
        <v>#N/A</v>
      </c>
      <c r="AB776" s="13" t="s">
        <v>269</v>
      </c>
    </row>
    <row r="777" spans="1:28" hidden="1">
      <c r="A777" s="117"/>
      <c r="B777" s="138"/>
      <c r="C777" s="117"/>
      <c r="D777" s="117"/>
      <c r="E777" s="117"/>
      <c r="F777" s="117"/>
      <c r="G777" s="117"/>
      <c r="H777" s="117"/>
      <c r="I777"/>
      <c r="J777"/>
      <c r="K777" s="117"/>
      <c r="L777"/>
      <c r="M777" s="117"/>
      <c r="N777" s="117"/>
      <c r="O777" s="117"/>
      <c r="P777" s="117"/>
      <c r="Q777"/>
      <c r="R777" s="117"/>
      <c r="S777" s="117"/>
      <c r="T777" s="117"/>
      <c r="U777" s="117"/>
      <c r="V777" s="12"/>
      <c r="W777" s="12"/>
      <c r="X777" s="67" t="e">
        <f>+VLOOKUP(Q777,COMISIONES!$C$2:$AO$33,39,0)</f>
        <v>#N/A</v>
      </c>
      <c r="Y777" s="67" t="e">
        <f t="shared" si="12"/>
        <v>#N/A</v>
      </c>
      <c r="Z777" s="58"/>
      <c r="AA777" s="13" t="e">
        <f>+VLOOKUP(Q777,COMISIONES!$C$2:$C$33,1,0)</f>
        <v>#N/A</v>
      </c>
      <c r="AB777" s="13" t="s">
        <v>269</v>
      </c>
    </row>
    <row r="778" spans="1:28" hidden="1">
      <c r="A778" s="117"/>
      <c r="B778" s="138"/>
      <c r="C778" s="117"/>
      <c r="D778" s="117"/>
      <c r="E778" s="117"/>
      <c r="F778" s="117"/>
      <c r="G778" s="117"/>
      <c r="H778" s="117"/>
      <c r="I778"/>
      <c r="J778"/>
      <c r="K778" s="117"/>
      <c r="L778"/>
      <c r="M778" s="117"/>
      <c r="N778" s="117"/>
      <c r="O778" s="117"/>
      <c r="P778" s="117"/>
      <c r="Q778"/>
      <c r="R778" s="117"/>
      <c r="S778" s="117"/>
      <c r="T778" s="117"/>
      <c r="U778" s="117"/>
      <c r="V778" s="12"/>
      <c r="W778" s="12"/>
      <c r="X778" s="67" t="e">
        <f>+VLOOKUP(Q778,COMISIONES!$C$2:$AO$33,39,0)</f>
        <v>#N/A</v>
      </c>
      <c r="Y778" s="67" t="e">
        <f t="shared" si="12"/>
        <v>#N/A</v>
      </c>
      <c r="Z778" s="58"/>
      <c r="AA778" s="13" t="e">
        <f>+VLOOKUP(Q778,COMISIONES!$C$2:$C$33,1,0)</f>
        <v>#N/A</v>
      </c>
      <c r="AB778" s="13" t="s">
        <v>269</v>
      </c>
    </row>
    <row r="779" spans="1:28" hidden="1">
      <c r="A779" s="117"/>
      <c r="B779" s="138"/>
      <c r="C779" s="117"/>
      <c r="D779" s="117"/>
      <c r="E779" s="117"/>
      <c r="F779" s="117"/>
      <c r="G779" s="117"/>
      <c r="H779" s="117"/>
      <c r="I779"/>
      <c r="J779"/>
      <c r="K779" s="117"/>
      <c r="L779"/>
      <c r="M779" s="117"/>
      <c r="N779" s="117"/>
      <c r="O779" s="117"/>
      <c r="P779" s="117"/>
      <c r="Q779"/>
      <c r="R779" s="117"/>
      <c r="S779" s="117"/>
      <c r="T779" s="117"/>
      <c r="U779" s="117"/>
      <c r="V779" s="12"/>
      <c r="W779" s="12"/>
      <c r="X779" s="67" t="e">
        <f>+VLOOKUP(Q779,COMISIONES!$C$2:$AO$33,39,0)</f>
        <v>#N/A</v>
      </c>
      <c r="Y779" s="67" t="e">
        <f t="shared" si="12"/>
        <v>#N/A</v>
      </c>
      <c r="Z779" s="58"/>
      <c r="AA779" s="13" t="e">
        <f>+VLOOKUP(Q779,COMISIONES!$C$2:$C$33,1,0)</f>
        <v>#N/A</v>
      </c>
      <c r="AB779" s="13" t="s">
        <v>269</v>
      </c>
    </row>
    <row r="780" spans="1:28" hidden="1">
      <c r="A780" s="117"/>
      <c r="B780" s="138"/>
      <c r="C780" s="117"/>
      <c r="D780" s="117"/>
      <c r="E780" s="117"/>
      <c r="F780" s="117"/>
      <c r="G780" s="117"/>
      <c r="H780" s="117"/>
      <c r="I780"/>
      <c r="J780"/>
      <c r="K780" s="117"/>
      <c r="L780"/>
      <c r="M780" s="117"/>
      <c r="N780" s="117"/>
      <c r="O780" s="117"/>
      <c r="P780" s="117"/>
      <c r="Q780"/>
      <c r="R780" s="117"/>
      <c r="S780" s="117"/>
      <c r="T780" s="117"/>
      <c r="U780" s="117"/>
      <c r="V780" s="12"/>
      <c r="W780" s="12"/>
      <c r="X780" s="67" t="e">
        <f>+VLOOKUP(Q780,COMISIONES!$C$2:$AO$33,39,0)</f>
        <v>#N/A</v>
      </c>
      <c r="Y780" s="67" t="e">
        <f t="shared" si="12"/>
        <v>#N/A</v>
      </c>
      <c r="Z780" s="58"/>
      <c r="AA780" s="13" t="e">
        <f>+VLOOKUP(Q780,COMISIONES!$C$2:$C$33,1,0)</f>
        <v>#N/A</v>
      </c>
      <c r="AB780" s="13" t="s">
        <v>269</v>
      </c>
    </row>
    <row r="781" spans="1:28" hidden="1">
      <c r="A781" s="117"/>
      <c r="B781" s="138"/>
      <c r="C781" s="117"/>
      <c r="D781" s="117"/>
      <c r="E781" s="117"/>
      <c r="F781" s="117"/>
      <c r="G781" s="117"/>
      <c r="H781" s="117"/>
      <c r="I781"/>
      <c r="J781"/>
      <c r="K781" s="117"/>
      <c r="L781"/>
      <c r="M781" s="117"/>
      <c r="N781" s="117"/>
      <c r="O781" s="117"/>
      <c r="P781" s="117"/>
      <c r="Q781"/>
      <c r="R781" s="117"/>
      <c r="S781" s="117"/>
      <c r="T781" s="117"/>
      <c r="U781" s="117"/>
      <c r="V781" s="12"/>
      <c r="W781" s="12"/>
      <c r="X781" s="67" t="e">
        <f>+VLOOKUP(Q781,COMISIONES!$C$2:$AO$33,39,0)</f>
        <v>#N/A</v>
      </c>
      <c r="Y781" s="67" t="e">
        <f t="shared" si="12"/>
        <v>#N/A</v>
      </c>
      <c r="Z781" s="58"/>
      <c r="AA781" s="13" t="e">
        <f>+VLOOKUP(Q781,COMISIONES!$C$2:$C$33,1,0)</f>
        <v>#N/A</v>
      </c>
      <c r="AB781" s="13" t="s">
        <v>269</v>
      </c>
    </row>
    <row r="782" spans="1:28" hidden="1">
      <c r="A782" s="117"/>
      <c r="B782" s="138"/>
      <c r="C782" s="117"/>
      <c r="D782" s="117"/>
      <c r="E782" s="117"/>
      <c r="F782" s="117"/>
      <c r="G782" s="117"/>
      <c r="H782" s="117"/>
      <c r="I782"/>
      <c r="J782"/>
      <c r="K782" s="117"/>
      <c r="L782"/>
      <c r="M782" s="117"/>
      <c r="N782" s="117"/>
      <c r="O782" s="117"/>
      <c r="P782" s="117"/>
      <c r="Q782"/>
      <c r="R782" s="117"/>
      <c r="S782" s="117"/>
      <c r="T782" s="117"/>
      <c r="U782" s="117"/>
      <c r="V782" s="12"/>
      <c r="W782" s="12"/>
      <c r="X782" s="67" t="e">
        <f>+VLOOKUP(Q782,COMISIONES!$C$2:$AO$33,39,0)</f>
        <v>#N/A</v>
      </c>
      <c r="Y782" s="67" t="e">
        <f t="shared" si="12"/>
        <v>#N/A</v>
      </c>
      <c r="Z782" s="58"/>
      <c r="AA782" s="13" t="e">
        <f>+VLOOKUP(Q782,COMISIONES!$C$2:$C$33,1,0)</f>
        <v>#N/A</v>
      </c>
      <c r="AB782" s="13" t="s">
        <v>269</v>
      </c>
    </row>
    <row r="783" spans="1:28" hidden="1">
      <c r="A783" s="117"/>
      <c r="B783" s="138"/>
      <c r="C783" s="117"/>
      <c r="D783" s="117"/>
      <c r="E783" s="117"/>
      <c r="F783" s="117"/>
      <c r="G783" s="117"/>
      <c r="H783" s="117"/>
      <c r="I783"/>
      <c r="J783"/>
      <c r="K783" s="117"/>
      <c r="L783"/>
      <c r="M783" s="117"/>
      <c r="N783" s="117"/>
      <c r="O783" s="117"/>
      <c r="P783" s="117"/>
      <c r="Q783"/>
      <c r="R783" s="117"/>
      <c r="S783" s="117"/>
      <c r="T783" s="117"/>
      <c r="U783" s="117"/>
      <c r="V783" s="12"/>
      <c r="W783" s="12"/>
      <c r="X783" s="67" t="e">
        <f>+VLOOKUP(Q783,COMISIONES!$C$2:$AO$33,39,0)</f>
        <v>#N/A</v>
      </c>
      <c r="Y783" s="67" t="e">
        <f t="shared" si="12"/>
        <v>#N/A</v>
      </c>
      <c r="Z783" s="58"/>
      <c r="AA783" s="13" t="e">
        <f>+VLOOKUP(Q783,COMISIONES!$C$2:$C$33,1,0)</f>
        <v>#N/A</v>
      </c>
      <c r="AB783" s="13" t="s">
        <v>269</v>
      </c>
    </row>
    <row r="784" spans="1:28" hidden="1">
      <c r="A784" s="117"/>
      <c r="B784" s="138"/>
      <c r="C784" s="117"/>
      <c r="D784" s="117"/>
      <c r="E784" s="117"/>
      <c r="F784" s="117"/>
      <c r="G784" s="117"/>
      <c r="H784" s="117"/>
      <c r="I784"/>
      <c r="J784"/>
      <c r="K784" s="117"/>
      <c r="L784"/>
      <c r="M784" s="117"/>
      <c r="N784" s="117"/>
      <c r="O784" s="117"/>
      <c r="P784" s="117"/>
      <c r="Q784"/>
      <c r="R784" s="117"/>
      <c r="S784" s="117"/>
      <c r="T784" s="117"/>
      <c r="U784" s="117"/>
      <c r="V784" s="12"/>
      <c r="W784" s="12"/>
      <c r="X784" s="67" t="e">
        <f>+VLOOKUP(Q784,COMISIONES!$C$2:$AO$33,39,0)</f>
        <v>#N/A</v>
      </c>
      <c r="Y784" s="67" t="e">
        <f t="shared" si="12"/>
        <v>#N/A</v>
      </c>
      <c r="Z784" s="58"/>
      <c r="AA784" s="13" t="e">
        <f>+VLOOKUP(Q784,COMISIONES!$C$2:$C$33,1,0)</f>
        <v>#N/A</v>
      </c>
      <c r="AB784" s="13" t="s">
        <v>269</v>
      </c>
    </row>
    <row r="785" spans="1:28" hidden="1">
      <c r="A785" s="117"/>
      <c r="B785" s="138"/>
      <c r="C785" s="117"/>
      <c r="D785" s="117"/>
      <c r="E785" s="117"/>
      <c r="F785" s="117"/>
      <c r="G785" s="117"/>
      <c r="H785" s="117"/>
      <c r="I785"/>
      <c r="J785"/>
      <c r="K785" s="117"/>
      <c r="L785"/>
      <c r="M785" s="117"/>
      <c r="N785" s="117"/>
      <c r="O785" s="117"/>
      <c r="P785" s="117"/>
      <c r="Q785"/>
      <c r="R785" s="117"/>
      <c r="S785" s="117"/>
      <c r="T785" s="117"/>
      <c r="U785" s="117"/>
      <c r="V785" s="12"/>
      <c r="W785" s="12"/>
      <c r="X785" s="67" t="e">
        <f>+VLOOKUP(Q785,COMISIONES!$C$2:$AO$33,39,0)</f>
        <v>#N/A</v>
      </c>
      <c r="Y785" s="67" t="e">
        <f t="shared" si="12"/>
        <v>#N/A</v>
      </c>
      <c r="Z785" s="58"/>
      <c r="AA785" s="13" t="e">
        <f>+VLOOKUP(Q785,COMISIONES!$C$2:$C$33,1,0)</f>
        <v>#N/A</v>
      </c>
      <c r="AB785" s="13" t="s">
        <v>269</v>
      </c>
    </row>
    <row r="786" spans="1:28" hidden="1">
      <c r="A786" s="117"/>
      <c r="B786" s="138"/>
      <c r="C786" s="117"/>
      <c r="D786" s="117"/>
      <c r="E786" s="117"/>
      <c r="F786" s="117"/>
      <c r="G786" s="117"/>
      <c r="H786" s="117"/>
      <c r="I786"/>
      <c r="J786"/>
      <c r="K786" s="117"/>
      <c r="L786"/>
      <c r="M786" s="117"/>
      <c r="N786" s="117"/>
      <c r="O786" s="117"/>
      <c r="P786" s="117"/>
      <c r="Q786"/>
      <c r="R786" s="117"/>
      <c r="S786" s="117"/>
      <c r="T786" s="117"/>
      <c r="U786" s="117"/>
      <c r="V786" s="12"/>
      <c r="W786" s="12"/>
      <c r="X786" s="67" t="e">
        <f>+VLOOKUP(Q786,COMISIONES!$C$2:$AO$33,39,0)</f>
        <v>#N/A</v>
      </c>
      <c r="Y786" s="67" t="e">
        <f t="shared" si="12"/>
        <v>#N/A</v>
      </c>
      <c r="Z786" s="58"/>
      <c r="AA786" s="13" t="e">
        <f>+VLOOKUP(Q786,COMISIONES!$C$2:$C$33,1,0)</f>
        <v>#N/A</v>
      </c>
      <c r="AB786" s="13" t="s">
        <v>269</v>
      </c>
    </row>
    <row r="787" spans="1:28" hidden="1">
      <c r="A787" s="117"/>
      <c r="B787" s="138"/>
      <c r="C787" s="117"/>
      <c r="D787" s="117"/>
      <c r="E787" s="117"/>
      <c r="F787" s="117"/>
      <c r="G787" s="117"/>
      <c r="H787" s="117"/>
      <c r="I787"/>
      <c r="J787"/>
      <c r="K787" s="117"/>
      <c r="L787"/>
      <c r="M787" s="117"/>
      <c r="N787" s="117"/>
      <c r="O787" s="117"/>
      <c r="P787" s="117"/>
      <c r="Q787"/>
      <c r="R787" s="117"/>
      <c r="S787" s="117"/>
      <c r="T787" s="117"/>
      <c r="U787" s="117"/>
      <c r="V787" s="12"/>
      <c r="W787" s="12"/>
      <c r="X787" s="67" t="e">
        <f>+VLOOKUP(Q787,COMISIONES!$C$2:$AO$33,39,0)</f>
        <v>#N/A</v>
      </c>
      <c r="Y787" s="67" t="e">
        <f t="shared" si="12"/>
        <v>#N/A</v>
      </c>
      <c r="Z787" s="58"/>
      <c r="AA787" s="13" t="e">
        <f>+VLOOKUP(Q787,COMISIONES!$C$2:$C$33,1,0)</f>
        <v>#N/A</v>
      </c>
      <c r="AB787" s="13" t="s">
        <v>269</v>
      </c>
    </row>
    <row r="788" spans="1:28" hidden="1">
      <c r="A788" s="117"/>
      <c r="B788" s="138"/>
      <c r="C788" s="117"/>
      <c r="D788" s="117"/>
      <c r="E788" s="117"/>
      <c r="F788" s="117"/>
      <c r="G788" s="117"/>
      <c r="H788" s="117"/>
      <c r="I788"/>
      <c r="J788"/>
      <c r="K788" s="117"/>
      <c r="L788"/>
      <c r="M788" s="117"/>
      <c r="N788" s="117"/>
      <c r="O788" s="117"/>
      <c r="P788" s="117"/>
      <c r="Q788"/>
      <c r="R788" s="117"/>
      <c r="S788" s="117"/>
      <c r="T788" s="117"/>
      <c r="U788" s="117"/>
      <c r="V788" s="12"/>
      <c r="W788" s="12"/>
      <c r="X788" s="67" t="e">
        <f>+VLOOKUP(Q788,COMISIONES!$C$2:$AO$33,39,0)</f>
        <v>#N/A</v>
      </c>
      <c r="Y788" s="67" t="e">
        <f t="shared" si="12"/>
        <v>#N/A</v>
      </c>
      <c r="Z788" s="58"/>
      <c r="AA788" s="13" t="e">
        <f>+VLOOKUP(Q788,COMISIONES!$C$2:$C$33,1,0)</f>
        <v>#N/A</v>
      </c>
      <c r="AB788" s="13" t="s">
        <v>269</v>
      </c>
    </row>
    <row r="789" spans="1:28" hidden="1">
      <c r="A789" s="117"/>
      <c r="B789" s="138"/>
      <c r="C789" s="117"/>
      <c r="D789" s="117"/>
      <c r="E789" s="117"/>
      <c r="F789" s="117"/>
      <c r="G789" s="117"/>
      <c r="H789" s="117"/>
      <c r="I789"/>
      <c r="J789"/>
      <c r="K789" s="117"/>
      <c r="L789"/>
      <c r="M789" s="117"/>
      <c r="N789" s="117"/>
      <c r="O789" s="117"/>
      <c r="P789" s="117"/>
      <c r="Q789"/>
      <c r="R789" s="117"/>
      <c r="S789" s="117"/>
      <c r="T789" s="117"/>
      <c r="U789" s="117"/>
      <c r="V789" s="12"/>
      <c r="W789" s="12"/>
      <c r="X789" s="67" t="e">
        <f>+VLOOKUP(Q789,COMISIONES!$C$2:$AO$33,39,0)</f>
        <v>#N/A</v>
      </c>
      <c r="Y789" s="67" t="e">
        <f t="shared" si="12"/>
        <v>#N/A</v>
      </c>
      <c r="Z789" s="58"/>
      <c r="AA789" s="13" t="e">
        <f>+VLOOKUP(Q789,COMISIONES!$C$2:$C$33,1,0)</f>
        <v>#N/A</v>
      </c>
      <c r="AB789" s="13" t="s">
        <v>269</v>
      </c>
    </row>
    <row r="790" spans="1:28" hidden="1">
      <c r="A790" s="117"/>
      <c r="B790" s="138"/>
      <c r="C790" s="117"/>
      <c r="D790" s="117"/>
      <c r="E790" s="117"/>
      <c r="F790" s="117"/>
      <c r="G790" s="117"/>
      <c r="H790" s="117"/>
      <c r="I790"/>
      <c r="J790"/>
      <c r="K790" s="117"/>
      <c r="L790"/>
      <c r="M790" s="117"/>
      <c r="N790" s="117"/>
      <c r="O790" s="117"/>
      <c r="P790" s="117"/>
      <c r="Q790"/>
      <c r="R790" s="117"/>
      <c r="S790" s="117"/>
      <c r="T790" s="117"/>
      <c r="U790" s="117"/>
      <c r="V790" s="12"/>
      <c r="W790" s="12"/>
      <c r="X790" s="67" t="e">
        <f>+VLOOKUP(Q790,COMISIONES!$C$2:$AO$33,39,0)</f>
        <v>#N/A</v>
      </c>
      <c r="Y790" s="67" t="e">
        <f t="shared" si="12"/>
        <v>#N/A</v>
      </c>
      <c r="Z790" s="58"/>
      <c r="AA790" s="13" t="e">
        <f>+VLOOKUP(Q790,COMISIONES!$C$2:$C$33,1,0)</f>
        <v>#N/A</v>
      </c>
      <c r="AB790" s="13" t="s">
        <v>269</v>
      </c>
    </row>
    <row r="791" spans="1:28" hidden="1">
      <c r="A791" s="117"/>
      <c r="B791" s="138"/>
      <c r="C791" s="117"/>
      <c r="D791" s="117"/>
      <c r="E791" s="117"/>
      <c r="F791" s="117"/>
      <c r="G791" s="117"/>
      <c r="H791" s="117"/>
      <c r="I791"/>
      <c r="J791"/>
      <c r="K791" s="117"/>
      <c r="L791"/>
      <c r="M791" s="117"/>
      <c r="N791" s="117"/>
      <c r="O791" s="117"/>
      <c r="P791" s="117"/>
      <c r="Q791"/>
      <c r="R791" s="117"/>
      <c r="S791" s="117"/>
      <c r="T791" s="117"/>
      <c r="U791" s="117"/>
      <c r="V791" s="12"/>
      <c r="W791" s="12"/>
      <c r="X791" s="67" t="e">
        <f>+VLOOKUP(Q791,COMISIONES!$C$2:$AO$33,39,0)</f>
        <v>#N/A</v>
      </c>
      <c r="Y791" s="67" t="e">
        <f t="shared" si="12"/>
        <v>#N/A</v>
      </c>
      <c r="Z791" s="58"/>
      <c r="AA791" s="13" t="e">
        <f>+VLOOKUP(Q791,COMISIONES!$C$2:$C$33,1,0)</f>
        <v>#N/A</v>
      </c>
      <c r="AB791" s="13" t="s">
        <v>269</v>
      </c>
    </row>
    <row r="792" spans="1:28" hidden="1">
      <c r="A792" s="117"/>
      <c r="B792" s="138"/>
      <c r="C792" s="117"/>
      <c r="D792" s="117"/>
      <c r="E792" s="117"/>
      <c r="F792" s="117"/>
      <c r="G792" s="117"/>
      <c r="H792" s="117"/>
      <c r="I792"/>
      <c r="J792"/>
      <c r="K792" s="117"/>
      <c r="L792"/>
      <c r="M792" s="117"/>
      <c r="N792" s="117"/>
      <c r="O792" s="117"/>
      <c r="P792" s="117"/>
      <c r="Q792"/>
      <c r="R792" s="117"/>
      <c r="S792" s="117"/>
      <c r="T792" s="117"/>
      <c r="U792" s="117"/>
      <c r="V792" s="12"/>
      <c r="W792" s="12"/>
      <c r="X792" s="67" t="e">
        <f>+VLOOKUP(Q792,COMISIONES!$C$2:$AO$33,39,0)</f>
        <v>#N/A</v>
      </c>
      <c r="Y792" s="67" t="e">
        <f t="shared" si="12"/>
        <v>#N/A</v>
      </c>
      <c r="Z792" s="58"/>
      <c r="AA792" s="13" t="e">
        <f>+VLOOKUP(Q792,COMISIONES!$C$2:$C$33,1,0)</f>
        <v>#N/A</v>
      </c>
      <c r="AB792" s="13" t="s">
        <v>269</v>
      </c>
    </row>
    <row r="793" spans="1:28" hidden="1">
      <c r="A793" s="117"/>
      <c r="B793" s="138"/>
      <c r="C793" s="117"/>
      <c r="D793" s="117"/>
      <c r="E793" s="117"/>
      <c r="F793" s="117"/>
      <c r="G793" s="117"/>
      <c r="H793" s="117"/>
      <c r="I793"/>
      <c r="J793"/>
      <c r="K793" s="117"/>
      <c r="L793"/>
      <c r="M793" s="117"/>
      <c r="N793" s="117"/>
      <c r="O793" s="117"/>
      <c r="P793" s="117"/>
      <c r="Q793"/>
      <c r="R793" s="117"/>
      <c r="S793" s="117"/>
      <c r="T793" s="117"/>
      <c r="U793" s="117"/>
      <c r="V793" s="12"/>
      <c r="W793" s="12"/>
      <c r="X793" s="67" t="e">
        <f>+VLOOKUP(Q793,COMISIONES!$C$2:$AO$33,39,0)</f>
        <v>#N/A</v>
      </c>
      <c r="Y793" s="67" t="e">
        <f t="shared" si="12"/>
        <v>#N/A</v>
      </c>
      <c r="Z793" s="58"/>
      <c r="AA793" s="13" t="e">
        <f>+VLOOKUP(Q793,COMISIONES!$C$2:$C$33,1,0)</f>
        <v>#N/A</v>
      </c>
      <c r="AB793" s="13" t="s">
        <v>269</v>
      </c>
    </row>
    <row r="794" spans="1:28" hidden="1">
      <c r="A794" s="117"/>
      <c r="B794" s="138"/>
      <c r="C794" s="117"/>
      <c r="D794" s="117"/>
      <c r="E794" s="117"/>
      <c r="F794" s="117"/>
      <c r="G794" s="117"/>
      <c r="H794" s="117"/>
      <c r="I794"/>
      <c r="J794"/>
      <c r="K794" s="117"/>
      <c r="L794"/>
      <c r="M794" s="117"/>
      <c r="N794" s="117"/>
      <c r="O794" s="117"/>
      <c r="P794" s="117"/>
      <c r="Q794"/>
      <c r="R794" s="117"/>
      <c r="S794" s="117"/>
      <c r="T794" s="117"/>
      <c r="U794" s="117"/>
      <c r="V794" s="12"/>
      <c r="W794" s="12"/>
      <c r="X794" s="67" t="e">
        <f>+VLOOKUP(Q794,COMISIONES!$C$2:$AO$33,39,0)</f>
        <v>#N/A</v>
      </c>
      <c r="Y794" s="67" t="e">
        <f t="shared" si="12"/>
        <v>#N/A</v>
      </c>
      <c r="Z794" s="58"/>
      <c r="AA794" s="13" t="e">
        <f>+VLOOKUP(Q794,COMISIONES!$C$2:$C$33,1,0)</f>
        <v>#N/A</v>
      </c>
      <c r="AB794" s="13" t="s">
        <v>269</v>
      </c>
    </row>
    <row r="795" spans="1:28" hidden="1">
      <c r="A795" s="117"/>
      <c r="B795" s="138"/>
      <c r="C795" s="117"/>
      <c r="D795" s="117"/>
      <c r="E795" s="117"/>
      <c r="F795" s="117"/>
      <c r="G795" s="117"/>
      <c r="H795" s="117"/>
      <c r="I795"/>
      <c r="J795"/>
      <c r="K795" s="117"/>
      <c r="L795"/>
      <c r="M795" s="117"/>
      <c r="N795" s="117"/>
      <c r="O795" s="117"/>
      <c r="P795" s="117"/>
      <c r="Q795"/>
      <c r="R795" s="117"/>
      <c r="S795" s="117"/>
      <c r="T795" s="117"/>
      <c r="U795" s="117"/>
      <c r="V795" s="12"/>
      <c r="W795" s="12"/>
      <c r="X795" s="67" t="e">
        <f>+VLOOKUP(Q795,COMISIONES!$C$2:$AO$33,39,0)</f>
        <v>#N/A</v>
      </c>
      <c r="Y795" s="67" t="e">
        <f t="shared" si="12"/>
        <v>#N/A</v>
      </c>
      <c r="Z795" s="58"/>
      <c r="AA795" s="13" t="e">
        <f>+VLOOKUP(Q795,COMISIONES!$C$2:$C$33,1,0)</f>
        <v>#N/A</v>
      </c>
      <c r="AB795" s="13" t="s">
        <v>269</v>
      </c>
    </row>
    <row r="796" spans="1:28" hidden="1">
      <c r="A796" s="117"/>
      <c r="B796" s="138"/>
      <c r="C796" s="117"/>
      <c r="D796" s="117"/>
      <c r="E796" s="117"/>
      <c r="F796" s="117"/>
      <c r="G796" s="117"/>
      <c r="H796" s="117"/>
      <c r="I796"/>
      <c r="J796"/>
      <c r="K796" s="117"/>
      <c r="L796"/>
      <c r="M796" s="117"/>
      <c r="N796" s="117"/>
      <c r="O796" s="117"/>
      <c r="P796" s="117"/>
      <c r="Q796"/>
      <c r="R796" s="117"/>
      <c r="S796" s="117"/>
      <c r="T796" s="117"/>
      <c r="U796" s="117"/>
      <c r="V796" s="12"/>
      <c r="W796" s="12"/>
      <c r="X796" s="67" t="e">
        <f>+VLOOKUP(Q796,COMISIONES!$C$2:$AO$33,39,0)</f>
        <v>#N/A</v>
      </c>
      <c r="Y796" s="67" t="e">
        <f t="shared" si="12"/>
        <v>#N/A</v>
      </c>
      <c r="Z796" s="58"/>
      <c r="AA796" s="13" t="e">
        <f>+VLOOKUP(Q796,COMISIONES!$C$2:$C$33,1,0)</f>
        <v>#N/A</v>
      </c>
      <c r="AB796" s="13" t="s">
        <v>269</v>
      </c>
    </row>
    <row r="797" spans="1:28" hidden="1">
      <c r="A797" s="117"/>
      <c r="B797" s="138"/>
      <c r="C797" s="117"/>
      <c r="D797" s="117"/>
      <c r="E797" s="117"/>
      <c r="F797" s="117"/>
      <c r="G797" s="117"/>
      <c r="H797" s="117"/>
      <c r="I797"/>
      <c r="J797"/>
      <c r="K797" s="117"/>
      <c r="L797"/>
      <c r="M797" s="117"/>
      <c r="N797" s="117"/>
      <c r="O797" s="117"/>
      <c r="P797" s="117"/>
      <c r="Q797"/>
      <c r="R797" s="117"/>
      <c r="S797" s="117"/>
      <c r="T797" s="117"/>
      <c r="U797" s="117"/>
      <c r="V797" s="12"/>
      <c r="W797" s="12"/>
      <c r="X797" s="67" t="e">
        <f>+VLOOKUP(Q797,COMISIONES!$C$2:$AO$33,39,0)</f>
        <v>#N/A</v>
      </c>
      <c r="Y797" s="67" t="e">
        <f t="shared" si="12"/>
        <v>#N/A</v>
      </c>
      <c r="Z797" s="58"/>
      <c r="AA797" s="13" t="e">
        <f>+VLOOKUP(Q797,COMISIONES!$C$2:$C$33,1,0)</f>
        <v>#N/A</v>
      </c>
      <c r="AB797" s="13" t="s">
        <v>269</v>
      </c>
    </row>
    <row r="798" spans="1:28" hidden="1">
      <c r="A798" s="117"/>
      <c r="B798" s="138"/>
      <c r="C798" s="117"/>
      <c r="D798" s="117"/>
      <c r="E798" s="117"/>
      <c r="F798" s="117"/>
      <c r="G798" s="117"/>
      <c r="H798" s="117"/>
      <c r="I798"/>
      <c r="J798"/>
      <c r="K798" s="117"/>
      <c r="L798"/>
      <c r="M798" s="117"/>
      <c r="N798" s="117"/>
      <c r="O798" s="117"/>
      <c r="P798" s="117"/>
      <c r="Q798"/>
      <c r="R798" s="117"/>
      <c r="S798" s="117"/>
      <c r="T798" s="117"/>
      <c r="U798" s="117"/>
      <c r="V798" s="12"/>
      <c r="W798" s="12"/>
      <c r="X798" s="67" t="e">
        <f>+VLOOKUP(Q798,COMISIONES!$C$2:$AO$33,39,0)</f>
        <v>#N/A</v>
      </c>
      <c r="Y798" s="67" t="e">
        <f t="shared" si="12"/>
        <v>#N/A</v>
      </c>
      <c r="Z798" s="58"/>
      <c r="AA798" s="13" t="e">
        <f>+VLOOKUP(Q798,COMISIONES!$C$2:$C$33,1,0)</f>
        <v>#N/A</v>
      </c>
      <c r="AB798" s="13" t="s">
        <v>269</v>
      </c>
    </row>
    <row r="799" spans="1:28" hidden="1">
      <c r="A799" s="117"/>
      <c r="B799" s="138"/>
      <c r="C799" s="117"/>
      <c r="D799" s="117"/>
      <c r="E799" s="117"/>
      <c r="F799" s="117"/>
      <c r="G799" s="117"/>
      <c r="H799" s="117"/>
      <c r="I799"/>
      <c r="J799"/>
      <c r="K799" s="117"/>
      <c r="L799"/>
      <c r="M799" s="117"/>
      <c r="N799" s="117"/>
      <c r="O799" s="117"/>
      <c r="P799" s="117"/>
      <c r="Q799"/>
      <c r="R799" s="117"/>
      <c r="S799" s="117"/>
      <c r="T799" s="117"/>
      <c r="U799" s="117"/>
      <c r="V799" s="12"/>
      <c r="W799" s="12"/>
      <c r="X799" s="67" t="e">
        <f>+VLOOKUP(Q799,COMISIONES!$C$2:$AO$33,39,0)</f>
        <v>#N/A</v>
      </c>
      <c r="Y799" s="67" t="e">
        <f t="shared" si="12"/>
        <v>#N/A</v>
      </c>
      <c r="Z799" s="58"/>
      <c r="AA799" s="13" t="e">
        <f>+VLOOKUP(Q799,COMISIONES!$C$2:$C$33,1,0)</f>
        <v>#N/A</v>
      </c>
      <c r="AB799" s="13" t="s">
        <v>269</v>
      </c>
    </row>
    <row r="800" spans="1:28" hidden="1">
      <c r="A800" s="117"/>
      <c r="B800" s="138"/>
      <c r="C800" s="117"/>
      <c r="D800" s="117"/>
      <c r="E800" s="117"/>
      <c r="F800" s="117"/>
      <c r="G800" s="117"/>
      <c r="H800" s="117"/>
      <c r="I800"/>
      <c r="J800"/>
      <c r="K800" s="117"/>
      <c r="L800"/>
      <c r="M800" s="117"/>
      <c r="N800" s="117"/>
      <c r="O800" s="117"/>
      <c r="P800" s="117"/>
      <c r="Q800"/>
      <c r="R800" s="117"/>
      <c r="S800" s="117"/>
      <c r="T800" s="117"/>
      <c r="U800" s="117"/>
      <c r="V800" s="12"/>
      <c r="W800" s="12"/>
      <c r="X800" s="67" t="e">
        <f>+VLOOKUP(Q800,COMISIONES!$C$2:$AO$33,39,0)</f>
        <v>#N/A</v>
      </c>
      <c r="Y800" s="67" t="e">
        <f t="shared" si="12"/>
        <v>#N/A</v>
      </c>
      <c r="Z800" s="58"/>
      <c r="AA800" s="13" t="e">
        <f>+VLOOKUP(Q800,COMISIONES!$C$2:$C$33,1,0)</f>
        <v>#N/A</v>
      </c>
      <c r="AB800" s="13" t="s">
        <v>269</v>
      </c>
    </row>
    <row r="801" spans="1:28" hidden="1">
      <c r="A801" s="117"/>
      <c r="B801" s="138"/>
      <c r="C801" s="117"/>
      <c r="D801" s="117"/>
      <c r="E801" s="117"/>
      <c r="F801" s="117"/>
      <c r="G801" s="117"/>
      <c r="H801" s="117"/>
      <c r="I801"/>
      <c r="J801"/>
      <c r="K801" s="117"/>
      <c r="L801"/>
      <c r="M801" s="117"/>
      <c r="N801" s="117"/>
      <c r="O801" s="117"/>
      <c r="P801" s="117"/>
      <c r="Q801"/>
      <c r="R801" s="117"/>
      <c r="S801" s="117"/>
      <c r="T801" s="117"/>
      <c r="U801" s="117"/>
      <c r="V801" s="12"/>
      <c r="W801" s="12"/>
      <c r="X801" s="67" t="e">
        <f>+VLOOKUP(Q801,COMISIONES!$C$2:$AO$33,39,0)</f>
        <v>#N/A</v>
      </c>
      <c r="Y801" s="67" t="e">
        <f t="shared" si="12"/>
        <v>#N/A</v>
      </c>
      <c r="Z801" s="58"/>
      <c r="AA801" s="13" t="e">
        <f>+VLOOKUP(Q801,COMISIONES!$C$2:$C$33,1,0)</f>
        <v>#N/A</v>
      </c>
      <c r="AB801" s="13" t="s">
        <v>269</v>
      </c>
    </row>
    <row r="802" spans="1:28" hidden="1">
      <c r="A802" s="117"/>
      <c r="B802" s="138"/>
      <c r="C802" s="117"/>
      <c r="D802" s="117"/>
      <c r="E802" s="117"/>
      <c r="F802" s="117"/>
      <c r="G802" s="117"/>
      <c r="H802" s="117"/>
      <c r="I802"/>
      <c r="J802"/>
      <c r="K802" s="117"/>
      <c r="L802"/>
      <c r="M802" s="117"/>
      <c r="N802" s="117"/>
      <c r="O802" s="117"/>
      <c r="P802" s="117"/>
      <c r="Q802"/>
      <c r="R802" s="117"/>
      <c r="S802" s="117"/>
      <c r="T802" s="117"/>
      <c r="U802" s="117"/>
      <c r="V802" s="12"/>
      <c r="W802" s="12"/>
      <c r="X802" s="67" t="e">
        <f>+VLOOKUP(Q802,COMISIONES!$C$2:$AO$33,39,0)</f>
        <v>#N/A</v>
      </c>
      <c r="Y802" s="67" t="e">
        <f t="shared" si="12"/>
        <v>#N/A</v>
      </c>
      <c r="Z802" s="58"/>
      <c r="AA802" s="13" t="e">
        <f>+VLOOKUP(Q802,COMISIONES!$C$2:$C$33,1,0)</f>
        <v>#N/A</v>
      </c>
      <c r="AB802" s="13" t="s">
        <v>269</v>
      </c>
    </row>
    <row r="803" spans="1:28" hidden="1">
      <c r="A803" s="117"/>
      <c r="B803" s="138"/>
      <c r="C803" s="117"/>
      <c r="D803" s="117"/>
      <c r="E803" s="117"/>
      <c r="F803" s="117"/>
      <c r="G803" s="117"/>
      <c r="H803" s="117"/>
      <c r="I803"/>
      <c r="J803"/>
      <c r="K803" s="117"/>
      <c r="L803"/>
      <c r="M803" s="117"/>
      <c r="N803" s="117"/>
      <c r="O803" s="117"/>
      <c r="P803" s="117"/>
      <c r="Q803"/>
      <c r="R803" s="117"/>
      <c r="S803" s="117"/>
      <c r="T803" s="117"/>
      <c r="U803" s="117"/>
      <c r="V803" s="12"/>
      <c r="W803" s="12"/>
      <c r="X803" s="67" t="e">
        <f>+VLOOKUP(Q803,COMISIONES!$C$2:$AO$33,39,0)</f>
        <v>#N/A</v>
      </c>
      <c r="Y803" s="67" t="e">
        <f t="shared" si="12"/>
        <v>#N/A</v>
      </c>
      <c r="Z803" s="58"/>
      <c r="AA803" s="13" t="e">
        <f>+VLOOKUP(Q803,COMISIONES!$C$2:$C$33,1,0)</f>
        <v>#N/A</v>
      </c>
      <c r="AB803" s="13" t="s">
        <v>269</v>
      </c>
    </row>
    <row r="804" spans="1:28" hidden="1">
      <c r="A804" s="117"/>
      <c r="B804" s="138"/>
      <c r="C804" s="117"/>
      <c r="D804" s="117"/>
      <c r="E804" s="117"/>
      <c r="F804" s="117"/>
      <c r="G804" s="117"/>
      <c r="H804" s="117"/>
      <c r="I804"/>
      <c r="J804"/>
      <c r="K804" s="117"/>
      <c r="L804"/>
      <c r="M804" s="117"/>
      <c r="N804" s="117"/>
      <c r="O804" s="117"/>
      <c r="P804" s="117"/>
      <c r="Q804"/>
      <c r="R804" s="117"/>
      <c r="S804" s="117"/>
      <c r="T804" s="117"/>
      <c r="U804" s="117"/>
      <c r="V804" s="12"/>
      <c r="W804" s="12"/>
      <c r="X804" s="67" t="e">
        <f>+VLOOKUP(Q804,COMISIONES!$C$2:$AO$33,39,0)</f>
        <v>#N/A</v>
      </c>
      <c r="Y804" s="67" t="e">
        <f t="shared" si="12"/>
        <v>#N/A</v>
      </c>
      <c r="Z804" s="58"/>
      <c r="AA804" s="13" t="e">
        <f>+VLOOKUP(Q804,COMISIONES!$C$2:$C$33,1,0)</f>
        <v>#N/A</v>
      </c>
      <c r="AB804" s="13" t="s">
        <v>269</v>
      </c>
    </row>
    <row r="805" spans="1:28" hidden="1">
      <c r="A805" s="117"/>
      <c r="B805" s="138"/>
      <c r="C805" s="117"/>
      <c r="D805" s="117"/>
      <c r="E805" s="117"/>
      <c r="F805" s="117"/>
      <c r="G805" s="117"/>
      <c r="H805" s="117"/>
      <c r="I805"/>
      <c r="J805"/>
      <c r="K805" s="117"/>
      <c r="L805"/>
      <c r="M805" s="117"/>
      <c r="N805" s="117"/>
      <c r="O805" s="117"/>
      <c r="P805" s="117"/>
      <c r="Q805"/>
      <c r="R805" s="117"/>
      <c r="S805" s="117"/>
      <c r="T805" s="117"/>
      <c r="U805" s="117"/>
      <c r="V805" s="12"/>
      <c r="W805" s="12"/>
      <c r="X805" s="67" t="e">
        <f>+VLOOKUP(Q805,COMISIONES!$C$2:$AO$33,39,0)</f>
        <v>#N/A</v>
      </c>
      <c r="Y805" s="67" t="e">
        <f t="shared" si="12"/>
        <v>#N/A</v>
      </c>
      <c r="Z805" s="58"/>
      <c r="AA805" s="13" t="e">
        <f>+VLOOKUP(Q805,COMISIONES!$C$2:$C$33,1,0)</f>
        <v>#N/A</v>
      </c>
      <c r="AB805" s="13" t="s">
        <v>269</v>
      </c>
    </row>
    <row r="806" spans="1:28" hidden="1">
      <c r="A806" s="117"/>
      <c r="B806" s="138"/>
      <c r="C806" s="117"/>
      <c r="D806" s="117"/>
      <c r="E806" s="117"/>
      <c r="F806" s="117"/>
      <c r="G806" s="117"/>
      <c r="H806" s="117"/>
      <c r="I806"/>
      <c r="J806"/>
      <c r="K806" s="117"/>
      <c r="L806"/>
      <c r="M806" s="117"/>
      <c r="N806" s="117"/>
      <c r="O806" s="117"/>
      <c r="P806" s="117"/>
      <c r="Q806"/>
      <c r="R806" s="117"/>
      <c r="S806" s="117"/>
      <c r="T806" s="117"/>
      <c r="U806" s="117"/>
      <c r="V806" s="12"/>
      <c r="W806" s="12"/>
      <c r="X806" s="67" t="e">
        <f>+VLOOKUP(Q806,COMISIONES!$C$2:$AO$33,39,0)</f>
        <v>#N/A</v>
      </c>
      <c r="Y806" s="67" t="e">
        <f t="shared" si="12"/>
        <v>#N/A</v>
      </c>
      <c r="Z806" s="58"/>
      <c r="AA806" s="13" t="e">
        <f>+VLOOKUP(Q806,COMISIONES!$C$2:$C$33,1,0)</f>
        <v>#N/A</v>
      </c>
      <c r="AB806" s="13" t="s">
        <v>269</v>
      </c>
    </row>
    <row r="807" spans="1:28" hidden="1">
      <c r="A807" s="117"/>
      <c r="B807" s="138"/>
      <c r="C807" s="117"/>
      <c r="D807" s="117"/>
      <c r="E807" s="117"/>
      <c r="F807" s="117"/>
      <c r="G807" s="117"/>
      <c r="H807" s="117"/>
      <c r="I807"/>
      <c r="J807"/>
      <c r="K807" s="117"/>
      <c r="L807"/>
      <c r="M807" s="117"/>
      <c r="N807" s="117"/>
      <c r="O807" s="117"/>
      <c r="P807" s="117"/>
      <c r="Q807"/>
      <c r="R807" s="117"/>
      <c r="S807" s="117"/>
      <c r="T807" s="117"/>
      <c r="U807" s="117"/>
      <c r="V807" s="12"/>
      <c r="W807" s="12"/>
      <c r="X807" s="67" t="e">
        <f>+VLOOKUP(Q807,COMISIONES!$C$2:$AO$33,39,0)</f>
        <v>#N/A</v>
      </c>
      <c r="Y807" s="67" t="e">
        <f t="shared" si="12"/>
        <v>#N/A</v>
      </c>
      <c r="Z807" s="58"/>
      <c r="AA807" s="13" t="e">
        <f>+VLOOKUP(Q807,COMISIONES!$C$2:$C$33,1,0)</f>
        <v>#N/A</v>
      </c>
      <c r="AB807" s="13" t="s">
        <v>269</v>
      </c>
    </row>
    <row r="808" spans="1:28" hidden="1">
      <c r="A808" s="117"/>
      <c r="B808" s="138"/>
      <c r="C808" s="117"/>
      <c r="D808" s="117"/>
      <c r="E808" s="117"/>
      <c r="F808" s="117"/>
      <c r="G808" s="117"/>
      <c r="H808" s="117"/>
      <c r="I808"/>
      <c r="J808"/>
      <c r="K808" s="117"/>
      <c r="L808"/>
      <c r="M808" s="117"/>
      <c r="N808" s="117"/>
      <c r="O808" s="117"/>
      <c r="P808" s="117"/>
      <c r="Q808"/>
      <c r="R808" s="117"/>
      <c r="S808" s="117"/>
      <c r="T808" s="117"/>
      <c r="U808" s="117"/>
      <c r="V808" s="12"/>
      <c r="W808" s="12"/>
      <c r="X808" s="67" t="e">
        <f>+VLOOKUP(Q808,COMISIONES!$C$2:$AO$33,39,0)</f>
        <v>#N/A</v>
      </c>
      <c r="Y808" s="67" t="e">
        <f t="shared" si="12"/>
        <v>#N/A</v>
      </c>
      <c r="Z808" s="58"/>
      <c r="AA808" s="13" t="e">
        <f>+VLOOKUP(Q808,COMISIONES!$C$2:$C$33,1,0)</f>
        <v>#N/A</v>
      </c>
      <c r="AB808" s="13" t="s">
        <v>269</v>
      </c>
    </row>
    <row r="809" spans="1:28" hidden="1">
      <c r="A809" s="117"/>
      <c r="B809" s="138"/>
      <c r="C809" s="117"/>
      <c r="D809" s="117"/>
      <c r="E809" s="117"/>
      <c r="F809" s="117"/>
      <c r="G809" s="117"/>
      <c r="H809" s="117"/>
      <c r="I809"/>
      <c r="J809"/>
      <c r="K809" s="117"/>
      <c r="L809"/>
      <c r="M809" s="117"/>
      <c r="N809" s="117"/>
      <c r="O809" s="117"/>
      <c r="P809" s="117"/>
      <c r="Q809"/>
      <c r="R809" s="117"/>
      <c r="S809" s="117"/>
      <c r="T809" s="117"/>
      <c r="U809" s="117"/>
      <c r="V809" s="12"/>
      <c r="W809" s="12"/>
      <c r="X809" s="67" t="e">
        <f>+VLOOKUP(Q809,COMISIONES!$C$2:$AO$33,39,0)</f>
        <v>#N/A</v>
      </c>
      <c r="Y809" s="67" t="e">
        <f t="shared" si="12"/>
        <v>#N/A</v>
      </c>
      <c r="Z809" s="58"/>
      <c r="AA809" s="13" t="e">
        <f>+VLOOKUP(Q809,COMISIONES!$C$2:$C$33,1,0)</f>
        <v>#N/A</v>
      </c>
      <c r="AB809" s="13" t="s">
        <v>269</v>
      </c>
    </row>
    <row r="810" spans="1:28" hidden="1">
      <c r="A810" s="117"/>
      <c r="B810" s="138"/>
      <c r="C810" s="117"/>
      <c r="D810" s="117"/>
      <c r="E810" s="117"/>
      <c r="F810" s="117"/>
      <c r="G810" s="117"/>
      <c r="H810" s="117"/>
      <c r="I810"/>
      <c r="J810"/>
      <c r="K810" s="117"/>
      <c r="L810"/>
      <c r="M810" s="117"/>
      <c r="N810" s="117"/>
      <c r="O810" s="117"/>
      <c r="P810" s="117"/>
      <c r="Q810"/>
      <c r="R810" s="117"/>
      <c r="S810" s="117"/>
      <c r="T810" s="117"/>
      <c r="U810" s="117"/>
      <c r="V810" s="12"/>
      <c r="W810" s="12"/>
      <c r="X810" s="67" t="e">
        <f>+VLOOKUP(Q810,COMISIONES!$C$2:$AO$33,39,0)</f>
        <v>#N/A</v>
      </c>
      <c r="Y810" s="67" t="e">
        <f t="shared" si="12"/>
        <v>#N/A</v>
      </c>
      <c r="Z810" s="58"/>
      <c r="AA810" s="13" t="e">
        <f>+VLOOKUP(Q810,COMISIONES!$C$2:$C$33,1,0)</f>
        <v>#N/A</v>
      </c>
      <c r="AB810" s="13" t="s">
        <v>269</v>
      </c>
    </row>
    <row r="811" spans="1:28" hidden="1">
      <c r="A811" s="117"/>
      <c r="B811" s="138"/>
      <c r="C811" s="117"/>
      <c r="D811" s="117"/>
      <c r="E811" s="117"/>
      <c r="F811" s="117"/>
      <c r="G811" s="117"/>
      <c r="H811" s="117"/>
      <c r="I811"/>
      <c r="J811"/>
      <c r="K811" s="117"/>
      <c r="L811"/>
      <c r="M811" s="117"/>
      <c r="N811" s="117"/>
      <c r="O811" s="117"/>
      <c r="P811" s="117"/>
      <c r="Q811"/>
      <c r="R811" s="117"/>
      <c r="S811" s="117"/>
      <c r="T811" s="117"/>
      <c r="U811" s="117"/>
      <c r="V811" s="12"/>
      <c r="W811" s="12"/>
      <c r="X811" s="67" t="e">
        <f>+VLOOKUP(Q811,COMISIONES!$C$2:$AO$33,39,0)</f>
        <v>#N/A</v>
      </c>
      <c r="Y811" s="67" t="e">
        <f t="shared" ref="Y811:Y874" si="13">X811*W811</f>
        <v>#N/A</v>
      </c>
      <c r="Z811" s="58"/>
      <c r="AA811" s="13" t="e">
        <f>+VLOOKUP(Q811,COMISIONES!$C$2:$C$33,1,0)</f>
        <v>#N/A</v>
      </c>
      <c r="AB811" s="13" t="s">
        <v>269</v>
      </c>
    </row>
    <row r="812" spans="1:28" hidden="1">
      <c r="A812" s="117"/>
      <c r="B812" s="138"/>
      <c r="C812" s="117"/>
      <c r="D812" s="117"/>
      <c r="E812" s="117"/>
      <c r="F812" s="117"/>
      <c r="G812" s="117"/>
      <c r="H812" s="117"/>
      <c r="I812"/>
      <c r="J812"/>
      <c r="K812" s="117"/>
      <c r="L812"/>
      <c r="M812" s="117"/>
      <c r="N812" s="117"/>
      <c r="O812" s="117"/>
      <c r="P812" s="117"/>
      <c r="Q812"/>
      <c r="R812" s="117"/>
      <c r="S812" s="117"/>
      <c r="T812" s="117"/>
      <c r="U812" s="117"/>
      <c r="V812" s="12"/>
      <c r="W812" s="12"/>
      <c r="X812" s="67" t="e">
        <f>+VLOOKUP(Q812,COMISIONES!$C$2:$AO$33,39,0)</f>
        <v>#N/A</v>
      </c>
      <c r="Y812" s="67" t="e">
        <f t="shared" si="13"/>
        <v>#N/A</v>
      </c>
      <c r="Z812" s="58"/>
      <c r="AA812" s="13" t="e">
        <f>+VLOOKUP(Q812,COMISIONES!$C$2:$C$33,1,0)</f>
        <v>#N/A</v>
      </c>
      <c r="AB812" s="13" t="s">
        <v>269</v>
      </c>
    </row>
    <row r="813" spans="1:28" hidden="1">
      <c r="A813" s="117"/>
      <c r="B813" s="138"/>
      <c r="C813" s="117"/>
      <c r="D813" s="117"/>
      <c r="E813" s="117"/>
      <c r="F813" s="117"/>
      <c r="G813" s="117"/>
      <c r="H813" s="117"/>
      <c r="I813"/>
      <c r="J813"/>
      <c r="K813" s="117"/>
      <c r="L813"/>
      <c r="M813" s="117"/>
      <c r="N813" s="117"/>
      <c r="O813" s="117"/>
      <c r="P813" s="117"/>
      <c r="Q813"/>
      <c r="R813" s="117"/>
      <c r="S813" s="117"/>
      <c r="T813" s="117"/>
      <c r="U813" s="117"/>
      <c r="V813" s="12"/>
      <c r="W813" s="12"/>
      <c r="X813" s="67" t="e">
        <f>+VLOOKUP(Q813,COMISIONES!$C$2:$AO$33,39,0)</f>
        <v>#N/A</v>
      </c>
      <c r="Y813" s="67" t="e">
        <f t="shared" si="13"/>
        <v>#N/A</v>
      </c>
      <c r="Z813" s="58"/>
      <c r="AA813" s="13" t="e">
        <f>+VLOOKUP(Q813,COMISIONES!$C$2:$C$33,1,0)</f>
        <v>#N/A</v>
      </c>
      <c r="AB813" s="13" t="s">
        <v>269</v>
      </c>
    </row>
    <row r="814" spans="1:28" hidden="1">
      <c r="A814" s="117"/>
      <c r="B814" s="138"/>
      <c r="C814" s="117"/>
      <c r="D814" s="117"/>
      <c r="E814" s="117"/>
      <c r="F814" s="117"/>
      <c r="G814" s="117"/>
      <c r="H814" s="117"/>
      <c r="I814"/>
      <c r="J814"/>
      <c r="K814" s="117"/>
      <c r="L814"/>
      <c r="M814" s="117"/>
      <c r="N814" s="117"/>
      <c r="O814" s="117"/>
      <c r="P814" s="117"/>
      <c r="Q814"/>
      <c r="R814" s="117"/>
      <c r="S814" s="117"/>
      <c r="T814" s="117"/>
      <c r="U814" s="117"/>
      <c r="V814" s="12"/>
      <c r="W814" s="12"/>
      <c r="X814" s="67" t="e">
        <f>+VLOOKUP(Q814,COMISIONES!$C$2:$AO$33,39,0)</f>
        <v>#N/A</v>
      </c>
      <c r="Y814" s="67" t="e">
        <f t="shared" si="13"/>
        <v>#N/A</v>
      </c>
      <c r="Z814" s="58"/>
      <c r="AA814" s="13" t="e">
        <f>+VLOOKUP(Q814,COMISIONES!$C$2:$C$33,1,0)</f>
        <v>#N/A</v>
      </c>
      <c r="AB814" s="13" t="s">
        <v>269</v>
      </c>
    </row>
    <row r="815" spans="1:28" hidden="1">
      <c r="A815" s="117"/>
      <c r="B815" s="138"/>
      <c r="C815" s="117"/>
      <c r="D815" s="117"/>
      <c r="E815" s="117"/>
      <c r="F815" s="117"/>
      <c r="G815" s="117"/>
      <c r="H815" s="117"/>
      <c r="I815"/>
      <c r="J815"/>
      <c r="K815" s="117"/>
      <c r="L815"/>
      <c r="M815" s="117"/>
      <c r="N815" s="117"/>
      <c r="O815" s="117"/>
      <c r="P815" s="117"/>
      <c r="Q815"/>
      <c r="R815" s="117"/>
      <c r="S815" s="117"/>
      <c r="T815" s="117"/>
      <c r="U815" s="117"/>
      <c r="V815" s="12"/>
      <c r="W815" s="12"/>
      <c r="X815" s="67" t="e">
        <f>+VLOOKUP(Q815,COMISIONES!$C$2:$AO$33,39,0)</f>
        <v>#N/A</v>
      </c>
      <c r="Y815" s="67" t="e">
        <f t="shared" si="13"/>
        <v>#N/A</v>
      </c>
      <c r="Z815" s="58"/>
      <c r="AA815" s="13" t="e">
        <f>+VLOOKUP(Q815,COMISIONES!$C$2:$C$33,1,0)</f>
        <v>#N/A</v>
      </c>
      <c r="AB815" s="13" t="s">
        <v>269</v>
      </c>
    </row>
    <row r="816" spans="1:28" hidden="1">
      <c r="A816" s="117"/>
      <c r="B816" s="138"/>
      <c r="C816" s="117"/>
      <c r="D816" s="117"/>
      <c r="E816" s="117"/>
      <c r="F816" s="117"/>
      <c r="G816" s="117"/>
      <c r="H816" s="117"/>
      <c r="I816"/>
      <c r="J816"/>
      <c r="K816" s="117"/>
      <c r="L816"/>
      <c r="M816" s="117"/>
      <c r="N816" s="117"/>
      <c r="O816" s="117"/>
      <c r="P816" s="117"/>
      <c r="Q816"/>
      <c r="R816" s="117"/>
      <c r="S816" s="117"/>
      <c r="T816" s="117"/>
      <c r="U816" s="117"/>
      <c r="V816" s="12"/>
      <c r="W816" s="12"/>
      <c r="X816" s="67" t="e">
        <f>+VLOOKUP(Q816,COMISIONES!$C$2:$AO$33,39,0)</f>
        <v>#N/A</v>
      </c>
      <c r="Y816" s="67" t="e">
        <f t="shared" si="13"/>
        <v>#N/A</v>
      </c>
      <c r="Z816" s="58"/>
      <c r="AA816" s="13" t="e">
        <f>+VLOOKUP(Q816,COMISIONES!$C$2:$C$33,1,0)</f>
        <v>#N/A</v>
      </c>
      <c r="AB816" s="13" t="s">
        <v>269</v>
      </c>
    </row>
    <row r="817" spans="1:28" hidden="1">
      <c r="A817" s="117"/>
      <c r="B817" s="138"/>
      <c r="C817" s="117"/>
      <c r="D817" s="117"/>
      <c r="E817" s="117"/>
      <c r="F817" s="117"/>
      <c r="G817" s="117"/>
      <c r="H817" s="117"/>
      <c r="I817"/>
      <c r="J817"/>
      <c r="K817" s="117"/>
      <c r="L817"/>
      <c r="M817" s="117"/>
      <c r="N817" s="117"/>
      <c r="O817" s="117"/>
      <c r="P817" s="117"/>
      <c r="Q817"/>
      <c r="R817" s="117"/>
      <c r="S817" s="117"/>
      <c r="T817" s="117"/>
      <c r="U817" s="117"/>
      <c r="V817" s="12"/>
      <c r="W817" s="12"/>
      <c r="X817" s="67" t="e">
        <f>+VLOOKUP(Q817,COMISIONES!$C$2:$AO$33,39,0)</f>
        <v>#N/A</v>
      </c>
      <c r="Y817" s="67" t="e">
        <f t="shared" si="13"/>
        <v>#N/A</v>
      </c>
      <c r="Z817" s="58"/>
      <c r="AA817" s="13" t="e">
        <f>+VLOOKUP(Q817,COMISIONES!$C$2:$C$33,1,0)</f>
        <v>#N/A</v>
      </c>
      <c r="AB817" s="13" t="s">
        <v>269</v>
      </c>
    </row>
    <row r="818" spans="1:28" hidden="1">
      <c r="A818" s="117"/>
      <c r="B818" s="138"/>
      <c r="C818" s="117"/>
      <c r="D818" s="117"/>
      <c r="E818" s="117"/>
      <c r="F818" s="117"/>
      <c r="G818" s="117"/>
      <c r="H818" s="117"/>
      <c r="I818"/>
      <c r="J818"/>
      <c r="K818" s="117"/>
      <c r="L818"/>
      <c r="M818" s="117"/>
      <c r="N818" s="117"/>
      <c r="O818" s="117"/>
      <c r="P818" s="117"/>
      <c r="Q818"/>
      <c r="R818" s="117"/>
      <c r="S818" s="117"/>
      <c r="T818" s="117"/>
      <c r="U818" s="117"/>
      <c r="V818" s="12"/>
      <c r="W818" s="12"/>
      <c r="X818" s="67" t="e">
        <f>+VLOOKUP(Q818,COMISIONES!$C$2:$AO$33,39,0)</f>
        <v>#N/A</v>
      </c>
      <c r="Y818" s="67" t="e">
        <f t="shared" si="13"/>
        <v>#N/A</v>
      </c>
      <c r="Z818" s="58"/>
      <c r="AA818" s="13" t="e">
        <f>+VLOOKUP(Q818,COMISIONES!$C$2:$C$33,1,0)</f>
        <v>#N/A</v>
      </c>
      <c r="AB818" s="13" t="s">
        <v>269</v>
      </c>
    </row>
    <row r="819" spans="1:28" hidden="1">
      <c r="A819" s="117"/>
      <c r="B819" s="138"/>
      <c r="C819" s="117"/>
      <c r="D819" s="117"/>
      <c r="E819" s="117"/>
      <c r="F819" s="117"/>
      <c r="G819" s="117"/>
      <c r="H819" s="117"/>
      <c r="I819"/>
      <c r="J819"/>
      <c r="K819" s="117"/>
      <c r="L819"/>
      <c r="M819" s="117"/>
      <c r="N819" s="117"/>
      <c r="O819" s="117"/>
      <c r="P819" s="117"/>
      <c r="Q819"/>
      <c r="R819" s="117"/>
      <c r="S819" s="117"/>
      <c r="T819" s="117"/>
      <c r="U819" s="117"/>
      <c r="V819" s="12"/>
      <c r="W819" s="12"/>
      <c r="X819" s="67" t="e">
        <f>+VLOOKUP(Q819,COMISIONES!$C$2:$AO$33,39,0)</f>
        <v>#N/A</v>
      </c>
      <c r="Y819" s="67" t="e">
        <f t="shared" si="13"/>
        <v>#N/A</v>
      </c>
      <c r="Z819" s="58"/>
      <c r="AA819" s="13" t="e">
        <f>+VLOOKUP(Q819,COMISIONES!$C$2:$C$33,1,0)</f>
        <v>#N/A</v>
      </c>
      <c r="AB819" s="13" t="s">
        <v>269</v>
      </c>
    </row>
    <row r="820" spans="1:28" hidden="1">
      <c r="A820" s="117"/>
      <c r="B820" s="138"/>
      <c r="C820" s="117"/>
      <c r="D820" s="117"/>
      <c r="E820" s="117"/>
      <c r="F820" s="117"/>
      <c r="G820" s="117"/>
      <c r="H820" s="117"/>
      <c r="I820"/>
      <c r="J820"/>
      <c r="K820" s="117"/>
      <c r="L820"/>
      <c r="M820" s="117"/>
      <c r="N820" s="117"/>
      <c r="O820" s="117"/>
      <c r="P820" s="117"/>
      <c r="Q820"/>
      <c r="R820" s="117"/>
      <c r="S820" s="117"/>
      <c r="T820" s="117"/>
      <c r="U820" s="117"/>
      <c r="V820" s="12"/>
      <c r="W820" s="12"/>
      <c r="X820" s="67" t="e">
        <f>+VLOOKUP(Q820,COMISIONES!$C$2:$AO$33,39,0)</f>
        <v>#N/A</v>
      </c>
      <c r="Y820" s="67" t="e">
        <f t="shared" si="13"/>
        <v>#N/A</v>
      </c>
      <c r="Z820" s="58"/>
      <c r="AA820" s="13" t="e">
        <f>+VLOOKUP(Q820,COMISIONES!$C$2:$C$33,1,0)</f>
        <v>#N/A</v>
      </c>
      <c r="AB820" s="13" t="s">
        <v>269</v>
      </c>
    </row>
    <row r="821" spans="1:28" hidden="1">
      <c r="A821" s="117"/>
      <c r="B821" s="138"/>
      <c r="C821" s="117"/>
      <c r="D821" s="117"/>
      <c r="E821" s="117"/>
      <c r="F821" s="117"/>
      <c r="G821" s="117"/>
      <c r="H821" s="117"/>
      <c r="I821"/>
      <c r="J821"/>
      <c r="K821" s="117"/>
      <c r="L821"/>
      <c r="M821" s="117"/>
      <c r="N821" s="117"/>
      <c r="O821" s="117"/>
      <c r="P821" s="117"/>
      <c r="Q821"/>
      <c r="R821" s="117"/>
      <c r="S821" s="117"/>
      <c r="T821" s="117"/>
      <c r="U821" s="117"/>
      <c r="V821" s="12"/>
      <c r="W821" s="12"/>
      <c r="X821" s="67" t="e">
        <f>+VLOOKUP(Q821,COMISIONES!$C$2:$AO$33,39,0)</f>
        <v>#N/A</v>
      </c>
      <c r="Y821" s="67" t="e">
        <f t="shared" si="13"/>
        <v>#N/A</v>
      </c>
      <c r="Z821" s="58"/>
      <c r="AA821" s="13" t="e">
        <f>+VLOOKUP(Q821,COMISIONES!$C$2:$C$33,1,0)</f>
        <v>#N/A</v>
      </c>
      <c r="AB821" s="13" t="s">
        <v>269</v>
      </c>
    </row>
    <row r="822" spans="1:28" hidden="1">
      <c r="A822" s="117"/>
      <c r="B822" s="138"/>
      <c r="C822" s="117"/>
      <c r="D822" s="117"/>
      <c r="E822" s="117"/>
      <c r="F822" s="117"/>
      <c r="G822" s="117"/>
      <c r="H822" s="117"/>
      <c r="I822"/>
      <c r="J822"/>
      <c r="K822" s="117"/>
      <c r="L822"/>
      <c r="M822" s="117"/>
      <c r="N822" s="117"/>
      <c r="O822" s="117"/>
      <c r="P822" s="117"/>
      <c r="Q822"/>
      <c r="R822" s="117"/>
      <c r="S822" s="117"/>
      <c r="T822" s="117"/>
      <c r="U822" s="117"/>
      <c r="V822" s="12"/>
      <c r="W822" s="12"/>
      <c r="X822" s="67" t="e">
        <f>+VLOOKUP(Q822,COMISIONES!$C$2:$AO$33,39,0)</f>
        <v>#N/A</v>
      </c>
      <c r="Y822" s="67" t="e">
        <f t="shared" si="13"/>
        <v>#N/A</v>
      </c>
      <c r="Z822" s="58"/>
      <c r="AA822" s="13" t="e">
        <f>+VLOOKUP(Q822,COMISIONES!$C$2:$C$33,1,0)</f>
        <v>#N/A</v>
      </c>
      <c r="AB822" s="13" t="s">
        <v>269</v>
      </c>
    </row>
    <row r="823" spans="1:28" hidden="1">
      <c r="A823" s="117"/>
      <c r="B823" s="138"/>
      <c r="C823" s="117"/>
      <c r="D823" s="117"/>
      <c r="E823" s="117"/>
      <c r="F823" s="117"/>
      <c r="G823" s="117"/>
      <c r="H823" s="117"/>
      <c r="I823"/>
      <c r="J823"/>
      <c r="K823" s="117"/>
      <c r="L823"/>
      <c r="M823" s="117"/>
      <c r="N823" s="117"/>
      <c r="O823" s="117"/>
      <c r="P823" s="117"/>
      <c r="Q823"/>
      <c r="R823" s="117"/>
      <c r="S823" s="117"/>
      <c r="T823" s="117"/>
      <c r="U823" s="117"/>
      <c r="V823" s="12"/>
      <c r="W823" s="12"/>
      <c r="X823" s="67" t="e">
        <f>+VLOOKUP(Q823,COMISIONES!$C$2:$AO$33,39,0)</f>
        <v>#N/A</v>
      </c>
      <c r="Y823" s="67" t="e">
        <f t="shared" si="13"/>
        <v>#N/A</v>
      </c>
      <c r="Z823" s="58"/>
      <c r="AA823" s="13" t="e">
        <f>+VLOOKUP(Q823,COMISIONES!$C$2:$C$33,1,0)</f>
        <v>#N/A</v>
      </c>
      <c r="AB823" s="13" t="s">
        <v>269</v>
      </c>
    </row>
    <row r="824" spans="1:28" hidden="1">
      <c r="A824" s="117"/>
      <c r="B824" s="138"/>
      <c r="C824" s="117"/>
      <c r="D824" s="117"/>
      <c r="E824" s="117"/>
      <c r="F824" s="117"/>
      <c r="G824" s="117"/>
      <c r="H824" s="117"/>
      <c r="I824"/>
      <c r="J824"/>
      <c r="K824" s="117"/>
      <c r="L824"/>
      <c r="M824" s="117"/>
      <c r="N824" s="117"/>
      <c r="O824" s="117"/>
      <c r="P824" s="117"/>
      <c r="Q824"/>
      <c r="R824" s="117"/>
      <c r="S824" s="117"/>
      <c r="T824" s="117"/>
      <c r="U824" s="117"/>
      <c r="V824" s="12"/>
      <c r="W824" s="12"/>
      <c r="X824" s="67" t="e">
        <f>+VLOOKUP(Q824,COMISIONES!$C$2:$AO$33,39,0)</f>
        <v>#N/A</v>
      </c>
      <c r="Y824" s="67" t="e">
        <f t="shared" si="13"/>
        <v>#N/A</v>
      </c>
      <c r="Z824" s="58"/>
      <c r="AA824" s="13" t="e">
        <f>+VLOOKUP(Q824,COMISIONES!$C$2:$C$33,1,0)</f>
        <v>#N/A</v>
      </c>
      <c r="AB824" s="13" t="s">
        <v>269</v>
      </c>
    </row>
    <row r="825" spans="1:28" hidden="1">
      <c r="A825" s="117"/>
      <c r="B825" s="138"/>
      <c r="C825" s="117"/>
      <c r="D825" s="117"/>
      <c r="E825" s="117"/>
      <c r="F825" s="117"/>
      <c r="G825" s="117"/>
      <c r="H825" s="117"/>
      <c r="I825"/>
      <c r="J825"/>
      <c r="K825" s="117"/>
      <c r="L825"/>
      <c r="M825" s="117"/>
      <c r="N825" s="117"/>
      <c r="O825" s="117"/>
      <c r="P825" s="117"/>
      <c r="Q825"/>
      <c r="R825" s="117"/>
      <c r="S825" s="117"/>
      <c r="T825" s="117"/>
      <c r="U825" s="117"/>
      <c r="V825" s="12"/>
      <c r="W825" s="12"/>
      <c r="X825" s="67" t="e">
        <f>+VLOOKUP(Q825,COMISIONES!$C$2:$AO$33,39,0)</f>
        <v>#N/A</v>
      </c>
      <c r="Y825" s="67" t="e">
        <f t="shared" si="13"/>
        <v>#N/A</v>
      </c>
      <c r="Z825" s="58"/>
      <c r="AA825" s="13" t="e">
        <f>+VLOOKUP(Q825,COMISIONES!$C$2:$C$33,1,0)</f>
        <v>#N/A</v>
      </c>
      <c r="AB825" s="13" t="s">
        <v>269</v>
      </c>
    </row>
    <row r="826" spans="1:28" hidden="1">
      <c r="A826" s="117"/>
      <c r="B826" s="138"/>
      <c r="C826" s="117"/>
      <c r="D826" s="117"/>
      <c r="E826" s="117"/>
      <c r="F826" s="117"/>
      <c r="G826" s="117"/>
      <c r="H826" s="117"/>
      <c r="I826"/>
      <c r="J826"/>
      <c r="K826" s="117"/>
      <c r="L826"/>
      <c r="M826" s="117"/>
      <c r="N826" s="117"/>
      <c r="O826" s="117"/>
      <c r="P826" s="117"/>
      <c r="Q826"/>
      <c r="R826" s="117"/>
      <c r="S826" s="117"/>
      <c r="T826" s="117"/>
      <c r="U826" s="117"/>
      <c r="V826" s="12"/>
      <c r="W826" s="12"/>
      <c r="X826" s="67" t="e">
        <f>+VLOOKUP(Q826,COMISIONES!$C$2:$AO$33,39,0)</f>
        <v>#N/A</v>
      </c>
      <c r="Y826" s="67" t="e">
        <f t="shared" si="13"/>
        <v>#N/A</v>
      </c>
      <c r="Z826" s="58"/>
      <c r="AA826" s="13" t="e">
        <f>+VLOOKUP(Q826,COMISIONES!$C$2:$C$33,1,0)</f>
        <v>#N/A</v>
      </c>
      <c r="AB826" s="13" t="s">
        <v>269</v>
      </c>
    </row>
    <row r="827" spans="1:28" hidden="1">
      <c r="A827" s="117"/>
      <c r="B827" s="138"/>
      <c r="C827" s="117"/>
      <c r="D827" s="117"/>
      <c r="E827" s="117"/>
      <c r="F827" s="117"/>
      <c r="G827" s="117"/>
      <c r="H827" s="117"/>
      <c r="I827"/>
      <c r="J827"/>
      <c r="K827" s="117"/>
      <c r="L827"/>
      <c r="M827" s="117"/>
      <c r="N827" s="117"/>
      <c r="O827" s="117"/>
      <c r="P827" s="117"/>
      <c r="Q827"/>
      <c r="R827" s="117"/>
      <c r="S827" s="117"/>
      <c r="T827" s="117"/>
      <c r="U827" s="117"/>
      <c r="V827" s="12"/>
      <c r="W827" s="12"/>
      <c r="X827" s="67" t="e">
        <f>+VLOOKUP(Q827,COMISIONES!$C$2:$AO$33,39,0)</f>
        <v>#N/A</v>
      </c>
      <c r="Y827" s="67" t="e">
        <f t="shared" si="13"/>
        <v>#N/A</v>
      </c>
      <c r="Z827" s="58"/>
      <c r="AA827" s="13" t="e">
        <f>+VLOOKUP(Q827,COMISIONES!$C$2:$C$33,1,0)</f>
        <v>#N/A</v>
      </c>
      <c r="AB827" s="13" t="s">
        <v>269</v>
      </c>
    </row>
    <row r="828" spans="1:28" hidden="1">
      <c r="A828" s="117"/>
      <c r="B828" s="138"/>
      <c r="C828" s="117"/>
      <c r="D828" s="117"/>
      <c r="E828" s="117"/>
      <c r="F828" s="117"/>
      <c r="G828" s="117"/>
      <c r="H828" s="117"/>
      <c r="I828"/>
      <c r="J828"/>
      <c r="K828" s="117"/>
      <c r="L828"/>
      <c r="M828" s="117"/>
      <c r="N828" s="117"/>
      <c r="O828" s="117"/>
      <c r="P828" s="117"/>
      <c r="Q828"/>
      <c r="R828" s="117"/>
      <c r="S828" s="117"/>
      <c r="T828" s="117"/>
      <c r="U828" s="117"/>
      <c r="V828" s="12"/>
      <c r="W828" s="12"/>
      <c r="X828" s="67" t="e">
        <f>+VLOOKUP(Q828,COMISIONES!$C$2:$AO$33,39,0)</f>
        <v>#N/A</v>
      </c>
      <c r="Y828" s="67" t="e">
        <f t="shared" si="13"/>
        <v>#N/A</v>
      </c>
      <c r="Z828" s="58"/>
      <c r="AA828" s="13" t="e">
        <f>+VLOOKUP(Q828,COMISIONES!$C$2:$C$33,1,0)</f>
        <v>#N/A</v>
      </c>
      <c r="AB828" s="13" t="s">
        <v>269</v>
      </c>
    </row>
    <row r="829" spans="1:28" hidden="1">
      <c r="A829" s="117"/>
      <c r="B829" s="138"/>
      <c r="C829" s="117"/>
      <c r="D829" s="117"/>
      <c r="E829" s="117"/>
      <c r="F829" s="117"/>
      <c r="G829" s="117"/>
      <c r="H829" s="117"/>
      <c r="I829"/>
      <c r="J829"/>
      <c r="K829" s="117"/>
      <c r="L829"/>
      <c r="M829" s="117"/>
      <c r="N829" s="117"/>
      <c r="O829" s="117"/>
      <c r="P829" s="117"/>
      <c r="Q829"/>
      <c r="R829" s="117"/>
      <c r="S829" s="117"/>
      <c r="T829" s="117"/>
      <c r="U829" s="117"/>
      <c r="V829" s="12"/>
      <c r="W829" s="12"/>
      <c r="X829" s="67" t="e">
        <f>+VLOOKUP(Q829,COMISIONES!$C$2:$AO$33,39,0)</f>
        <v>#N/A</v>
      </c>
      <c r="Y829" s="67" t="e">
        <f t="shared" si="13"/>
        <v>#N/A</v>
      </c>
      <c r="Z829" s="58"/>
      <c r="AA829" s="13" t="e">
        <f>+VLOOKUP(Q829,COMISIONES!$C$2:$C$33,1,0)</f>
        <v>#N/A</v>
      </c>
      <c r="AB829" s="13" t="s">
        <v>269</v>
      </c>
    </row>
    <row r="830" spans="1:28" hidden="1">
      <c r="A830" s="117"/>
      <c r="B830" s="138"/>
      <c r="C830" s="117"/>
      <c r="D830" s="117"/>
      <c r="E830" s="117"/>
      <c r="F830" s="117"/>
      <c r="G830" s="117"/>
      <c r="H830" s="117"/>
      <c r="I830"/>
      <c r="J830"/>
      <c r="K830" s="117"/>
      <c r="L830"/>
      <c r="M830" s="117"/>
      <c r="N830" s="117"/>
      <c r="O830" s="117"/>
      <c r="P830" s="117"/>
      <c r="Q830"/>
      <c r="R830" s="117"/>
      <c r="S830" s="117"/>
      <c r="T830" s="117"/>
      <c r="U830" s="117"/>
      <c r="V830" s="12"/>
      <c r="W830" s="12"/>
      <c r="X830" s="67" t="e">
        <f>+VLOOKUP(Q830,COMISIONES!$C$2:$AO$33,39,0)</f>
        <v>#N/A</v>
      </c>
      <c r="Y830" s="67" t="e">
        <f t="shared" si="13"/>
        <v>#N/A</v>
      </c>
      <c r="Z830" s="58"/>
      <c r="AA830" s="13" t="e">
        <f>+VLOOKUP(Q830,COMISIONES!$C$2:$C$33,1,0)</f>
        <v>#N/A</v>
      </c>
      <c r="AB830" s="13" t="s">
        <v>269</v>
      </c>
    </row>
    <row r="831" spans="1:28" hidden="1">
      <c r="A831" s="117"/>
      <c r="B831" s="138"/>
      <c r="C831" s="117"/>
      <c r="D831" s="117"/>
      <c r="E831" s="117"/>
      <c r="F831" s="117"/>
      <c r="G831" s="117"/>
      <c r="H831" s="117"/>
      <c r="I831"/>
      <c r="J831"/>
      <c r="K831" s="117"/>
      <c r="L831"/>
      <c r="M831" s="117"/>
      <c r="N831" s="117"/>
      <c r="O831" s="117"/>
      <c r="P831" s="117"/>
      <c r="Q831"/>
      <c r="R831" s="117"/>
      <c r="S831" s="117"/>
      <c r="T831" s="117"/>
      <c r="U831" s="117"/>
      <c r="V831" s="12"/>
      <c r="W831" s="12"/>
      <c r="X831" s="67" t="e">
        <f>+VLOOKUP(Q831,COMISIONES!$C$2:$AO$33,39,0)</f>
        <v>#N/A</v>
      </c>
      <c r="Y831" s="67" t="e">
        <f t="shared" si="13"/>
        <v>#N/A</v>
      </c>
      <c r="Z831" s="58"/>
      <c r="AA831" s="13" t="e">
        <f>+VLOOKUP(Q831,COMISIONES!$C$2:$C$33,1,0)</f>
        <v>#N/A</v>
      </c>
      <c r="AB831" s="13" t="s">
        <v>269</v>
      </c>
    </row>
    <row r="832" spans="1:28" hidden="1">
      <c r="A832" s="117"/>
      <c r="B832" s="138"/>
      <c r="C832" s="117"/>
      <c r="D832" s="117"/>
      <c r="E832" s="117"/>
      <c r="F832" s="117"/>
      <c r="G832" s="117"/>
      <c r="H832" s="117"/>
      <c r="I832"/>
      <c r="J832"/>
      <c r="K832" s="117"/>
      <c r="L832"/>
      <c r="M832" s="117"/>
      <c r="N832" s="117"/>
      <c r="O832" s="117"/>
      <c r="P832" s="117"/>
      <c r="Q832"/>
      <c r="R832" s="117"/>
      <c r="S832" s="117"/>
      <c r="T832" s="117"/>
      <c r="U832" s="117"/>
      <c r="V832" s="12"/>
      <c r="W832" s="12"/>
      <c r="X832" s="67" t="e">
        <f>+VLOOKUP(Q832,COMISIONES!$C$2:$AO$33,39,0)</f>
        <v>#N/A</v>
      </c>
      <c r="Y832" s="67" t="e">
        <f t="shared" si="13"/>
        <v>#N/A</v>
      </c>
      <c r="Z832" s="58"/>
      <c r="AA832" s="13" t="e">
        <f>+VLOOKUP(Q832,COMISIONES!$C$2:$C$33,1,0)</f>
        <v>#N/A</v>
      </c>
      <c r="AB832" s="13" t="s">
        <v>269</v>
      </c>
    </row>
    <row r="833" spans="1:28" hidden="1">
      <c r="A833" s="117"/>
      <c r="B833" s="138"/>
      <c r="C833" s="117"/>
      <c r="D833" s="117"/>
      <c r="E833" s="117"/>
      <c r="F833" s="117"/>
      <c r="G833" s="117"/>
      <c r="H833" s="117"/>
      <c r="I833"/>
      <c r="J833"/>
      <c r="K833" s="117"/>
      <c r="L833"/>
      <c r="M833" s="117"/>
      <c r="N833" s="117"/>
      <c r="O833" s="117"/>
      <c r="P833" s="117"/>
      <c r="Q833"/>
      <c r="R833" s="117"/>
      <c r="S833" s="117"/>
      <c r="T833" s="117"/>
      <c r="U833" s="117"/>
      <c r="V833" s="12"/>
      <c r="W833" s="12"/>
      <c r="X833" s="67" t="e">
        <f>+VLOOKUP(Q833,COMISIONES!$C$2:$AO$33,39,0)</f>
        <v>#N/A</v>
      </c>
      <c r="Y833" s="67" t="e">
        <f t="shared" si="13"/>
        <v>#N/A</v>
      </c>
      <c r="Z833" s="58"/>
      <c r="AA833" s="13" t="e">
        <f>+VLOOKUP(Q833,COMISIONES!$C$2:$C$33,1,0)</f>
        <v>#N/A</v>
      </c>
      <c r="AB833" s="13" t="s">
        <v>269</v>
      </c>
    </row>
    <row r="834" spans="1:28" hidden="1">
      <c r="A834" s="117"/>
      <c r="B834" s="138"/>
      <c r="C834" s="117"/>
      <c r="D834" s="117"/>
      <c r="E834" s="117"/>
      <c r="F834" s="117"/>
      <c r="G834" s="117"/>
      <c r="H834" s="117"/>
      <c r="I834"/>
      <c r="J834"/>
      <c r="K834" s="117"/>
      <c r="L834"/>
      <c r="M834" s="117"/>
      <c r="N834" s="117"/>
      <c r="O834" s="117"/>
      <c r="P834" s="117"/>
      <c r="Q834"/>
      <c r="R834" s="117"/>
      <c r="S834" s="117"/>
      <c r="T834" s="117"/>
      <c r="U834" s="117"/>
      <c r="V834" s="12"/>
      <c r="W834" s="12"/>
      <c r="X834" s="67" t="e">
        <f>+VLOOKUP(Q834,COMISIONES!$C$2:$AO$33,39,0)</f>
        <v>#N/A</v>
      </c>
      <c r="Y834" s="67" t="e">
        <f t="shared" si="13"/>
        <v>#N/A</v>
      </c>
      <c r="Z834" s="58"/>
      <c r="AA834" s="13" t="e">
        <f>+VLOOKUP(Q834,COMISIONES!$C$2:$C$33,1,0)</f>
        <v>#N/A</v>
      </c>
      <c r="AB834" s="13" t="s">
        <v>269</v>
      </c>
    </row>
    <row r="835" spans="1:28" hidden="1">
      <c r="A835" s="117"/>
      <c r="B835" s="138"/>
      <c r="C835" s="117"/>
      <c r="D835" s="117"/>
      <c r="E835" s="117"/>
      <c r="F835" s="117"/>
      <c r="G835" s="117"/>
      <c r="H835" s="117"/>
      <c r="I835"/>
      <c r="J835"/>
      <c r="K835" s="117"/>
      <c r="L835"/>
      <c r="M835" s="117"/>
      <c r="N835" s="117"/>
      <c r="O835" s="117"/>
      <c r="P835" s="117"/>
      <c r="Q835"/>
      <c r="R835" s="117"/>
      <c r="S835" s="117"/>
      <c r="T835" s="117"/>
      <c r="U835" s="117"/>
      <c r="V835" s="12"/>
      <c r="W835" s="12"/>
      <c r="X835" s="67" t="e">
        <f>+VLOOKUP(Q835,COMISIONES!$C$2:$AO$33,39,0)</f>
        <v>#N/A</v>
      </c>
      <c r="Y835" s="67" t="e">
        <f t="shared" si="13"/>
        <v>#N/A</v>
      </c>
      <c r="Z835" s="58"/>
      <c r="AA835" s="13" t="e">
        <f>+VLOOKUP(Q835,COMISIONES!$C$2:$C$33,1,0)</f>
        <v>#N/A</v>
      </c>
      <c r="AB835" s="13" t="s">
        <v>269</v>
      </c>
    </row>
    <row r="836" spans="1:28" hidden="1">
      <c r="A836" s="117"/>
      <c r="B836" s="138"/>
      <c r="C836" s="117"/>
      <c r="D836" s="117"/>
      <c r="E836" s="117"/>
      <c r="F836" s="117"/>
      <c r="G836" s="117"/>
      <c r="H836" s="117"/>
      <c r="I836"/>
      <c r="J836"/>
      <c r="K836" s="117"/>
      <c r="L836"/>
      <c r="M836" s="117"/>
      <c r="N836" s="117"/>
      <c r="O836" s="117"/>
      <c r="P836" s="117"/>
      <c r="Q836"/>
      <c r="R836" s="117"/>
      <c r="S836" s="117"/>
      <c r="T836" s="117"/>
      <c r="U836" s="117"/>
      <c r="V836" s="12"/>
      <c r="W836" s="12"/>
      <c r="X836" s="67" t="e">
        <f>+VLOOKUP(Q836,COMISIONES!$C$2:$AO$33,39,0)</f>
        <v>#N/A</v>
      </c>
      <c r="Y836" s="67" t="e">
        <f t="shared" si="13"/>
        <v>#N/A</v>
      </c>
      <c r="Z836" s="58"/>
      <c r="AA836" s="13" t="e">
        <f>+VLOOKUP(Q836,COMISIONES!$C$2:$C$33,1,0)</f>
        <v>#N/A</v>
      </c>
      <c r="AB836" s="13" t="s">
        <v>269</v>
      </c>
    </row>
    <row r="837" spans="1:28" hidden="1">
      <c r="A837" s="117"/>
      <c r="B837" s="138"/>
      <c r="C837" s="117"/>
      <c r="D837" s="117"/>
      <c r="E837" s="117"/>
      <c r="F837" s="117"/>
      <c r="G837" s="117"/>
      <c r="H837" s="117"/>
      <c r="I837"/>
      <c r="J837"/>
      <c r="K837" s="117"/>
      <c r="L837"/>
      <c r="M837" s="117"/>
      <c r="N837" s="117"/>
      <c r="O837" s="117"/>
      <c r="P837" s="117"/>
      <c r="Q837"/>
      <c r="R837" s="117"/>
      <c r="S837" s="117"/>
      <c r="T837" s="117"/>
      <c r="U837" s="117"/>
      <c r="V837" s="12"/>
      <c r="W837" s="12"/>
      <c r="X837" s="67" t="e">
        <f>+VLOOKUP(Q837,COMISIONES!$C$2:$AO$33,39,0)</f>
        <v>#N/A</v>
      </c>
      <c r="Y837" s="67" t="e">
        <f t="shared" si="13"/>
        <v>#N/A</v>
      </c>
      <c r="Z837" s="58"/>
      <c r="AA837" s="13" t="e">
        <f>+VLOOKUP(Q837,COMISIONES!$C$2:$C$33,1,0)</f>
        <v>#N/A</v>
      </c>
      <c r="AB837" s="13" t="s">
        <v>269</v>
      </c>
    </row>
    <row r="838" spans="1:28" hidden="1">
      <c r="A838" s="117"/>
      <c r="B838" s="138"/>
      <c r="C838" s="117"/>
      <c r="D838" s="117"/>
      <c r="E838" s="117"/>
      <c r="F838" s="117"/>
      <c r="G838" s="117"/>
      <c r="H838" s="117"/>
      <c r="I838"/>
      <c r="J838"/>
      <c r="K838" s="117"/>
      <c r="L838"/>
      <c r="M838" s="117"/>
      <c r="N838" s="117"/>
      <c r="O838" s="117"/>
      <c r="P838" s="117"/>
      <c r="Q838"/>
      <c r="R838" s="117"/>
      <c r="S838" s="117"/>
      <c r="T838" s="117"/>
      <c r="U838" s="117"/>
      <c r="V838" s="12"/>
      <c r="W838" s="12"/>
      <c r="X838" s="67" t="e">
        <f>+VLOOKUP(Q838,COMISIONES!$C$2:$AO$33,39,0)</f>
        <v>#N/A</v>
      </c>
      <c r="Y838" s="67" t="e">
        <f t="shared" si="13"/>
        <v>#N/A</v>
      </c>
      <c r="Z838" s="58"/>
      <c r="AA838" s="13" t="e">
        <f>+VLOOKUP(Q838,COMISIONES!$C$2:$C$33,1,0)</f>
        <v>#N/A</v>
      </c>
      <c r="AB838" s="13" t="s">
        <v>269</v>
      </c>
    </row>
    <row r="839" spans="1:28" hidden="1">
      <c r="A839" s="117"/>
      <c r="B839" s="138"/>
      <c r="C839" s="117"/>
      <c r="D839" s="117"/>
      <c r="E839" s="117"/>
      <c r="F839" s="117"/>
      <c r="G839" s="117"/>
      <c r="H839" s="117"/>
      <c r="I839"/>
      <c r="J839"/>
      <c r="K839" s="117"/>
      <c r="L839"/>
      <c r="M839" s="117"/>
      <c r="N839" s="117"/>
      <c r="O839" s="117"/>
      <c r="P839" s="117"/>
      <c r="Q839"/>
      <c r="R839" s="117"/>
      <c r="S839" s="117"/>
      <c r="T839" s="117"/>
      <c r="U839" s="117"/>
      <c r="V839" s="12"/>
      <c r="W839" s="12"/>
      <c r="X839" s="67" t="e">
        <f>+VLOOKUP(Q839,COMISIONES!$C$2:$AO$33,39,0)</f>
        <v>#N/A</v>
      </c>
      <c r="Y839" s="67" t="e">
        <f t="shared" si="13"/>
        <v>#N/A</v>
      </c>
      <c r="Z839" s="58"/>
      <c r="AA839" s="13" t="e">
        <f>+VLOOKUP(Q839,COMISIONES!$C$2:$C$33,1,0)</f>
        <v>#N/A</v>
      </c>
      <c r="AB839" s="13" t="s">
        <v>269</v>
      </c>
    </row>
    <row r="840" spans="1:28" hidden="1">
      <c r="A840" s="117"/>
      <c r="B840" s="138"/>
      <c r="C840" s="117"/>
      <c r="D840" s="117"/>
      <c r="E840" s="117"/>
      <c r="F840" s="117"/>
      <c r="G840" s="117"/>
      <c r="H840" s="117"/>
      <c r="I840"/>
      <c r="J840"/>
      <c r="K840" s="117"/>
      <c r="L840"/>
      <c r="M840" s="117"/>
      <c r="N840" s="117"/>
      <c r="O840" s="117"/>
      <c r="P840" s="117"/>
      <c r="Q840"/>
      <c r="R840" s="117"/>
      <c r="S840" s="117"/>
      <c r="T840" s="117"/>
      <c r="U840" s="117"/>
      <c r="V840" s="12"/>
      <c r="W840" s="12"/>
      <c r="X840" s="67" t="e">
        <f>+VLOOKUP(Q840,COMISIONES!$C$2:$AO$33,39,0)</f>
        <v>#N/A</v>
      </c>
      <c r="Y840" s="67" t="e">
        <f t="shared" si="13"/>
        <v>#N/A</v>
      </c>
      <c r="Z840" s="58"/>
      <c r="AA840" s="13" t="e">
        <f>+VLOOKUP(Q840,COMISIONES!$C$2:$C$33,1,0)</f>
        <v>#N/A</v>
      </c>
      <c r="AB840" s="13" t="s">
        <v>269</v>
      </c>
    </row>
    <row r="841" spans="1:28" hidden="1">
      <c r="A841" s="117"/>
      <c r="B841" s="138"/>
      <c r="C841" s="117"/>
      <c r="D841" s="117"/>
      <c r="E841" s="117"/>
      <c r="F841" s="117"/>
      <c r="G841" s="117"/>
      <c r="H841" s="117"/>
      <c r="I841"/>
      <c r="J841"/>
      <c r="K841" s="117"/>
      <c r="L841"/>
      <c r="M841" s="117"/>
      <c r="N841" s="117"/>
      <c r="O841" s="117"/>
      <c r="P841" s="117"/>
      <c r="Q841"/>
      <c r="R841" s="117"/>
      <c r="S841" s="117"/>
      <c r="T841" s="117"/>
      <c r="U841" s="117"/>
      <c r="V841" s="12"/>
      <c r="W841" s="12"/>
      <c r="X841" s="67" t="e">
        <f>+VLOOKUP(Q841,COMISIONES!$C$2:$AO$33,39,0)</f>
        <v>#N/A</v>
      </c>
      <c r="Y841" s="67" t="e">
        <f t="shared" si="13"/>
        <v>#N/A</v>
      </c>
      <c r="Z841" s="58"/>
      <c r="AA841" s="13" t="e">
        <f>+VLOOKUP(Q841,COMISIONES!$C$2:$C$33,1,0)</f>
        <v>#N/A</v>
      </c>
      <c r="AB841" s="13" t="s">
        <v>269</v>
      </c>
    </row>
    <row r="842" spans="1:28" hidden="1">
      <c r="A842" s="117"/>
      <c r="B842" s="138"/>
      <c r="C842" s="117"/>
      <c r="D842" s="117"/>
      <c r="E842" s="117"/>
      <c r="F842" s="117"/>
      <c r="G842" s="117"/>
      <c r="H842" s="117"/>
      <c r="I842"/>
      <c r="J842"/>
      <c r="K842" s="117"/>
      <c r="L842"/>
      <c r="M842" s="117"/>
      <c r="N842" s="117"/>
      <c r="O842" s="117"/>
      <c r="P842" s="117"/>
      <c r="Q842"/>
      <c r="R842" s="117"/>
      <c r="S842" s="117"/>
      <c r="T842" s="117"/>
      <c r="U842" s="117"/>
      <c r="V842" s="12"/>
      <c r="W842" s="12"/>
      <c r="X842" s="67" t="e">
        <f>+VLOOKUP(Q842,COMISIONES!$C$2:$AO$33,39,0)</f>
        <v>#N/A</v>
      </c>
      <c r="Y842" s="67" t="e">
        <f t="shared" si="13"/>
        <v>#N/A</v>
      </c>
      <c r="Z842" s="58"/>
      <c r="AA842" s="13" t="e">
        <f>+VLOOKUP(Q842,COMISIONES!$C$2:$C$33,1,0)</f>
        <v>#N/A</v>
      </c>
      <c r="AB842" s="13" t="s">
        <v>269</v>
      </c>
    </row>
    <row r="843" spans="1:28" hidden="1">
      <c r="A843" s="117"/>
      <c r="B843" s="138"/>
      <c r="C843" s="117"/>
      <c r="D843" s="117"/>
      <c r="E843" s="117"/>
      <c r="F843" s="117"/>
      <c r="G843" s="117"/>
      <c r="H843" s="117"/>
      <c r="I843"/>
      <c r="J843"/>
      <c r="K843" s="117"/>
      <c r="L843"/>
      <c r="M843" s="117"/>
      <c r="N843" s="117"/>
      <c r="O843" s="117"/>
      <c r="P843" s="117"/>
      <c r="Q843"/>
      <c r="R843" s="117"/>
      <c r="S843" s="117"/>
      <c r="T843" s="117"/>
      <c r="U843" s="117"/>
      <c r="V843" s="12"/>
      <c r="W843" s="12"/>
      <c r="X843" s="67" t="e">
        <f>+VLOOKUP(Q843,COMISIONES!$C$2:$AO$33,39,0)</f>
        <v>#N/A</v>
      </c>
      <c r="Y843" s="67" t="e">
        <f t="shared" si="13"/>
        <v>#N/A</v>
      </c>
      <c r="Z843" s="58"/>
      <c r="AA843" s="13" t="e">
        <f>+VLOOKUP(Q843,COMISIONES!$C$2:$C$33,1,0)</f>
        <v>#N/A</v>
      </c>
      <c r="AB843" s="13" t="s">
        <v>269</v>
      </c>
    </row>
    <row r="844" spans="1:28" hidden="1">
      <c r="A844" s="117"/>
      <c r="B844" s="138"/>
      <c r="C844" s="117"/>
      <c r="D844" s="117"/>
      <c r="E844" s="117"/>
      <c r="F844" s="117"/>
      <c r="G844" s="117"/>
      <c r="H844" s="117"/>
      <c r="I844"/>
      <c r="J844"/>
      <c r="K844" s="117"/>
      <c r="L844"/>
      <c r="M844" s="117"/>
      <c r="N844" s="117"/>
      <c r="O844" s="117"/>
      <c r="P844" s="117"/>
      <c r="Q844"/>
      <c r="R844" s="117"/>
      <c r="S844" s="117"/>
      <c r="T844" s="117"/>
      <c r="U844" s="117"/>
      <c r="V844" s="12"/>
      <c r="W844" s="12"/>
      <c r="X844" s="67" t="e">
        <f>+VLOOKUP(Q844,COMISIONES!$C$2:$AO$33,39,0)</f>
        <v>#N/A</v>
      </c>
      <c r="Y844" s="67" t="e">
        <f t="shared" si="13"/>
        <v>#N/A</v>
      </c>
      <c r="Z844" s="58"/>
      <c r="AA844" s="13" t="e">
        <f>+VLOOKUP(Q844,COMISIONES!$C$2:$C$33,1,0)</f>
        <v>#N/A</v>
      </c>
      <c r="AB844" s="13" t="s">
        <v>269</v>
      </c>
    </row>
    <row r="845" spans="1:28" hidden="1">
      <c r="A845" s="117"/>
      <c r="B845" s="138"/>
      <c r="C845" s="117"/>
      <c r="D845" s="117"/>
      <c r="E845" s="117"/>
      <c r="F845" s="117"/>
      <c r="G845" s="117"/>
      <c r="H845" s="117"/>
      <c r="I845"/>
      <c r="J845"/>
      <c r="K845" s="117"/>
      <c r="L845"/>
      <c r="M845" s="117"/>
      <c r="N845" s="117"/>
      <c r="O845" s="117"/>
      <c r="P845" s="117"/>
      <c r="Q845"/>
      <c r="R845" s="117"/>
      <c r="S845" s="117"/>
      <c r="T845" s="117"/>
      <c r="U845" s="117"/>
      <c r="V845" s="12"/>
      <c r="W845" s="12"/>
      <c r="X845" s="67" t="e">
        <f>+VLOOKUP(Q845,COMISIONES!$C$2:$AO$33,39,0)</f>
        <v>#N/A</v>
      </c>
      <c r="Y845" s="67" t="e">
        <f t="shared" si="13"/>
        <v>#N/A</v>
      </c>
      <c r="Z845" s="58"/>
      <c r="AA845" s="13" t="e">
        <f>+VLOOKUP(Q845,COMISIONES!$C$2:$C$33,1,0)</f>
        <v>#N/A</v>
      </c>
      <c r="AB845" s="13" t="s">
        <v>269</v>
      </c>
    </row>
    <row r="846" spans="1:28" hidden="1">
      <c r="A846" s="117"/>
      <c r="B846" s="138"/>
      <c r="C846" s="117"/>
      <c r="D846" s="117"/>
      <c r="E846" s="117"/>
      <c r="F846" s="117"/>
      <c r="G846" s="117"/>
      <c r="H846" s="117"/>
      <c r="I846"/>
      <c r="J846"/>
      <c r="K846" s="117"/>
      <c r="L846"/>
      <c r="M846" s="117"/>
      <c r="N846" s="117"/>
      <c r="O846" s="117"/>
      <c r="P846" s="117"/>
      <c r="Q846"/>
      <c r="R846" s="117"/>
      <c r="S846" s="117"/>
      <c r="T846" s="117"/>
      <c r="U846" s="117"/>
      <c r="V846" s="12"/>
      <c r="W846" s="12"/>
      <c r="X846" s="67" t="e">
        <f>+VLOOKUP(Q846,COMISIONES!$C$2:$AO$33,39,0)</f>
        <v>#N/A</v>
      </c>
      <c r="Y846" s="67" t="e">
        <f t="shared" si="13"/>
        <v>#N/A</v>
      </c>
      <c r="Z846" s="58"/>
      <c r="AA846" s="13" t="e">
        <f>+VLOOKUP(Q846,COMISIONES!$C$2:$C$33,1,0)</f>
        <v>#N/A</v>
      </c>
      <c r="AB846" s="13" t="s">
        <v>269</v>
      </c>
    </row>
    <row r="847" spans="1:28" hidden="1">
      <c r="A847" s="117"/>
      <c r="B847" s="138"/>
      <c r="C847" s="117"/>
      <c r="D847" s="117"/>
      <c r="E847" s="117"/>
      <c r="F847" s="117"/>
      <c r="G847" s="117"/>
      <c r="H847" s="117"/>
      <c r="I847"/>
      <c r="J847"/>
      <c r="K847" s="117"/>
      <c r="L847"/>
      <c r="M847" s="117"/>
      <c r="N847" s="117"/>
      <c r="O847" s="117"/>
      <c r="P847" s="117"/>
      <c r="Q847"/>
      <c r="R847" s="117"/>
      <c r="S847" s="117"/>
      <c r="T847" s="117"/>
      <c r="U847" s="117"/>
      <c r="V847" s="12"/>
      <c r="W847" s="12"/>
      <c r="X847" s="67" t="e">
        <f>+VLOOKUP(Q847,COMISIONES!$C$2:$AO$33,39,0)</f>
        <v>#N/A</v>
      </c>
      <c r="Y847" s="67" t="e">
        <f t="shared" si="13"/>
        <v>#N/A</v>
      </c>
      <c r="Z847" s="58"/>
      <c r="AA847" s="13" t="e">
        <f>+VLOOKUP(Q847,COMISIONES!$C$2:$C$33,1,0)</f>
        <v>#N/A</v>
      </c>
      <c r="AB847" s="13" t="s">
        <v>269</v>
      </c>
    </row>
    <row r="848" spans="1:28" hidden="1">
      <c r="A848" s="117"/>
      <c r="B848" s="138"/>
      <c r="C848" s="117"/>
      <c r="D848" s="117"/>
      <c r="E848" s="117"/>
      <c r="F848" s="117"/>
      <c r="G848" s="117"/>
      <c r="H848" s="117"/>
      <c r="I848"/>
      <c r="J848"/>
      <c r="K848" s="117"/>
      <c r="L848"/>
      <c r="M848" s="117"/>
      <c r="N848" s="117"/>
      <c r="O848" s="117"/>
      <c r="P848" s="117"/>
      <c r="Q848"/>
      <c r="R848" s="117"/>
      <c r="S848" s="117"/>
      <c r="T848" s="117"/>
      <c r="U848" s="117"/>
      <c r="V848" s="12"/>
      <c r="W848" s="12"/>
      <c r="X848" s="67" t="e">
        <f>+VLOOKUP(Q848,COMISIONES!$C$2:$AO$33,39,0)</f>
        <v>#N/A</v>
      </c>
      <c r="Y848" s="67" t="e">
        <f t="shared" si="13"/>
        <v>#N/A</v>
      </c>
      <c r="Z848" s="58"/>
      <c r="AA848" s="13" t="e">
        <f>+VLOOKUP(Q848,COMISIONES!$C$2:$C$33,1,0)</f>
        <v>#N/A</v>
      </c>
      <c r="AB848" s="13" t="s">
        <v>269</v>
      </c>
    </row>
    <row r="849" spans="1:28" hidden="1">
      <c r="A849" s="117"/>
      <c r="B849" s="138"/>
      <c r="C849" s="117"/>
      <c r="D849" s="117"/>
      <c r="E849" s="117"/>
      <c r="F849" s="117"/>
      <c r="G849" s="117"/>
      <c r="H849" s="117"/>
      <c r="I849"/>
      <c r="J849"/>
      <c r="K849" s="117"/>
      <c r="L849"/>
      <c r="M849" s="117"/>
      <c r="N849" s="117"/>
      <c r="O849" s="117"/>
      <c r="P849" s="117"/>
      <c r="Q849"/>
      <c r="R849" s="117"/>
      <c r="S849" s="117"/>
      <c r="T849" s="117"/>
      <c r="U849" s="117"/>
      <c r="V849" s="12"/>
      <c r="W849" s="12"/>
      <c r="X849" s="67" t="e">
        <f>+VLOOKUP(Q849,COMISIONES!$C$2:$AO$33,39,0)</f>
        <v>#N/A</v>
      </c>
      <c r="Y849" s="67" t="e">
        <f t="shared" si="13"/>
        <v>#N/A</v>
      </c>
      <c r="Z849" s="58"/>
      <c r="AA849" s="13" t="e">
        <f>+VLOOKUP(Q849,COMISIONES!$C$2:$C$33,1,0)</f>
        <v>#N/A</v>
      </c>
      <c r="AB849" s="13" t="s">
        <v>269</v>
      </c>
    </row>
    <row r="850" spans="1:28" hidden="1">
      <c r="A850" s="117"/>
      <c r="B850" s="138"/>
      <c r="C850" s="117"/>
      <c r="D850" s="117"/>
      <c r="E850" s="117"/>
      <c r="F850" s="117"/>
      <c r="G850" s="117"/>
      <c r="H850" s="117"/>
      <c r="I850"/>
      <c r="J850"/>
      <c r="K850" s="117"/>
      <c r="L850"/>
      <c r="M850" s="117"/>
      <c r="N850" s="117"/>
      <c r="O850" s="117"/>
      <c r="P850" s="117"/>
      <c r="Q850"/>
      <c r="R850" s="117"/>
      <c r="S850" s="117"/>
      <c r="T850" s="117"/>
      <c r="U850" s="117"/>
      <c r="V850" s="12"/>
      <c r="W850" s="12"/>
      <c r="X850" s="67" t="e">
        <f>+VLOOKUP(Q850,COMISIONES!$C$2:$AO$33,39,0)</f>
        <v>#N/A</v>
      </c>
      <c r="Y850" s="67" t="e">
        <f t="shared" si="13"/>
        <v>#N/A</v>
      </c>
      <c r="Z850" s="58"/>
      <c r="AA850" s="13" t="e">
        <f>+VLOOKUP(Q850,COMISIONES!$C$2:$C$33,1,0)</f>
        <v>#N/A</v>
      </c>
      <c r="AB850" s="13" t="s">
        <v>269</v>
      </c>
    </row>
    <row r="851" spans="1:28" hidden="1">
      <c r="A851" s="117"/>
      <c r="B851" s="138"/>
      <c r="C851" s="117"/>
      <c r="D851" s="117"/>
      <c r="E851" s="117"/>
      <c r="F851" s="117"/>
      <c r="G851" s="117"/>
      <c r="H851" s="117"/>
      <c r="I851"/>
      <c r="J851"/>
      <c r="K851" s="117"/>
      <c r="L851"/>
      <c r="M851" s="117"/>
      <c r="N851" s="117"/>
      <c r="O851" s="117"/>
      <c r="P851" s="117"/>
      <c r="Q851"/>
      <c r="R851" s="117"/>
      <c r="S851" s="117"/>
      <c r="T851" s="117"/>
      <c r="U851" s="117"/>
      <c r="V851" s="12"/>
      <c r="W851" s="12"/>
      <c r="X851" s="67" t="e">
        <f>+VLOOKUP(Q851,COMISIONES!$C$2:$AO$33,39,0)</f>
        <v>#N/A</v>
      </c>
      <c r="Y851" s="67" t="e">
        <f t="shared" si="13"/>
        <v>#N/A</v>
      </c>
      <c r="Z851" s="58"/>
      <c r="AA851" s="13" t="e">
        <f>+VLOOKUP(Q851,COMISIONES!$C$2:$C$33,1,0)</f>
        <v>#N/A</v>
      </c>
      <c r="AB851" s="13" t="s">
        <v>269</v>
      </c>
    </row>
    <row r="852" spans="1:28" hidden="1">
      <c r="A852" s="117"/>
      <c r="B852" s="138"/>
      <c r="C852" s="117"/>
      <c r="D852" s="117"/>
      <c r="E852" s="117"/>
      <c r="F852" s="117"/>
      <c r="G852" s="117"/>
      <c r="H852" s="117"/>
      <c r="I852"/>
      <c r="J852"/>
      <c r="K852" s="117"/>
      <c r="L852"/>
      <c r="M852" s="117"/>
      <c r="N852" s="117"/>
      <c r="O852" s="117"/>
      <c r="P852" s="117"/>
      <c r="Q852"/>
      <c r="R852" s="117"/>
      <c r="S852" s="117"/>
      <c r="T852" s="117"/>
      <c r="U852" s="117"/>
      <c r="V852" s="12"/>
      <c r="W852" s="12"/>
      <c r="X852" s="67" t="e">
        <f>+VLOOKUP(Q852,COMISIONES!$C$2:$AO$33,39,0)</f>
        <v>#N/A</v>
      </c>
      <c r="Y852" s="67" t="e">
        <f t="shared" si="13"/>
        <v>#N/A</v>
      </c>
      <c r="Z852" s="58"/>
      <c r="AA852" s="13" t="e">
        <f>+VLOOKUP(Q852,COMISIONES!$C$2:$C$33,1,0)</f>
        <v>#N/A</v>
      </c>
      <c r="AB852" s="13" t="s">
        <v>269</v>
      </c>
    </row>
    <row r="853" spans="1:28" hidden="1">
      <c r="A853" s="117"/>
      <c r="B853" s="138"/>
      <c r="C853" s="117"/>
      <c r="D853" s="117"/>
      <c r="E853" s="117"/>
      <c r="F853" s="117"/>
      <c r="G853" s="117"/>
      <c r="H853" s="117"/>
      <c r="I853"/>
      <c r="J853"/>
      <c r="K853" s="117"/>
      <c r="L853"/>
      <c r="M853" s="117"/>
      <c r="N853" s="117"/>
      <c r="O853" s="117"/>
      <c r="P853" s="117"/>
      <c r="Q853"/>
      <c r="R853" s="117"/>
      <c r="S853" s="117"/>
      <c r="T853" s="117"/>
      <c r="U853" s="117"/>
      <c r="V853" s="12"/>
      <c r="W853" s="12"/>
      <c r="X853" s="67" t="e">
        <f>+VLOOKUP(Q853,COMISIONES!$C$2:$AO$33,39,0)</f>
        <v>#N/A</v>
      </c>
      <c r="Y853" s="67" t="e">
        <f t="shared" si="13"/>
        <v>#N/A</v>
      </c>
      <c r="Z853" s="58"/>
      <c r="AA853" s="13" t="e">
        <f>+VLOOKUP(Q853,COMISIONES!$C$2:$C$33,1,0)</f>
        <v>#N/A</v>
      </c>
      <c r="AB853" s="13" t="s">
        <v>269</v>
      </c>
    </row>
    <row r="854" spans="1:28" hidden="1">
      <c r="A854" s="117"/>
      <c r="B854" s="138"/>
      <c r="C854" s="117"/>
      <c r="D854" s="117"/>
      <c r="E854" s="117"/>
      <c r="F854" s="117"/>
      <c r="G854" s="117"/>
      <c r="H854" s="117"/>
      <c r="I854"/>
      <c r="J854"/>
      <c r="K854" s="117"/>
      <c r="L854"/>
      <c r="M854" s="117"/>
      <c r="N854" s="117"/>
      <c r="O854" s="117"/>
      <c r="P854" s="117"/>
      <c r="Q854"/>
      <c r="R854" s="117"/>
      <c r="S854" s="117"/>
      <c r="T854" s="117"/>
      <c r="U854" s="117"/>
      <c r="V854" s="12"/>
      <c r="W854" s="12"/>
      <c r="X854" s="67" t="e">
        <f>+VLOOKUP(Q854,COMISIONES!$C$2:$AO$33,39,0)</f>
        <v>#N/A</v>
      </c>
      <c r="Y854" s="67" t="e">
        <f t="shared" si="13"/>
        <v>#N/A</v>
      </c>
      <c r="Z854" s="58"/>
      <c r="AA854" s="13" t="e">
        <f>+VLOOKUP(Q854,COMISIONES!$C$2:$C$33,1,0)</f>
        <v>#N/A</v>
      </c>
      <c r="AB854" s="13" t="s">
        <v>269</v>
      </c>
    </row>
    <row r="855" spans="1:28" hidden="1">
      <c r="A855" s="117"/>
      <c r="B855" s="138"/>
      <c r="C855" s="117"/>
      <c r="D855" s="117"/>
      <c r="E855" s="117"/>
      <c r="F855" s="117"/>
      <c r="G855" s="117"/>
      <c r="H855" s="117"/>
      <c r="I855"/>
      <c r="J855"/>
      <c r="K855" s="117"/>
      <c r="L855"/>
      <c r="M855" s="117"/>
      <c r="N855" s="117"/>
      <c r="O855" s="117"/>
      <c r="P855" s="117"/>
      <c r="Q855"/>
      <c r="R855" s="117"/>
      <c r="S855" s="117"/>
      <c r="T855" s="117"/>
      <c r="U855" s="117"/>
      <c r="V855" s="12"/>
      <c r="W855" s="12"/>
      <c r="X855" s="67" t="e">
        <f>+VLOOKUP(Q855,COMISIONES!$C$2:$AO$33,39,0)</f>
        <v>#N/A</v>
      </c>
      <c r="Y855" s="67" t="e">
        <f t="shared" si="13"/>
        <v>#N/A</v>
      </c>
      <c r="Z855" s="58"/>
      <c r="AA855" s="13" t="e">
        <f>+VLOOKUP(Q855,COMISIONES!$C$2:$C$33,1,0)</f>
        <v>#N/A</v>
      </c>
      <c r="AB855" s="13" t="s">
        <v>269</v>
      </c>
    </row>
    <row r="856" spans="1:28" hidden="1">
      <c r="A856" s="117"/>
      <c r="B856" s="138"/>
      <c r="C856" s="117"/>
      <c r="D856" s="117"/>
      <c r="E856" s="117"/>
      <c r="F856" s="117"/>
      <c r="G856" s="117"/>
      <c r="H856" s="117"/>
      <c r="I856"/>
      <c r="J856"/>
      <c r="K856" s="117"/>
      <c r="L856"/>
      <c r="M856" s="117"/>
      <c r="N856" s="117"/>
      <c r="O856" s="117"/>
      <c r="P856" s="117"/>
      <c r="Q856"/>
      <c r="R856" s="117"/>
      <c r="S856" s="117"/>
      <c r="T856" s="117"/>
      <c r="U856" s="117"/>
      <c r="V856" s="12"/>
      <c r="W856" s="12"/>
      <c r="X856" s="67" t="e">
        <f>+VLOOKUP(Q856,COMISIONES!$C$2:$AO$33,39,0)</f>
        <v>#N/A</v>
      </c>
      <c r="Y856" s="67" t="e">
        <f t="shared" si="13"/>
        <v>#N/A</v>
      </c>
      <c r="Z856" s="58"/>
      <c r="AA856" s="13" t="e">
        <f>+VLOOKUP(Q856,COMISIONES!$C$2:$C$33,1,0)</f>
        <v>#N/A</v>
      </c>
      <c r="AB856" s="13" t="s">
        <v>269</v>
      </c>
    </row>
    <row r="857" spans="1:28" hidden="1">
      <c r="A857" s="117"/>
      <c r="B857" s="138"/>
      <c r="C857" s="117"/>
      <c r="D857" s="117"/>
      <c r="E857" s="117"/>
      <c r="F857" s="117"/>
      <c r="G857" s="117"/>
      <c r="H857" s="117"/>
      <c r="I857"/>
      <c r="J857"/>
      <c r="K857" s="117"/>
      <c r="L857"/>
      <c r="M857" s="117"/>
      <c r="N857" s="117"/>
      <c r="O857" s="117"/>
      <c r="P857" s="117"/>
      <c r="Q857"/>
      <c r="R857" s="117"/>
      <c r="S857" s="117"/>
      <c r="T857" s="117"/>
      <c r="U857" s="117"/>
      <c r="V857" s="12"/>
      <c r="W857" s="12"/>
      <c r="X857" s="67" t="e">
        <f>+VLOOKUP(Q857,COMISIONES!$C$2:$AO$33,39,0)</f>
        <v>#N/A</v>
      </c>
      <c r="Y857" s="67" t="e">
        <f t="shared" si="13"/>
        <v>#N/A</v>
      </c>
      <c r="Z857" s="58"/>
      <c r="AA857" s="13" t="e">
        <f>+VLOOKUP(Q857,COMISIONES!$C$2:$C$33,1,0)</f>
        <v>#N/A</v>
      </c>
      <c r="AB857" s="13" t="s">
        <v>269</v>
      </c>
    </row>
    <row r="858" spans="1:28" hidden="1">
      <c r="A858" s="117"/>
      <c r="B858" s="138"/>
      <c r="C858" s="117"/>
      <c r="D858" s="117"/>
      <c r="E858" s="117"/>
      <c r="F858" s="117"/>
      <c r="G858" s="117"/>
      <c r="H858" s="117"/>
      <c r="I858"/>
      <c r="J858"/>
      <c r="K858" s="117"/>
      <c r="L858"/>
      <c r="M858" s="117"/>
      <c r="N858" s="117"/>
      <c r="O858" s="117"/>
      <c r="P858" s="117"/>
      <c r="Q858"/>
      <c r="R858" s="117"/>
      <c r="S858" s="117"/>
      <c r="T858" s="117"/>
      <c r="U858" s="117"/>
      <c r="V858" s="12"/>
      <c r="W858" s="12"/>
      <c r="X858" s="67" t="e">
        <f>+VLOOKUP(Q858,COMISIONES!$C$2:$AO$33,39,0)</f>
        <v>#N/A</v>
      </c>
      <c r="Y858" s="67" t="e">
        <f t="shared" si="13"/>
        <v>#N/A</v>
      </c>
      <c r="Z858" s="58"/>
      <c r="AA858" s="13" t="e">
        <f>+VLOOKUP(Q858,COMISIONES!$C$2:$C$33,1,0)</f>
        <v>#N/A</v>
      </c>
      <c r="AB858" s="13" t="s">
        <v>269</v>
      </c>
    </row>
    <row r="859" spans="1:28" hidden="1">
      <c r="A859" s="117"/>
      <c r="B859" s="138"/>
      <c r="C859" s="117"/>
      <c r="D859" s="117"/>
      <c r="E859" s="117"/>
      <c r="F859" s="117"/>
      <c r="G859" s="117"/>
      <c r="H859" s="117"/>
      <c r="I859"/>
      <c r="J859"/>
      <c r="K859" s="117"/>
      <c r="L859"/>
      <c r="M859" s="117"/>
      <c r="N859" s="117"/>
      <c r="O859" s="117"/>
      <c r="P859" s="117"/>
      <c r="Q859"/>
      <c r="R859" s="117"/>
      <c r="S859" s="117"/>
      <c r="T859" s="117"/>
      <c r="U859" s="117"/>
      <c r="V859" s="12"/>
      <c r="W859" s="12"/>
      <c r="X859" s="67" t="e">
        <f>+VLOOKUP(Q859,COMISIONES!$C$2:$AO$33,39,0)</f>
        <v>#N/A</v>
      </c>
      <c r="Y859" s="67" t="e">
        <f t="shared" si="13"/>
        <v>#N/A</v>
      </c>
      <c r="Z859" s="58"/>
      <c r="AA859" s="13" t="e">
        <f>+VLOOKUP(Q859,COMISIONES!$C$2:$C$33,1,0)</f>
        <v>#N/A</v>
      </c>
      <c r="AB859" s="13" t="s">
        <v>269</v>
      </c>
    </row>
    <row r="860" spans="1:28" hidden="1">
      <c r="A860" s="117"/>
      <c r="B860" s="138"/>
      <c r="C860" s="117"/>
      <c r="D860" s="117"/>
      <c r="E860" s="117"/>
      <c r="F860" s="117"/>
      <c r="G860" s="117"/>
      <c r="H860" s="117"/>
      <c r="I860"/>
      <c r="J860"/>
      <c r="K860" s="117"/>
      <c r="L860"/>
      <c r="M860" s="117"/>
      <c r="N860" s="117"/>
      <c r="O860" s="117"/>
      <c r="P860" s="117"/>
      <c r="Q860"/>
      <c r="R860" s="117"/>
      <c r="S860" s="117"/>
      <c r="T860" s="117"/>
      <c r="U860" s="117"/>
      <c r="V860" s="12"/>
      <c r="W860" s="12"/>
      <c r="X860" s="67" t="e">
        <f>+VLOOKUP(Q860,COMISIONES!$C$2:$AO$33,39,0)</f>
        <v>#N/A</v>
      </c>
      <c r="Y860" s="67" t="e">
        <f t="shared" si="13"/>
        <v>#N/A</v>
      </c>
      <c r="Z860" s="58"/>
      <c r="AA860" s="13" t="e">
        <f>+VLOOKUP(Q860,COMISIONES!$C$2:$C$33,1,0)</f>
        <v>#N/A</v>
      </c>
      <c r="AB860" s="13" t="s">
        <v>269</v>
      </c>
    </row>
    <row r="861" spans="1:28" hidden="1">
      <c r="A861" s="117"/>
      <c r="B861" s="138"/>
      <c r="C861" s="117"/>
      <c r="D861" s="117"/>
      <c r="E861" s="117"/>
      <c r="F861" s="117"/>
      <c r="G861" s="117"/>
      <c r="H861" s="117"/>
      <c r="I861"/>
      <c r="J861"/>
      <c r="K861" s="117"/>
      <c r="L861"/>
      <c r="M861" s="117"/>
      <c r="N861" s="117"/>
      <c r="O861" s="117"/>
      <c r="P861" s="117"/>
      <c r="Q861"/>
      <c r="R861" s="117"/>
      <c r="S861" s="117"/>
      <c r="T861" s="117"/>
      <c r="U861" s="117"/>
      <c r="V861" s="12"/>
      <c r="W861" s="12"/>
      <c r="X861" s="67" t="e">
        <f>+VLOOKUP(Q861,COMISIONES!$C$2:$AO$33,39,0)</f>
        <v>#N/A</v>
      </c>
      <c r="Y861" s="67" t="e">
        <f t="shared" si="13"/>
        <v>#N/A</v>
      </c>
      <c r="Z861" s="58"/>
      <c r="AA861" s="13" t="e">
        <f>+VLOOKUP(Q861,COMISIONES!$C$2:$C$33,1,0)</f>
        <v>#N/A</v>
      </c>
      <c r="AB861" s="13" t="s">
        <v>269</v>
      </c>
    </row>
    <row r="862" spans="1:28" hidden="1">
      <c r="A862" s="117"/>
      <c r="B862" s="138"/>
      <c r="C862" s="117"/>
      <c r="D862" s="117"/>
      <c r="E862" s="117"/>
      <c r="F862" s="117"/>
      <c r="G862" s="117"/>
      <c r="H862" s="117"/>
      <c r="I862"/>
      <c r="J862"/>
      <c r="K862" s="117"/>
      <c r="L862"/>
      <c r="M862" s="117"/>
      <c r="N862" s="117"/>
      <c r="O862" s="117"/>
      <c r="P862" s="117"/>
      <c r="Q862"/>
      <c r="R862" s="117"/>
      <c r="S862" s="117"/>
      <c r="T862" s="117"/>
      <c r="U862" s="117"/>
      <c r="V862" s="12"/>
      <c r="W862" s="12"/>
      <c r="X862" s="67" t="e">
        <f>+VLOOKUP(Q862,COMISIONES!$C$2:$AO$33,39,0)</f>
        <v>#N/A</v>
      </c>
      <c r="Y862" s="67" t="e">
        <f t="shared" si="13"/>
        <v>#N/A</v>
      </c>
      <c r="Z862" s="58"/>
      <c r="AA862" s="13" t="e">
        <f>+VLOOKUP(Q862,COMISIONES!$C$2:$C$33,1,0)</f>
        <v>#N/A</v>
      </c>
      <c r="AB862" s="13" t="s">
        <v>269</v>
      </c>
    </row>
    <row r="863" spans="1:28" hidden="1">
      <c r="A863" s="117"/>
      <c r="B863" s="138"/>
      <c r="C863" s="117"/>
      <c r="D863" s="117"/>
      <c r="E863" s="117"/>
      <c r="F863" s="117"/>
      <c r="G863" s="117"/>
      <c r="H863" s="117"/>
      <c r="I863"/>
      <c r="J863"/>
      <c r="K863" s="117"/>
      <c r="L863"/>
      <c r="M863" s="117"/>
      <c r="N863" s="117"/>
      <c r="O863" s="117"/>
      <c r="P863" s="117"/>
      <c r="Q863"/>
      <c r="R863" s="117"/>
      <c r="S863" s="117"/>
      <c r="T863" s="117"/>
      <c r="U863" s="117"/>
      <c r="V863" s="12"/>
      <c r="W863" s="12"/>
      <c r="X863" s="67" t="e">
        <f>+VLOOKUP(Q863,COMISIONES!$C$2:$AO$33,39,0)</f>
        <v>#N/A</v>
      </c>
      <c r="Y863" s="67" t="e">
        <f t="shared" si="13"/>
        <v>#N/A</v>
      </c>
      <c r="Z863" s="58"/>
      <c r="AA863" s="13" t="e">
        <f>+VLOOKUP(Q863,COMISIONES!$C$2:$C$33,1,0)</f>
        <v>#N/A</v>
      </c>
      <c r="AB863" s="13" t="s">
        <v>269</v>
      </c>
    </row>
    <row r="864" spans="1:28" hidden="1">
      <c r="A864" s="117"/>
      <c r="B864" s="138"/>
      <c r="C864" s="117"/>
      <c r="D864" s="117"/>
      <c r="E864" s="117"/>
      <c r="F864" s="117"/>
      <c r="G864" s="117"/>
      <c r="H864" s="117"/>
      <c r="I864"/>
      <c r="J864"/>
      <c r="K864" s="117"/>
      <c r="L864"/>
      <c r="M864" s="117"/>
      <c r="N864" s="117"/>
      <c r="O864" s="117"/>
      <c r="P864" s="117"/>
      <c r="Q864"/>
      <c r="R864" s="117"/>
      <c r="S864" s="117"/>
      <c r="T864" s="117"/>
      <c r="U864" s="117"/>
      <c r="V864" s="12"/>
      <c r="W864" s="12"/>
      <c r="X864" s="67" t="e">
        <f>+VLOOKUP(Q864,COMISIONES!$C$2:$AO$33,39,0)</f>
        <v>#N/A</v>
      </c>
      <c r="Y864" s="67" t="e">
        <f t="shared" si="13"/>
        <v>#N/A</v>
      </c>
      <c r="Z864" s="58"/>
      <c r="AA864" s="13" t="e">
        <f>+VLOOKUP(Q864,COMISIONES!$C$2:$C$33,1,0)</f>
        <v>#N/A</v>
      </c>
      <c r="AB864" s="13" t="s">
        <v>269</v>
      </c>
    </row>
    <row r="865" spans="1:28" hidden="1">
      <c r="A865" s="117"/>
      <c r="B865" s="138"/>
      <c r="C865" s="117"/>
      <c r="D865" s="117"/>
      <c r="E865" s="117"/>
      <c r="F865" s="117"/>
      <c r="G865" s="117"/>
      <c r="H865" s="117"/>
      <c r="I865"/>
      <c r="J865"/>
      <c r="K865" s="117"/>
      <c r="L865"/>
      <c r="M865" s="117"/>
      <c r="N865" s="117"/>
      <c r="O865" s="117"/>
      <c r="P865" s="117"/>
      <c r="Q865"/>
      <c r="R865" s="117"/>
      <c r="S865" s="117"/>
      <c r="T865" s="117"/>
      <c r="U865" s="117"/>
      <c r="V865" s="12"/>
      <c r="W865" s="12"/>
      <c r="X865" s="67" t="e">
        <f>+VLOOKUP(Q865,COMISIONES!$C$2:$AO$33,39,0)</f>
        <v>#N/A</v>
      </c>
      <c r="Y865" s="67" t="e">
        <f t="shared" si="13"/>
        <v>#N/A</v>
      </c>
      <c r="Z865" s="58"/>
      <c r="AA865" s="13" t="e">
        <f>+VLOOKUP(Q865,COMISIONES!$C$2:$C$33,1,0)</f>
        <v>#N/A</v>
      </c>
      <c r="AB865" s="13" t="s">
        <v>269</v>
      </c>
    </row>
    <row r="866" spans="1:28" hidden="1">
      <c r="A866" s="117"/>
      <c r="B866" s="138"/>
      <c r="C866" s="117"/>
      <c r="D866" s="117"/>
      <c r="E866" s="117"/>
      <c r="F866" s="117"/>
      <c r="G866" s="117"/>
      <c r="H866" s="117"/>
      <c r="I866"/>
      <c r="J866"/>
      <c r="K866" s="117"/>
      <c r="L866"/>
      <c r="M866" s="117"/>
      <c r="N866" s="117"/>
      <c r="O866" s="117"/>
      <c r="P866" s="117"/>
      <c r="Q866"/>
      <c r="R866" s="117"/>
      <c r="S866" s="117"/>
      <c r="T866" s="117"/>
      <c r="U866" s="117"/>
      <c r="V866" s="12"/>
      <c r="W866" s="12"/>
      <c r="X866" s="67" t="e">
        <f>+VLOOKUP(Q866,COMISIONES!$C$2:$AO$33,39,0)</f>
        <v>#N/A</v>
      </c>
      <c r="Y866" s="67" t="e">
        <f t="shared" si="13"/>
        <v>#N/A</v>
      </c>
      <c r="Z866" s="58"/>
      <c r="AA866" s="13" t="e">
        <f>+VLOOKUP(Q866,COMISIONES!$C$2:$C$33,1,0)</f>
        <v>#N/A</v>
      </c>
      <c r="AB866" s="13" t="s">
        <v>269</v>
      </c>
    </row>
    <row r="867" spans="1:28" hidden="1">
      <c r="A867" s="117"/>
      <c r="B867" s="138"/>
      <c r="C867" s="117"/>
      <c r="D867" s="117"/>
      <c r="E867" s="117"/>
      <c r="F867" s="117"/>
      <c r="G867" s="117"/>
      <c r="H867" s="117"/>
      <c r="I867"/>
      <c r="J867"/>
      <c r="K867" s="117"/>
      <c r="L867"/>
      <c r="M867" s="117"/>
      <c r="N867" s="117"/>
      <c r="O867" s="117"/>
      <c r="P867" s="117"/>
      <c r="Q867"/>
      <c r="R867" s="117"/>
      <c r="S867" s="117"/>
      <c r="T867" s="117"/>
      <c r="U867" s="117"/>
      <c r="V867" s="12"/>
      <c r="W867" s="12"/>
      <c r="X867" s="67" t="e">
        <f>+VLOOKUP(Q867,COMISIONES!$C$2:$AO$33,39,0)</f>
        <v>#N/A</v>
      </c>
      <c r="Y867" s="67" t="e">
        <f t="shared" si="13"/>
        <v>#N/A</v>
      </c>
      <c r="Z867" s="58"/>
      <c r="AA867" s="13" t="e">
        <f>+VLOOKUP(Q867,COMISIONES!$C$2:$C$33,1,0)</f>
        <v>#N/A</v>
      </c>
      <c r="AB867" s="13" t="s">
        <v>269</v>
      </c>
    </row>
    <row r="868" spans="1:28" hidden="1">
      <c r="A868" s="117"/>
      <c r="B868" s="138"/>
      <c r="C868" s="117"/>
      <c r="D868" s="117"/>
      <c r="E868" s="117"/>
      <c r="F868" s="117"/>
      <c r="G868" s="117"/>
      <c r="H868" s="117"/>
      <c r="I868"/>
      <c r="J868"/>
      <c r="K868" s="117"/>
      <c r="L868"/>
      <c r="M868" s="117"/>
      <c r="N868" s="117"/>
      <c r="O868" s="117"/>
      <c r="P868" s="117"/>
      <c r="Q868"/>
      <c r="R868" s="117"/>
      <c r="S868" s="117"/>
      <c r="T868" s="117"/>
      <c r="U868" s="117"/>
      <c r="V868" s="12"/>
      <c r="W868" s="12"/>
      <c r="X868" s="67" t="e">
        <f>+VLOOKUP(Q868,COMISIONES!$C$2:$AO$33,39,0)</f>
        <v>#N/A</v>
      </c>
      <c r="Y868" s="67" t="e">
        <f t="shared" si="13"/>
        <v>#N/A</v>
      </c>
      <c r="Z868" s="58"/>
      <c r="AA868" s="13" t="e">
        <f>+VLOOKUP(Q868,COMISIONES!$C$2:$C$33,1,0)</f>
        <v>#N/A</v>
      </c>
      <c r="AB868" s="13" t="s">
        <v>269</v>
      </c>
    </row>
    <row r="869" spans="1:28" hidden="1">
      <c r="A869" s="117"/>
      <c r="B869" s="138"/>
      <c r="C869" s="117"/>
      <c r="D869" s="117"/>
      <c r="E869" s="117"/>
      <c r="F869" s="117"/>
      <c r="G869" s="117"/>
      <c r="H869" s="117"/>
      <c r="I869"/>
      <c r="J869"/>
      <c r="K869" s="117"/>
      <c r="L869"/>
      <c r="M869" s="117"/>
      <c r="N869" s="117"/>
      <c r="O869" s="117"/>
      <c r="P869" s="117"/>
      <c r="Q869"/>
      <c r="R869" s="117"/>
      <c r="S869" s="117"/>
      <c r="T869" s="117"/>
      <c r="U869" s="117"/>
      <c r="V869" s="12"/>
      <c r="W869" s="12"/>
      <c r="X869" s="67" t="e">
        <f>+VLOOKUP(Q869,COMISIONES!$C$2:$AO$33,39,0)</f>
        <v>#N/A</v>
      </c>
      <c r="Y869" s="67" t="e">
        <f t="shared" si="13"/>
        <v>#N/A</v>
      </c>
      <c r="Z869" s="58"/>
      <c r="AA869" s="13" t="e">
        <f>+VLOOKUP(Q869,COMISIONES!$C$2:$C$33,1,0)</f>
        <v>#N/A</v>
      </c>
      <c r="AB869" s="13" t="s">
        <v>269</v>
      </c>
    </row>
    <row r="870" spans="1:28" hidden="1">
      <c r="A870" s="117"/>
      <c r="B870" s="138"/>
      <c r="C870" s="117"/>
      <c r="D870" s="117"/>
      <c r="E870" s="117"/>
      <c r="F870" s="117"/>
      <c r="G870" s="117"/>
      <c r="H870" s="117"/>
      <c r="I870"/>
      <c r="J870"/>
      <c r="K870" s="117"/>
      <c r="L870"/>
      <c r="M870" s="117"/>
      <c r="N870" s="117"/>
      <c r="O870" s="117"/>
      <c r="P870" s="117"/>
      <c r="Q870"/>
      <c r="R870" s="117"/>
      <c r="S870" s="117"/>
      <c r="T870" s="117"/>
      <c r="U870" s="117"/>
      <c r="V870" s="12"/>
      <c r="W870" s="12"/>
      <c r="X870" s="67" t="e">
        <f>+VLOOKUP(Q870,COMISIONES!$C$2:$AO$33,39,0)</f>
        <v>#N/A</v>
      </c>
      <c r="Y870" s="67" t="e">
        <f t="shared" si="13"/>
        <v>#N/A</v>
      </c>
      <c r="Z870" s="58"/>
      <c r="AA870" s="13" t="e">
        <f>+VLOOKUP(Q870,COMISIONES!$C$2:$C$33,1,0)</f>
        <v>#N/A</v>
      </c>
      <c r="AB870" s="13" t="s">
        <v>269</v>
      </c>
    </row>
    <row r="871" spans="1:28" hidden="1">
      <c r="A871" s="117"/>
      <c r="B871" s="138"/>
      <c r="C871" s="117"/>
      <c r="D871" s="117"/>
      <c r="E871" s="117"/>
      <c r="F871" s="117"/>
      <c r="G871" s="117"/>
      <c r="H871" s="117"/>
      <c r="I871"/>
      <c r="J871"/>
      <c r="K871" s="117"/>
      <c r="L871"/>
      <c r="M871" s="117"/>
      <c r="N871" s="117"/>
      <c r="O871" s="117"/>
      <c r="P871" s="117"/>
      <c r="Q871"/>
      <c r="R871" s="117"/>
      <c r="S871" s="117"/>
      <c r="T871" s="117"/>
      <c r="U871" s="117"/>
      <c r="V871" s="12"/>
      <c r="W871" s="12"/>
      <c r="X871" s="67" t="e">
        <f>+VLOOKUP(Q871,COMISIONES!$C$2:$AO$33,39,0)</f>
        <v>#N/A</v>
      </c>
      <c r="Y871" s="67" t="e">
        <f t="shared" si="13"/>
        <v>#N/A</v>
      </c>
      <c r="Z871" s="58"/>
      <c r="AA871" s="13" t="e">
        <f>+VLOOKUP(Q871,COMISIONES!$C$2:$C$33,1,0)</f>
        <v>#N/A</v>
      </c>
      <c r="AB871" s="13" t="s">
        <v>269</v>
      </c>
    </row>
    <row r="872" spans="1:28" hidden="1">
      <c r="A872" s="117"/>
      <c r="B872" s="138"/>
      <c r="C872" s="117"/>
      <c r="D872" s="117"/>
      <c r="E872" s="117"/>
      <c r="F872" s="117"/>
      <c r="G872" s="117"/>
      <c r="H872" s="117"/>
      <c r="I872"/>
      <c r="J872"/>
      <c r="K872" s="117"/>
      <c r="L872"/>
      <c r="M872" s="117"/>
      <c r="N872" s="117"/>
      <c r="O872" s="117"/>
      <c r="P872" s="117"/>
      <c r="Q872"/>
      <c r="R872" s="117"/>
      <c r="S872" s="117"/>
      <c r="T872" s="117"/>
      <c r="U872" s="117"/>
      <c r="V872" s="12"/>
      <c r="W872" s="12"/>
      <c r="X872" s="67" t="e">
        <f>+VLOOKUP(Q872,COMISIONES!$C$2:$AO$33,39,0)</f>
        <v>#N/A</v>
      </c>
      <c r="Y872" s="67" t="e">
        <f t="shared" si="13"/>
        <v>#N/A</v>
      </c>
      <c r="Z872" s="58"/>
      <c r="AA872" s="13" t="e">
        <f>+VLOOKUP(Q872,COMISIONES!$C$2:$C$33,1,0)</f>
        <v>#N/A</v>
      </c>
      <c r="AB872" s="13" t="s">
        <v>269</v>
      </c>
    </row>
    <row r="873" spans="1:28" hidden="1">
      <c r="A873" s="117"/>
      <c r="B873" s="138"/>
      <c r="C873" s="117"/>
      <c r="D873" s="117"/>
      <c r="E873" s="117"/>
      <c r="F873" s="117"/>
      <c r="G873" s="117"/>
      <c r="H873" s="117"/>
      <c r="I873"/>
      <c r="J873"/>
      <c r="K873" s="117"/>
      <c r="L873"/>
      <c r="M873" s="117"/>
      <c r="N873" s="117"/>
      <c r="O873" s="117"/>
      <c r="P873" s="117"/>
      <c r="Q873"/>
      <c r="R873" s="117"/>
      <c r="S873" s="117"/>
      <c r="T873" s="117"/>
      <c r="U873" s="117"/>
      <c r="V873" s="12"/>
      <c r="W873" s="12"/>
      <c r="X873" s="67" t="e">
        <f>+VLOOKUP(Q873,COMISIONES!$C$2:$AO$33,39,0)</f>
        <v>#N/A</v>
      </c>
      <c r="Y873" s="67" t="e">
        <f t="shared" si="13"/>
        <v>#N/A</v>
      </c>
      <c r="Z873" s="58"/>
      <c r="AA873" s="13" t="e">
        <f>+VLOOKUP(Q873,COMISIONES!$C$2:$C$33,1,0)</f>
        <v>#N/A</v>
      </c>
      <c r="AB873" s="13" t="s">
        <v>269</v>
      </c>
    </row>
    <row r="874" spans="1:28" hidden="1">
      <c r="A874" s="117"/>
      <c r="B874" s="138"/>
      <c r="C874" s="117"/>
      <c r="D874" s="117"/>
      <c r="E874" s="117"/>
      <c r="F874" s="117"/>
      <c r="G874" s="117"/>
      <c r="H874" s="117"/>
      <c r="I874"/>
      <c r="J874"/>
      <c r="K874" s="117"/>
      <c r="L874"/>
      <c r="M874" s="117"/>
      <c r="N874" s="117"/>
      <c r="O874" s="117"/>
      <c r="P874" s="117"/>
      <c r="Q874"/>
      <c r="R874" s="117"/>
      <c r="S874" s="117"/>
      <c r="T874" s="117"/>
      <c r="U874" s="117"/>
      <c r="V874" s="12"/>
      <c r="W874" s="12"/>
      <c r="X874" s="67" t="e">
        <f>+VLOOKUP(Q874,COMISIONES!$C$2:$AO$33,39,0)</f>
        <v>#N/A</v>
      </c>
      <c r="Y874" s="67" t="e">
        <f t="shared" si="13"/>
        <v>#N/A</v>
      </c>
      <c r="Z874" s="195"/>
      <c r="AA874" s="13" t="e">
        <f>+VLOOKUP(Q874,COMISIONES!$C$2:$C$33,1,0)</f>
        <v>#N/A</v>
      </c>
      <c r="AB874" s="13" t="s">
        <v>269</v>
      </c>
    </row>
    <row r="875" spans="1:28" hidden="1">
      <c r="A875" s="117"/>
      <c r="B875" s="138"/>
      <c r="C875" s="117"/>
      <c r="D875" s="117"/>
      <c r="E875" s="117"/>
      <c r="F875" s="117"/>
      <c r="G875" s="117"/>
      <c r="H875" s="117"/>
      <c r="I875"/>
      <c r="J875"/>
      <c r="K875" s="117"/>
      <c r="L875"/>
      <c r="M875" s="117"/>
      <c r="N875" s="117"/>
      <c r="O875" s="117"/>
      <c r="P875" s="117"/>
      <c r="Q875"/>
      <c r="R875" s="117"/>
      <c r="S875" s="117"/>
      <c r="T875" s="117"/>
      <c r="U875" s="117"/>
      <c r="V875" s="12"/>
      <c r="W875" s="12"/>
      <c r="X875" s="67" t="e">
        <f>+VLOOKUP(Q875,COMISIONES!$C$2:$AO$33,39,0)</f>
        <v>#N/A</v>
      </c>
      <c r="Y875" s="67" t="e">
        <f t="shared" ref="Y875:Y938" si="14">X875*W875</f>
        <v>#N/A</v>
      </c>
      <c r="Z875" s="195"/>
      <c r="AA875" s="13" t="e">
        <f>+VLOOKUP(Q875,COMISIONES!$C$2:$C$33,1,0)</f>
        <v>#N/A</v>
      </c>
      <c r="AB875" s="13" t="s">
        <v>269</v>
      </c>
    </row>
    <row r="876" spans="1:28" hidden="1">
      <c r="A876" s="117"/>
      <c r="B876" s="138"/>
      <c r="C876" s="117"/>
      <c r="D876" s="117"/>
      <c r="E876" s="117"/>
      <c r="F876" s="117"/>
      <c r="G876" s="117"/>
      <c r="H876" s="117"/>
      <c r="I876"/>
      <c r="J876"/>
      <c r="K876" s="117"/>
      <c r="L876"/>
      <c r="M876" s="117"/>
      <c r="N876" s="117"/>
      <c r="O876" s="117"/>
      <c r="P876" s="117"/>
      <c r="Q876"/>
      <c r="R876" s="117"/>
      <c r="S876" s="117"/>
      <c r="T876" s="117"/>
      <c r="U876" s="117"/>
      <c r="V876" s="12"/>
      <c r="W876" s="12"/>
      <c r="X876" s="67" t="e">
        <f>+VLOOKUP(Q876,COMISIONES!$C$2:$AO$33,39,0)</f>
        <v>#N/A</v>
      </c>
      <c r="Y876" s="67" t="e">
        <f t="shared" si="14"/>
        <v>#N/A</v>
      </c>
      <c r="Z876" s="195"/>
      <c r="AA876" s="13" t="e">
        <f>+VLOOKUP(Q876,COMISIONES!$C$2:$C$33,1,0)</f>
        <v>#N/A</v>
      </c>
      <c r="AB876" s="13" t="s">
        <v>269</v>
      </c>
    </row>
    <row r="877" spans="1:28" hidden="1">
      <c r="A877" s="117"/>
      <c r="B877" s="138"/>
      <c r="C877" s="117"/>
      <c r="D877" s="117"/>
      <c r="E877" s="117"/>
      <c r="F877" s="117"/>
      <c r="G877" s="117"/>
      <c r="H877" s="117"/>
      <c r="I877"/>
      <c r="J877"/>
      <c r="K877" s="117"/>
      <c r="L877"/>
      <c r="M877" s="117"/>
      <c r="N877" s="117"/>
      <c r="O877" s="117"/>
      <c r="P877" s="117"/>
      <c r="Q877"/>
      <c r="R877" s="117"/>
      <c r="S877" s="117"/>
      <c r="T877" s="117"/>
      <c r="U877" s="117"/>
      <c r="V877" s="12"/>
      <c r="W877" s="12"/>
      <c r="X877" s="67" t="e">
        <f>+VLOOKUP(Q877,COMISIONES!$C$2:$AO$33,39,0)</f>
        <v>#N/A</v>
      </c>
      <c r="Y877" s="67" t="e">
        <f t="shared" si="14"/>
        <v>#N/A</v>
      </c>
      <c r="Z877" s="195"/>
      <c r="AA877" s="13" t="e">
        <f>+VLOOKUP(Q877,COMISIONES!$C$2:$C$33,1,0)</f>
        <v>#N/A</v>
      </c>
      <c r="AB877" s="13" t="s">
        <v>269</v>
      </c>
    </row>
    <row r="878" spans="1:28" hidden="1">
      <c r="A878" s="117"/>
      <c r="B878" s="138"/>
      <c r="C878" s="117"/>
      <c r="D878" s="117"/>
      <c r="E878" s="117"/>
      <c r="F878" s="117"/>
      <c r="G878" s="117"/>
      <c r="H878" s="117"/>
      <c r="I878"/>
      <c r="J878"/>
      <c r="K878" s="117"/>
      <c r="L878"/>
      <c r="M878" s="117"/>
      <c r="N878" s="117"/>
      <c r="O878" s="117"/>
      <c r="P878" s="117"/>
      <c r="Q878"/>
      <c r="R878" s="117"/>
      <c r="S878" s="117"/>
      <c r="T878" s="117"/>
      <c r="U878" s="117"/>
      <c r="V878" s="12"/>
      <c r="W878" s="12"/>
      <c r="X878" s="67" t="e">
        <f>+VLOOKUP(Q878,COMISIONES!$C$2:$AO$33,39,0)</f>
        <v>#N/A</v>
      </c>
      <c r="Y878" s="67" t="e">
        <f t="shared" si="14"/>
        <v>#N/A</v>
      </c>
      <c r="Z878" s="195"/>
      <c r="AA878" s="13" t="e">
        <f>+VLOOKUP(Q878,COMISIONES!$C$2:$C$33,1,0)</f>
        <v>#N/A</v>
      </c>
      <c r="AB878" s="13" t="s">
        <v>269</v>
      </c>
    </row>
    <row r="879" spans="1:28" hidden="1">
      <c r="A879" s="117"/>
      <c r="B879" s="138"/>
      <c r="C879" s="117"/>
      <c r="D879" s="117"/>
      <c r="E879" s="117"/>
      <c r="F879" s="117"/>
      <c r="G879" s="117"/>
      <c r="H879" s="117"/>
      <c r="I879"/>
      <c r="J879"/>
      <c r="K879" s="117"/>
      <c r="L879"/>
      <c r="M879" s="117"/>
      <c r="N879" s="117"/>
      <c r="O879" s="117"/>
      <c r="P879" s="117"/>
      <c r="Q879"/>
      <c r="R879" s="117"/>
      <c r="S879" s="117"/>
      <c r="T879" s="117"/>
      <c r="U879" s="117"/>
      <c r="V879" s="12"/>
      <c r="W879" s="12"/>
      <c r="X879" s="67" t="e">
        <f>+VLOOKUP(Q879,COMISIONES!$C$2:$AO$33,39,0)</f>
        <v>#N/A</v>
      </c>
      <c r="Y879" s="67" t="e">
        <f t="shared" si="14"/>
        <v>#N/A</v>
      </c>
      <c r="Z879" s="195"/>
      <c r="AA879" s="13" t="e">
        <f>+VLOOKUP(Q879,COMISIONES!$C$2:$C$33,1,0)</f>
        <v>#N/A</v>
      </c>
      <c r="AB879" s="13" t="s">
        <v>269</v>
      </c>
    </row>
    <row r="880" spans="1:28" hidden="1">
      <c r="A880" s="117"/>
      <c r="B880" s="138"/>
      <c r="C880" s="117"/>
      <c r="D880" s="117"/>
      <c r="E880" s="117"/>
      <c r="F880" s="117"/>
      <c r="G880" s="117"/>
      <c r="H880" s="117"/>
      <c r="I880"/>
      <c r="J880"/>
      <c r="K880" s="117"/>
      <c r="L880"/>
      <c r="M880" s="117"/>
      <c r="N880" s="117"/>
      <c r="O880" s="117"/>
      <c r="P880" s="117"/>
      <c r="Q880"/>
      <c r="R880" s="117"/>
      <c r="S880" s="117"/>
      <c r="T880" s="117"/>
      <c r="U880" s="117"/>
      <c r="V880" s="12"/>
      <c r="W880" s="12"/>
      <c r="X880" s="67" t="e">
        <f>+VLOOKUP(Q880,COMISIONES!$C$2:$AO$33,39,0)</f>
        <v>#N/A</v>
      </c>
      <c r="Y880" s="67" t="e">
        <f t="shared" si="14"/>
        <v>#N/A</v>
      </c>
      <c r="Z880" s="195"/>
      <c r="AA880" s="13" t="e">
        <f>+VLOOKUP(Q880,COMISIONES!$C$2:$C$33,1,0)</f>
        <v>#N/A</v>
      </c>
      <c r="AB880" s="13" t="s">
        <v>269</v>
      </c>
    </row>
    <row r="881" spans="1:28" hidden="1">
      <c r="A881" s="117"/>
      <c r="B881" s="138"/>
      <c r="C881" s="117"/>
      <c r="D881" s="117"/>
      <c r="E881" s="117"/>
      <c r="F881" s="117"/>
      <c r="G881" s="117"/>
      <c r="H881" s="117"/>
      <c r="I881"/>
      <c r="J881"/>
      <c r="K881" s="117"/>
      <c r="L881"/>
      <c r="M881" s="117"/>
      <c r="N881" s="117"/>
      <c r="O881" s="117"/>
      <c r="P881" s="117"/>
      <c r="Q881"/>
      <c r="R881" s="117"/>
      <c r="S881" s="117"/>
      <c r="T881" s="117"/>
      <c r="U881" s="117"/>
      <c r="V881" s="12"/>
      <c r="W881" s="12"/>
      <c r="X881" s="67" t="e">
        <f>+VLOOKUP(Q881,COMISIONES!$C$2:$AO$33,39,0)</f>
        <v>#N/A</v>
      </c>
      <c r="Y881" s="67" t="e">
        <f t="shared" si="14"/>
        <v>#N/A</v>
      </c>
      <c r="Z881" s="195"/>
      <c r="AA881" s="13" t="e">
        <f>+VLOOKUP(Q881,COMISIONES!$C$2:$C$33,1,0)</f>
        <v>#N/A</v>
      </c>
      <c r="AB881" s="13" t="s">
        <v>269</v>
      </c>
    </row>
    <row r="882" spans="1:28" hidden="1">
      <c r="A882" s="117"/>
      <c r="B882" s="138"/>
      <c r="C882" s="117"/>
      <c r="D882" s="117"/>
      <c r="E882" s="117"/>
      <c r="F882" s="117"/>
      <c r="G882" s="117"/>
      <c r="H882" s="117"/>
      <c r="I882"/>
      <c r="J882"/>
      <c r="K882" s="117"/>
      <c r="L882"/>
      <c r="M882" s="117"/>
      <c r="N882" s="117"/>
      <c r="O882" s="117"/>
      <c r="P882" s="117"/>
      <c r="Q882"/>
      <c r="R882" s="117"/>
      <c r="S882" s="117"/>
      <c r="T882" s="117"/>
      <c r="U882" s="117"/>
      <c r="V882" s="12"/>
      <c r="W882" s="12"/>
      <c r="X882" s="67" t="e">
        <f>+VLOOKUP(Q882,COMISIONES!$C$2:$AO$33,39,0)</f>
        <v>#N/A</v>
      </c>
      <c r="Y882" s="67" t="e">
        <f t="shared" si="14"/>
        <v>#N/A</v>
      </c>
      <c r="Z882" s="195"/>
      <c r="AA882" s="13" t="e">
        <f>+VLOOKUP(Q882,COMISIONES!$C$2:$C$33,1,0)</f>
        <v>#N/A</v>
      </c>
      <c r="AB882" s="13" t="s">
        <v>269</v>
      </c>
    </row>
    <row r="883" spans="1:28" hidden="1">
      <c r="A883" s="117"/>
      <c r="B883" s="138"/>
      <c r="C883" s="117"/>
      <c r="D883" s="117"/>
      <c r="E883" s="117"/>
      <c r="F883" s="117"/>
      <c r="G883" s="117"/>
      <c r="H883" s="117"/>
      <c r="I883"/>
      <c r="J883"/>
      <c r="K883" s="117"/>
      <c r="L883"/>
      <c r="M883" s="117"/>
      <c r="N883" s="117"/>
      <c r="O883" s="117"/>
      <c r="P883" s="117"/>
      <c r="Q883"/>
      <c r="R883" s="117"/>
      <c r="S883" s="117"/>
      <c r="T883" s="117"/>
      <c r="U883" s="117"/>
      <c r="V883" s="12"/>
      <c r="W883" s="12"/>
      <c r="X883" s="67" t="e">
        <f>+VLOOKUP(Q883,COMISIONES!$C$2:$AO$33,39,0)</f>
        <v>#N/A</v>
      </c>
      <c r="Y883" s="67" t="e">
        <f t="shared" si="14"/>
        <v>#N/A</v>
      </c>
      <c r="Z883" s="195"/>
      <c r="AA883" s="13" t="e">
        <f>+VLOOKUP(Q883,COMISIONES!$C$2:$C$33,1,0)</f>
        <v>#N/A</v>
      </c>
      <c r="AB883" s="13" t="s">
        <v>269</v>
      </c>
    </row>
    <row r="884" spans="1:28" hidden="1">
      <c r="A884" s="117"/>
      <c r="B884" s="138"/>
      <c r="C884" s="117"/>
      <c r="D884" s="117"/>
      <c r="E884" s="117"/>
      <c r="F884" s="117"/>
      <c r="G884" s="117"/>
      <c r="H884" s="117"/>
      <c r="I884"/>
      <c r="J884"/>
      <c r="K884" s="117"/>
      <c r="L884"/>
      <c r="M884" s="117"/>
      <c r="N884" s="117"/>
      <c r="O884" s="117"/>
      <c r="P884" s="117"/>
      <c r="Q884"/>
      <c r="R884" s="117"/>
      <c r="S884" s="117"/>
      <c r="T884" s="117"/>
      <c r="U884" s="117"/>
      <c r="V884" s="12"/>
      <c r="W884" s="12"/>
      <c r="X884" s="67" t="e">
        <f>+VLOOKUP(Q884,COMISIONES!$C$2:$AO$33,39,0)</f>
        <v>#N/A</v>
      </c>
      <c r="Y884" s="67" t="e">
        <f t="shared" si="14"/>
        <v>#N/A</v>
      </c>
      <c r="Z884" s="195"/>
      <c r="AA884" s="13" t="e">
        <f>+VLOOKUP(Q884,COMISIONES!$C$2:$C$33,1,0)</f>
        <v>#N/A</v>
      </c>
      <c r="AB884" s="13" t="s">
        <v>269</v>
      </c>
    </row>
    <row r="885" spans="1:28" hidden="1">
      <c r="A885" s="117"/>
      <c r="B885" s="138"/>
      <c r="C885" s="117"/>
      <c r="D885" s="117"/>
      <c r="E885" s="117"/>
      <c r="F885" s="117"/>
      <c r="G885" s="117"/>
      <c r="H885" s="117"/>
      <c r="I885"/>
      <c r="J885"/>
      <c r="K885" s="117"/>
      <c r="L885"/>
      <c r="M885" s="117"/>
      <c r="N885" s="117"/>
      <c r="O885" s="117"/>
      <c r="P885" s="117"/>
      <c r="Q885"/>
      <c r="R885" s="117"/>
      <c r="S885" s="117"/>
      <c r="T885" s="117"/>
      <c r="U885" s="117"/>
      <c r="V885" s="12"/>
      <c r="W885" s="12"/>
      <c r="X885" s="67" t="e">
        <f>+VLOOKUP(Q885,COMISIONES!$C$2:$AO$33,39,0)</f>
        <v>#N/A</v>
      </c>
      <c r="Y885" s="67" t="e">
        <f t="shared" si="14"/>
        <v>#N/A</v>
      </c>
      <c r="Z885" s="195"/>
      <c r="AA885" s="13" t="e">
        <f>+VLOOKUP(Q885,COMISIONES!$C$2:$C$33,1,0)</f>
        <v>#N/A</v>
      </c>
      <c r="AB885" s="13" t="s">
        <v>269</v>
      </c>
    </row>
    <row r="886" spans="1:28" hidden="1">
      <c r="A886" s="117"/>
      <c r="B886" s="138"/>
      <c r="C886" s="117"/>
      <c r="D886" s="117"/>
      <c r="E886" s="117"/>
      <c r="F886" s="117"/>
      <c r="G886" s="117"/>
      <c r="H886" s="117"/>
      <c r="I886"/>
      <c r="J886"/>
      <c r="K886" s="117"/>
      <c r="L886"/>
      <c r="M886" s="117"/>
      <c r="N886" s="117"/>
      <c r="O886" s="117"/>
      <c r="P886" s="117"/>
      <c r="Q886"/>
      <c r="R886" s="117"/>
      <c r="S886" s="117"/>
      <c r="T886" s="117"/>
      <c r="U886" s="117"/>
      <c r="V886" s="12"/>
      <c r="W886" s="12"/>
      <c r="X886" s="67" t="e">
        <f>+VLOOKUP(Q886,COMISIONES!$C$2:$AO$33,39,0)</f>
        <v>#N/A</v>
      </c>
      <c r="Y886" s="67" t="e">
        <f t="shared" si="14"/>
        <v>#N/A</v>
      </c>
      <c r="Z886" s="195"/>
      <c r="AA886" s="13" t="e">
        <f>+VLOOKUP(Q886,COMISIONES!$C$2:$C$33,1,0)</f>
        <v>#N/A</v>
      </c>
      <c r="AB886" s="13" t="s">
        <v>269</v>
      </c>
    </row>
    <row r="887" spans="1:28" hidden="1">
      <c r="A887" s="117"/>
      <c r="B887" s="138"/>
      <c r="C887" s="117"/>
      <c r="D887" s="117"/>
      <c r="E887" s="117"/>
      <c r="F887" s="117"/>
      <c r="G887" s="117"/>
      <c r="H887" s="117"/>
      <c r="I887"/>
      <c r="J887"/>
      <c r="K887" s="117"/>
      <c r="L887"/>
      <c r="M887" s="117"/>
      <c r="N887" s="117"/>
      <c r="O887" s="117"/>
      <c r="P887" s="117"/>
      <c r="Q887"/>
      <c r="R887" s="117"/>
      <c r="S887" s="117"/>
      <c r="T887" s="117"/>
      <c r="U887" s="117"/>
      <c r="V887" s="12"/>
      <c r="W887" s="12"/>
      <c r="X887" s="67" t="e">
        <f>+VLOOKUP(Q887,COMISIONES!$C$2:$AO$33,39,0)</f>
        <v>#N/A</v>
      </c>
      <c r="Y887" s="67" t="e">
        <f t="shared" si="14"/>
        <v>#N/A</v>
      </c>
      <c r="Z887" s="195"/>
      <c r="AA887" s="13" t="e">
        <f>+VLOOKUP(Q887,COMISIONES!$C$2:$C$33,1,0)</f>
        <v>#N/A</v>
      </c>
      <c r="AB887" s="13" t="s">
        <v>269</v>
      </c>
    </row>
    <row r="888" spans="1:28" hidden="1">
      <c r="A888" s="117"/>
      <c r="B888" s="138"/>
      <c r="C888" s="117"/>
      <c r="D888" s="117"/>
      <c r="E888" s="117"/>
      <c r="F888" s="117"/>
      <c r="G888" s="117"/>
      <c r="H888" s="117"/>
      <c r="I888"/>
      <c r="J888"/>
      <c r="K888" s="117"/>
      <c r="L888"/>
      <c r="M888" s="117"/>
      <c r="N888" s="117"/>
      <c r="O888" s="117"/>
      <c r="P888" s="117"/>
      <c r="Q888"/>
      <c r="R888" s="117"/>
      <c r="S888" s="117"/>
      <c r="T888" s="117"/>
      <c r="U888" s="117"/>
      <c r="V888" s="12"/>
      <c r="W888" s="12"/>
      <c r="X888" s="67" t="e">
        <f>+VLOOKUP(Q888,COMISIONES!$C$2:$AO$33,39,0)</f>
        <v>#N/A</v>
      </c>
      <c r="Y888" s="67" t="e">
        <f t="shared" si="14"/>
        <v>#N/A</v>
      </c>
      <c r="Z888" s="195"/>
      <c r="AA888" s="13" t="e">
        <f>+VLOOKUP(Q888,COMISIONES!$C$2:$C$33,1,0)</f>
        <v>#N/A</v>
      </c>
      <c r="AB888" s="13" t="s">
        <v>269</v>
      </c>
    </row>
    <row r="889" spans="1:28" hidden="1">
      <c r="A889" s="117"/>
      <c r="B889" s="138"/>
      <c r="C889" s="117"/>
      <c r="D889" s="117"/>
      <c r="E889" s="117"/>
      <c r="F889" s="117"/>
      <c r="G889" s="117"/>
      <c r="H889" s="117"/>
      <c r="I889"/>
      <c r="J889"/>
      <c r="K889" s="117"/>
      <c r="L889"/>
      <c r="M889" s="117"/>
      <c r="N889" s="117"/>
      <c r="O889" s="117"/>
      <c r="P889" s="117"/>
      <c r="Q889"/>
      <c r="R889" s="117"/>
      <c r="S889" s="117"/>
      <c r="T889" s="117"/>
      <c r="U889" s="117"/>
      <c r="V889" s="12"/>
      <c r="W889" s="12"/>
      <c r="X889" s="67" t="e">
        <f>+VLOOKUP(Q889,COMISIONES!$C$2:$AO$33,39,0)</f>
        <v>#N/A</v>
      </c>
      <c r="Y889" s="67" t="e">
        <f t="shared" si="14"/>
        <v>#N/A</v>
      </c>
      <c r="Z889" s="195"/>
      <c r="AA889" s="13" t="e">
        <f>+VLOOKUP(Q889,COMISIONES!$C$2:$C$33,1,0)</f>
        <v>#N/A</v>
      </c>
      <c r="AB889" s="13" t="s">
        <v>269</v>
      </c>
    </row>
    <row r="890" spans="1:28" hidden="1">
      <c r="A890" s="117"/>
      <c r="B890" s="138"/>
      <c r="C890" s="117"/>
      <c r="D890" s="117"/>
      <c r="E890" s="117"/>
      <c r="F890" s="117"/>
      <c r="G890" s="117"/>
      <c r="H890" s="117"/>
      <c r="I890"/>
      <c r="J890"/>
      <c r="K890" s="117"/>
      <c r="L890"/>
      <c r="M890" s="117"/>
      <c r="N890" s="117"/>
      <c r="O890" s="117"/>
      <c r="P890" s="117"/>
      <c r="Q890"/>
      <c r="R890" s="117"/>
      <c r="S890" s="117"/>
      <c r="T890" s="117"/>
      <c r="U890" s="117"/>
      <c r="V890" s="12"/>
      <c r="W890" s="12"/>
      <c r="X890" s="67" t="e">
        <f>+VLOOKUP(Q890,COMISIONES!$C$2:$AO$33,39,0)</f>
        <v>#N/A</v>
      </c>
      <c r="Y890" s="67" t="e">
        <f t="shared" si="14"/>
        <v>#N/A</v>
      </c>
      <c r="Z890" s="195"/>
      <c r="AA890" s="13" t="e">
        <f>+VLOOKUP(Q890,COMISIONES!$C$2:$C$33,1,0)</f>
        <v>#N/A</v>
      </c>
      <c r="AB890" s="13" t="s">
        <v>269</v>
      </c>
    </row>
    <row r="891" spans="1:28" hidden="1">
      <c r="A891" s="117"/>
      <c r="B891" s="138"/>
      <c r="C891" s="117"/>
      <c r="D891" s="117"/>
      <c r="E891" s="117"/>
      <c r="F891" s="117"/>
      <c r="G891" s="117"/>
      <c r="H891" s="117"/>
      <c r="I891"/>
      <c r="J891"/>
      <c r="K891" s="117"/>
      <c r="L891"/>
      <c r="M891" s="117"/>
      <c r="N891" s="117"/>
      <c r="O891" s="117"/>
      <c r="P891" s="117"/>
      <c r="Q891"/>
      <c r="R891" s="117"/>
      <c r="S891" s="117"/>
      <c r="T891" s="117"/>
      <c r="U891" s="117"/>
      <c r="V891" s="12"/>
      <c r="W891" s="12"/>
      <c r="X891" s="67" t="e">
        <f>+VLOOKUP(Q891,COMISIONES!$C$2:$AO$33,39,0)</f>
        <v>#N/A</v>
      </c>
      <c r="Y891" s="67" t="e">
        <f t="shared" si="14"/>
        <v>#N/A</v>
      </c>
      <c r="Z891" s="195"/>
      <c r="AA891" s="13" t="e">
        <f>+VLOOKUP(Q891,COMISIONES!$C$2:$C$33,1,0)</f>
        <v>#N/A</v>
      </c>
      <c r="AB891" s="13" t="s">
        <v>269</v>
      </c>
    </row>
    <row r="892" spans="1:28" hidden="1">
      <c r="A892" s="117"/>
      <c r="B892" s="138"/>
      <c r="C892" s="117"/>
      <c r="D892" s="117"/>
      <c r="E892" s="117"/>
      <c r="F892" s="117"/>
      <c r="G892" s="117"/>
      <c r="H892" s="117"/>
      <c r="I892"/>
      <c r="J892"/>
      <c r="K892" s="117"/>
      <c r="L892"/>
      <c r="M892" s="117"/>
      <c r="N892" s="117"/>
      <c r="O892" s="117"/>
      <c r="P892" s="117"/>
      <c r="Q892"/>
      <c r="R892" s="117"/>
      <c r="S892" s="117"/>
      <c r="T892" s="117"/>
      <c r="U892" s="117"/>
      <c r="V892" s="12"/>
      <c r="W892" s="12"/>
      <c r="X892" s="67" t="e">
        <f>+VLOOKUP(Q892,COMISIONES!$C$2:$AO$33,39,0)</f>
        <v>#N/A</v>
      </c>
      <c r="Y892" s="67" t="e">
        <f t="shared" si="14"/>
        <v>#N/A</v>
      </c>
      <c r="Z892" s="195"/>
      <c r="AA892" s="13" t="e">
        <f>+VLOOKUP(Q892,COMISIONES!$C$2:$C$33,1,0)</f>
        <v>#N/A</v>
      </c>
      <c r="AB892" s="13" t="s">
        <v>269</v>
      </c>
    </row>
    <row r="893" spans="1:28" hidden="1">
      <c r="A893" s="117"/>
      <c r="B893" s="138"/>
      <c r="C893" s="117"/>
      <c r="D893" s="117"/>
      <c r="E893" s="117"/>
      <c r="F893" s="117"/>
      <c r="G893" s="117"/>
      <c r="H893" s="117"/>
      <c r="I893"/>
      <c r="J893"/>
      <c r="K893" s="117"/>
      <c r="L893"/>
      <c r="M893" s="117"/>
      <c r="N893" s="117"/>
      <c r="O893" s="117"/>
      <c r="P893" s="117"/>
      <c r="Q893"/>
      <c r="R893" s="117"/>
      <c r="S893" s="117"/>
      <c r="T893" s="117"/>
      <c r="U893" s="117"/>
      <c r="V893" s="12"/>
      <c r="W893" s="12"/>
      <c r="X893" s="67" t="e">
        <f>+VLOOKUP(Q893,COMISIONES!$C$2:$AO$33,39,0)</f>
        <v>#N/A</v>
      </c>
      <c r="Y893" s="67" t="e">
        <f t="shared" si="14"/>
        <v>#N/A</v>
      </c>
      <c r="Z893" s="195"/>
      <c r="AA893" s="13" t="e">
        <f>+VLOOKUP(Q893,COMISIONES!$C$2:$C$33,1,0)</f>
        <v>#N/A</v>
      </c>
      <c r="AB893" s="13" t="s">
        <v>269</v>
      </c>
    </row>
    <row r="894" spans="1:28" hidden="1">
      <c r="A894" s="117"/>
      <c r="B894" s="138"/>
      <c r="C894" s="117"/>
      <c r="D894" s="117"/>
      <c r="E894" s="117"/>
      <c r="F894" s="117"/>
      <c r="G894" s="117"/>
      <c r="H894" s="117"/>
      <c r="I894"/>
      <c r="J894"/>
      <c r="K894" s="117"/>
      <c r="L894"/>
      <c r="M894" s="117"/>
      <c r="N894" s="117"/>
      <c r="O894" s="117"/>
      <c r="P894" s="117"/>
      <c r="Q894"/>
      <c r="R894" s="117"/>
      <c r="S894" s="117"/>
      <c r="T894" s="117"/>
      <c r="U894" s="117"/>
      <c r="V894" s="12"/>
      <c r="W894" s="12"/>
      <c r="X894" s="67" t="e">
        <f>+VLOOKUP(Q894,COMISIONES!$C$2:$AO$33,39,0)</f>
        <v>#N/A</v>
      </c>
      <c r="Y894" s="67" t="e">
        <f t="shared" si="14"/>
        <v>#N/A</v>
      </c>
      <c r="Z894" s="195"/>
      <c r="AA894" s="13" t="e">
        <f>+VLOOKUP(Q894,COMISIONES!$C$2:$C$33,1,0)</f>
        <v>#N/A</v>
      </c>
      <c r="AB894" s="13" t="s">
        <v>269</v>
      </c>
    </row>
    <row r="895" spans="1:28" hidden="1">
      <c r="A895" s="117"/>
      <c r="B895" s="138"/>
      <c r="C895" s="117"/>
      <c r="D895" s="117"/>
      <c r="E895" s="117"/>
      <c r="F895" s="117"/>
      <c r="G895" s="117"/>
      <c r="H895" s="117"/>
      <c r="I895"/>
      <c r="J895"/>
      <c r="K895" s="117"/>
      <c r="L895"/>
      <c r="M895" s="117"/>
      <c r="N895" s="117"/>
      <c r="O895" s="117"/>
      <c r="P895" s="117"/>
      <c r="Q895"/>
      <c r="R895" s="117"/>
      <c r="S895" s="117"/>
      <c r="T895" s="117"/>
      <c r="U895" s="117"/>
      <c r="V895" s="12"/>
      <c r="W895" s="12"/>
      <c r="X895" s="67" t="e">
        <f>+VLOOKUP(Q895,COMISIONES!$C$2:$AO$33,39,0)</f>
        <v>#N/A</v>
      </c>
      <c r="Y895" s="67" t="e">
        <f t="shared" si="14"/>
        <v>#N/A</v>
      </c>
      <c r="Z895" s="195"/>
      <c r="AA895" s="13" t="e">
        <f>+VLOOKUP(Q895,COMISIONES!$C$2:$C$33,1,0)</f>
        <v>#N/A</v>
      </c>
      <c r="AB895" s="13" t="s">
        <v>269</v>
      </c>
    </row>
    <row r="896" spans="1:28" hidden="1">
      <c r="A896" s="117"/>
      <c r="B896" s="138"/>
      <c r="C896" s="117"/>
      <c r="D896" s="117"/>
      <c r="E896" s="117"/>
      <c r="F896" s="117"/>
      <c r="G896" s="117"/>
      <c r="H896" s="117"/>
      <c r="I896"/>
      <c r="J896"/>
      <c r="K896" s="117"/>
      <c r="L896"/>
      <c r="M896" s="117"/>
      <c r="N896" s="117"/>
      <c r="O896" s="117"/>
      <c r="P896" s="117"/>
      <c r="Q896"/>
      <c r="R896" s="117"/>
      <c r="S896" s="117"/>
      <c r="T896" s="117"/>
      <c r="U896" s="117"/>
      <c r="V896" s="12"/>
      <c r="W896" s="12"/>
      <c r="X896" s="67" t="e">
        <f>+VLOOKUP(Q896,COMISIONES!$C$2:$AO$33,39,0)</f>
        <v>#N/A</v>
      </c>
      <c r="Y896" s="67" t="e">
        <f t="shared" si="14"/>
        <v>#N/A</v>
      </c>
      <c r="Z896" s="195"/>
      <c r="AA896" s="13" t="e">
        <f>+VLOOKUP(Q896,COMISIONES!$C$2:$C$33,1,0)</f>
        <v>#N/A</v>
      </c>
      <c r="AB896" s="13" t="s">
        <v>269</v>
      </c>
    </row>
    <row r="897" spans="1:28" hidden="1">
      <c r="A897" s="117"/>
      <c r="B897" s="138"/>
      <c r="C897" s="117"/>
      <c r="D897" s="117"/>
      <c r="E897" s="117"/>
      <c r="F897" s="117"/>
      <c r="G897" s="117"/>
      <c r="H897" s="117"/>
      <c r="I897"/>
      <c r="J897"/>
      <c r="K897" s="117"/>
      <c r="L897"/>
      <c r="M897" s="117"/>
      <c r="N897" s="117"/>
      <c r="O897" s="117"/>
      <c r="P897" s="117"/>
      <c r="Q897"/>
      <c r="R897" s="117"/>
      <c r="S897" s="117"/>
      <c r="T897" s="117"/>
      <c r="U897" s="117"/>
      <c r="V897" s="12"/>
      <c r="W897" s="12"/>
      <c r="X897" s="67" t="e">
        <f>+VLOOKUP(Q897,COMISIONES!$C$2:$AO$33,39,0)</f>
        <v>#N/A</v>
      </c>
      <c r="Y897" s="67" t="e">
        <f t="shared" si="14"/>
        <v>#N/A</v>
      </c>
      <c r="Z897" s="195"/>
      <c r="AA897" s="13" t="e">
        <f>+VLOOKUP(Q897,COMISIONES!$C$2:$C$33,1,0)</f>
        <v>#N/A</v>
      </c>
      <c r="AB897" s="13" t="s">
        <v>269</v>
      </c>
    </row>
    <row r="898" spans="1:28" hidden="1">
      <c r="A898" s="117"/>
      <c r="B898" s="138"/>
      <c r="C898" s="117"/>
      <c r="D898" s="117"/>
      <c r="E898" s="117"/>
      <c r="F898" s="117"/>
      <c r="G898" s="117"/>
      <c r="H898" s="117"/>
      <c r="I898"/>
      <c r="J898"/>
      <c r="K898" s="117"/>
      <c r="L898"/>
      <c r="M898" s="117"/>
      <c r="N898" s="117"/>
      <c r="O898" s="117"/>
      <c r="P898" s="117"/>
      <c r="Q898"/>
      <c r="R898" s="117"/>
      <c r="S898" s="117"/>
      <c r="T898" s="117"/>
      <c r="U898" s="117"/>
      <c r="V898" s="12"/>
      <c r="W898" s="12"/>
      <c r="X898" s="67" t="e">
        <f>+VLOOKUP(Q898,COMISIONES!$C$2:$AO$33,39,0)</f>
        <v>#N/A</v>
      </c>
      <c r="Y898" s="67" t="e">
        <f t="shared" si="14"/>
        <v>#N/A</v>
      </c>
      <c r="Z898" s="195"/>
      <c r="AA898" s="13" t="e">
        <f>+VLOOKUP(Q898,COMISIONES!$C$2:$C$33,1,0)</f>
        <v>#N/A</v>
      </c>
      <c r="AB898" s="13" t="s">
        <v>269</v>
      </c>
    </row>
    <row r="899" spans="1:28" hidden="1">
      <c r="A899" s="117"/>
      <c r="B899" s="138"/>
      <c r="C899" s="117"/>
      <c r="D899" s="117"/>
      <c r="E899" s="117"/>
      <c r="F899" s="117"/>
      <c r="G899" s="117"/>
      <c r="H899" s="117"/>
      <c r="I899"/>
      <c r="J899"/>
      <c r="K899" s="117"/>
      <c r="L899"/>
      <c r="M899" s="117"/>
      <c r="N899" s="117"/>
      <c r="O899" s="117"/>
      <c r="P899" s="117"/>
      <c r="Q899"/>
      <c r="R899" s="117"/>
      <c r="S899" s="117"/>
      <c r="T899" s="117"/>
      <c r="U899" s="117"/>
      <c r="V899" s="12"/>
      <c r="W899" s="12"/>
      <c r="X899" s="67" t="e">
        <f>+VLOOKUP(Q899,COMISIONES!$C$2:$AO$33,39,0)</f>
        <v>#N/A</v>
      </c>
      <c r="Y899" s="67" t="e">
        <f t="shared" si="14"/>
        <v>#N/A</v>
      </c>
      <c r="Z899" s="195"/>
      <c r="AA899" s="13" t="e">
        <f>+VLOOKUP(Q899,COMISIONES!$C$2:$C$33,1,0)</f>
        <v>#N/A</v>
      </c>
      <c r="AB899" s="13" t="s">
        <v>269</v>
      </c>
    </row>
    <row r="900" spans="1:28" hidden="1">
      <c r="A900" s="117"/>
      <c r="B900" s="138"/>
      <c r="C900" s="117"/>
      <c r="D900" s="117"/>
      <c r="E900" s="117"/>
      <c r="F900" s="117"/>
      <c r="G900" s="117"/>
      <c r="H900" s="117"/>
      <c r="I900"/>
      <c r="J900"/>
      <c r="K900" s="117"/>
      <c r="L900"/>
      <c r="M900" s="117"/>
      <c r="N900" s="117"/>
      <c r="O900" s="117"/>
      <c r="P900" s="117"/>
      <c r="Q900"/>
      <c r="R900" s="117"/>
      <c r="S900" s="117"/>
      <c r="T900" s="117"/>
      <c r="U900" s="117"/>
      <c r="V900" s="12"/>
      <c r="W900" s="12"/>
      <c r="X900" s="67" t="e">
        <f>+VLOOKUP(Q900,COMISIONES!$C$2:$AO$33,39,0)</f>
        <v>#N/A</v>
      </c>
      <c r="Y900" s="67" t="e">
        <f t="shared" si="14"/>
        <v>#N/A</v>
      </c>
      <c r="Z900" s="195"/>
      <c r="AA900" s="13" t="e">
        <f>+VLOOKUP(Q900,COMISIONES!$C$2:$C$33,1,0)</f>
        <v>#N/A</v>
      </c>
      <c r="AB900" s="13" t="s">
        <v>269</v>
      </c>
    </row>
    <row r="901" spans="1:28" hidden="1">
      <c r="A901" s="117"/>
      <c r="B901" s="138"/>
      <c r="C901" s="117"/>
      <c r="D901" s="117"/>
      <c r="E901" s="117"/>
      <c r="F901" s="117"/>
      <c r="G901" s="117"/>
      <c r="H901" s="117"/>
      <c r="I901"/>
      <c r="J901"/>
      <c r="K901" s="117"/>
      <c r="L901"/>
      <c r="M901" s="117"/>
      <c r="N901" s="117"/>
      <c r="O901" s="117"/>
      <c r="P901" s="117"/>
      <c r="Q901"/>
      <c r="R901" s="117"/>
      <c r="S901" s="117"/>
      <c r="T901" s="117"/>
      <c r="U901" s="117"/>
      <c r="V901" s="12"/>
      <c r="W901" s="12"/>
      <c r="X901" s="67" t="e">
        <f>+VLOOKUP(Q901,COMISIONES!$C$2:$AO$33,39,0)</f>
        <v>#N/A</v>
      </c>
      <c r="Y901" s="67" t="e">
        <f t="shared" si="14"/>
        <v>#N/A</v>
      </c>
      <c r="Z901" s="195"/>
      <c r="AA901" s="13" t="e">
        <f>+VLOOKUP(Q901,COMISIONES!$C$2:$C$33,1,0)</f>
        <v>#N/A</v>
      </c>
      <c r="AB901" s="13" t="s">
        <v>269</v>
      </c>
    </row>
    <row r="902" spans="1:28" hidden="1">
      <c r="A902" s="117"/>
      <c r="B902" s="138"/>
      <c r="C902" s="117"/>
      <c r="D902" s="117"/>
      <c r="E902" s="117"/>
      <c r="F902" s="117"/>
      <c r="G902" s="117"/>
      <c r="H902" s="117"/>
      <c r="I902"/>
      <c r="J902"/>
      <c r="K902" s="117"/>
      <c r="L902"/>
      <c r="M902" s="117"/>
      <c r="N902" s="117"/>
      <c r="O902" s="117"/>
      <c r="P902" s="117"/>
      <c r="Q902"/>
      <c r="R902" s="117"/>
      <c r="S902" s="117"/>
      <c r="T902" s="117"/>
      <c r="U902" s="117"/>
      <c r="V902" s="12"/>
      <c r="W902" s="12"/>
      <c r="X902" s="67" t="e">
        <f>+VLOOKUP(Q902,COMISIONES!$C$2:$AO$33,39,0)</f>
        <v>#N/A</v>
      </c>
      <c r="Y902" s="67" t="e">
        <f t="shared" si="14"/>
        <v>#N/A</v>
      </c>
      <c r="Z902" s="195"/>
      <c r="AA902" s="13" t="e">
        <f>+VLOOKUP(Q902,COMISIONES!$C$2:$C$33,1,0)</f>
        <v>#N/A</v>
      </c>
      <c r="AB902" s="13" t="s">
        <v>269</v>
      </c>
    </row>
    <row r="903" spans="1:28" hidden="1">
      <c r="A903" s="117"/>
      <c r="B903" s="138"/>
      <c r="C903" s="117"/>
      <c r="D903" s="117"/>
      <c r="E903" s="117"/>
      <c r="F903" s="117"/>
      <c r="G903" s="117"/>
      <c r="H903" s="117"/>
      <c r="I903"/>
      <c r="J903"/>
      <c r="K903" s="117"/>
      <c r="L903"/>
      <c r="M903" s="117"/>
      <c r="N903" s="117"/>
      <c r="O903" s="117"/>
      <c r="P903" s="117"/>
      <c r="Q903"/>
      <c r="R903" s="117"/>
      <c r="S903" s="117"/>
      <c r="T903" s="117"/>
      <c r="U903" s="117"/>
      <c r="V903" s="12"/>
      <c r="W903" s="12"/>
      <c r="X903" s="67" t="e">
        <f>+VLOOKUP(Q903,COMISIONES!$C$2:$AO$33,39,0)</f>
        <v>#N/A</v>
      </c>
      <c r="Y903" s="67" t="e">
        <f t="shared" si="14"/>
        <v>#N/A</v>
      </c>
      <c r="Z903" s="195"/>
      <c r="AA903" s="13" t="e">
        <f>+VLOOKUP(Q903,COMISIONES!$C$2:$C$33,1,0)</f>
        <v>#N/A</v>
      </c>
      <c r="AB903" s="13" t="s">
        <v>269</v>
      </c>
    </row>
    <row r="904" spans="1:28" hidden="1">
      <c r="A904" s="117"/>
      <c r="B904" s="138"/>
      <c r="C904" s="117"/>
      <c r="D904" s="117"/>
      <c r="E904" s="117"/>
      <c r="F904" s="117"/>
      <c r="G904" s="117"/>
      <c r="H904" s="117"/>
      <c r="I904"/>
      <c r="J904"/>
      <c r="K904" s="117"/>
      <c r="L904"/>
      <c r="M904" s="117"/>
      <c r="N904" s="117"/>
      <c r="O904" s="117"/>
      <c r="P904" s="117"/>
      <c r="Q904"/>
      <c r="R904" s="117"/>
      <c r="S904" s="117"/>
      <c r="T904" s="117"/>
      <c r="U904" s="117"/>
      <c r="V904" s="12"/>
      <c r="W904" s="12"/>
      <c r="X904" s="67" t="e">
        <f>+VLOOKUP(Q904,COMISIONES!$C$2:$AO$33,39,0)</f>
        <v>#N/A</v>
      </c>
      <c r="Y904" s="67" t="e">
        <f t="shared" si="14"/>
        <v>#N/A</v>
      </c>
      <c r="Z904" s="195"/>
      <c r="AA904" s="13" t="e">
        <f>+VLOOKUP(Q904,COMISIONES!$C$2:$C$33,1,0)</f>
        <v>#N/A</v>
      </c>
      <c r="AB904" s="13" t="s">
        <v>269</v>
      </c>
    </row>
    <row r="905" spans="1:28" hidden="1">
      <c r="A905" s="117"/>
      <c r="B905" s="138"/>
      <c r="C905" s="117"/>
      <c r="D905" s="117"/>
      <c r="E905" s="117"/>
      <c r="F905" s="117"/>
      <c r="G905" s="117"/>
      <c r="H905" s="117"/>
      <c r="I905"/>
      <c r="J905"/>
      <c r="K905" s="117"/>
      <c r="L905"/>
      <c r="M905" s="117"/>
      <c r="N905" s="117"/>
      <c r="O905" s="117"/>
      <c r="P905" s="117"/>
      <c r="Q905"/>
      <c r="R905" s="117"/>
      <c r="S905" s="117"/>
      <c r="T905" s="117"/>
      <c r="U905" s="117"/>
      <c r="V905" s="12"/>
      <c r="W905" s="12"/>
      <c r="X905" s="67" t="e">
        <f>+VLOOKUP(Q905,COMISIONES!$C$2:$AO$33,39,0)</f>
        <v>#N/A</v>
      </c>
      <c r="Y905" s="67" t="e">
        <f t="shared" si="14"/>
        <v>#N/A</v>
      </c>
      <c r="Z905" s="195"/>
      <c r="AA905" s="13" t="e">
        <f>+VLOOKUP(Q905,COMISIONES!$C$2:$C$33,1,0)</f>
        <v>#N/A</v>
      </c>
      <c r="AB905" s="13" t="s">
        <v>269</v>
      </c>
    </row>
    <row r="906" spans="1:28" hidden="1">
      <c r="A906" s="117"/>
      <c r="B906" s="138"/>
      <c r="C906" s="117"/>
      <c r="D906" s="117"/>
      <c r="E906" s="117"/>
      <c r="F906" s="117"/>
      <c r="G906" s="117"/>
      <c r="H906" s="117"/>
      <c r="I906"/>
      <c r="J906"/>
      <c r="K906" s="117"/>
      <c r="L906"/>
      <c r="M906" s="117"/>
      <c r="N906" s="117"/>
      <c r="O906" s="117"/>
      <c r="P906" s="117"/>
      <c r="Q906"/>
      <c r="R906" s="117"/>
      <c r="S906" s="117"/>
      <c r="T906" s="117"/>
      <c r="U906" s="117"/>
      <c r="V906" s="12"/>
      <c r="W906" s="12"/>
      <c r="X906" s="67" t="e">
        <f>+VLOOKUP(Q906,COMISIONES!$C$2:$AO$33,39,0)</f>
        <v>#N/A</v>
      </c>
      <c r="Y906" s="67" t="e">
        <f t="shared" si="14"/>
        <v>#N/A</v>
      </c>
      <c r="Z906" s="195"/>
      <c r="AA906" s="13" t="e">
        <f>+VLOOKUP(Q906,COMISIONES!$C$2:$C$33,1,0)</f>
        <v>#N/A</v>
      </c>
      <c r="AB906" s="13" t="s">
        <v>269</v>
      </c>
    </row>
    <row r="907" spans="1:28" hidden="1">
      <c r="A907" s="117"/>
      <c r="B907" s="138"/>
      <c r="C907" s="117"/>
      <c r="D907" s="117"/>
      <c r="E907" s="117"/>
      <c r="F907" s="117"/>
      <c r="G907" s="117"/>
      <c r="H907" s="117"/>
      <c r="I907"/>
      <c r="J907"/>
      <c r="K907" s="117"/>
      <c r="L907"/>
      <c r="M907" s="117"/>
      <c r="N907" s="117"/>
      <c r="O907" s="117"/>
      <c r="P907" s="117"/>
      <c r="Q907"/>
      <c r="R907" s="117"/>
      <c r="S907" s="117"/>
      <c r="T907" s="117"/>
      <c r="U907" s="117"/>
      <c r="V907" s="12"/>
      <c r="W907" s="12"/>
      <c r="X907" s="67" t="e">
        <f>+VLOOKUP(Q907,COMISIONES!$C$2:$AO$33,39,0)</f>
        <v>#N/A</v>
      </c>
      <c r="Y907" s="67" t="e">
        <f t="shared" si="14"/>
        <v>#N/A</v>
      </c>
      <c r="Z907" s="195"/>
      <c r="AA907" s="13" t="e">
        <f>+VLOOKUP(Q907,COMISIONES!$C$2:$C$33,1,0)</f>
        <v>#N/A</v>
      </c>
      <c r="AB907" s="13" t="s">
        <v>269</v>
      </c>
    </row>
    <row r="908" spans="1:28" hidden="1">
      <c r="A908" s="117"/>
      <c r="B908" s="138"/>
      <c r="C908" s="117"/>
      <c r="D908" s="117"/>
      <c r="E908" s="117"/>
      <c r="F908" s="117"/>
      <c r="G908" s="117"/>
      <c r="H908" s="117"/>
      <c r="I908"/>
      <c r="J908"/>
      <c r="K908" s="117"/>
      <c r="L908"/>
      <c r="M908" s="117"/>
      <c r="N908" s="117"/>
      <c r="O908" s="117"/>
      <c r="P908" s="117"/>
      <c r="Q908"/>
      <c r="R908" s="117"/>
      <c r="S908" s="117"/>
      <c r="T908" s="117"/>
      <c r="U908" s="117"/>
      <c r="V908" s="12"/>
      <c r="W908" s="12"/>
      <c r="X908" s="67" t="e">
        <f>+VLOOKUP(Q908,COMISIONES!$C$2:$AO$33,39,0)</f>
        <v>#N/A</v>
      </c>
      <c r="Y908" s="67" t="e">
        <f t="shared" si="14"/>
        <v>#N/A</v>
      </c>
      <c r="Z908" s="195"/>
      <c r="AA908" s="13" t="e">
        <f>+VLOOKUP(Q908,COMISIONES!$C$2:$C$33,1,0)</f>
        <v>#N/A</v>
      </c>
      <c r="AB908" s="13" t="s">
        <v>269</v>
      </c>
    </row>
    <row r="909" spans="1:28" hidden="1">
      <c r="A909" s="117"/>
      <c r="B909" s="138"/>
      <c r="C909" s="117"/>
      <c r="D909" s="117"/>
      <c r="E909" s="117"/>
      <c r="F909" s="117"/>
      <c r="G909" s="117"/>
      <c r="H909" s="117"/>
      <c r="I909"/>
      <c r="J909"/>
      <c r="K909" s="117"/>
      <c r="L909"/>
      <c r="M909" s="117"/>
      <c r="N909" s="117"/>
      <c r="O909" s="117"/>
      <c r="P909" s="117"/>
      <c r="Q909"/>
      <c r="R909" s="117"/>
      <c r="S909" s="117"/>
      <c r="T909" s="117"/>
      <c r="U909" s="117"/>
      <c r="V909" s="12"/>
      <c r="W909" s="12"/>
      <c r="X909" s="67" t="e">
        <f>+VLOOKUP(Q909,COMISIONES!$C$2:$AO$33,39,0)</f>
        <v>#N/A</v>
      </c>
      <c r="Y909" s="67" t="e">
        <f t="shared" si="14"/>
        <v>#N/A</v>
      </c>
      <c r="Z909" s="195"/>
      <c r="AA909" s="13" t="e">
        <f>+VLOOKUP(Q909,COMISIONES!$C$2:$C$33,1,0)</f>
        <v>#N/A</v>
      </c>
      <c r="AB909" s="13" t="s">
        <v>269</v>
      </c>
    </row>
    <row r="910" spans="1:28" hidden="1">
      <c r="A910" s="117"/>
      <c r="B910" s="138"/>
      <c r="C910" s="117"/>
      <c r="D910" s="117"/>
      <c r="E910" s="117"/>
      <c r="F910" s="117"/>
      <c r="G910" s="117"/>
      <c r="H910" s="117"/>
      <c r="I910"/>
      <c r="J910"/>
      <c r="K910" s="117"/>
      <c r="L910"/>
      <c r="M910" s="117"/>
      <c r="N910" s="117"/>
      <c r="O910" s="117"/>
      <c r="P910" s="117"/>
      <c r="Q910"/>
      <c r="R910" s="117"/>
      <c r="S910" s="117"/>
      <c r="T910" s="117"/>
      <c r="U910" s="117"/>
      <c r="V910" s="12"/>
      <c r="W910" s="12"/>
      <c r="X910" s="67" t="e">
        <f>+VLOOKUP(Q910,COMISIONES!$C$2:$AO$33,39,0)</f>
        <v>#N/A</v>
      </c>
      <c r="Y910" s="67" t="e">
        <f t="shared" si="14"/>
        <v>#N/A</v>
      </c>
      <c r="Z910" s="195"/>
      <c r="AA910" s="13" t="e">
        <f>+VLOOKUP(Q910,COMISIONES!$C$2:$C$33,1,0)</f>
        <v>#N/A</v>
      </c>
      <c r="AB910" s="13" t="s">
        <v>269</v>
      </c>
    </row>
    <row r="911" spans="1:28" hidden="1">
      <c r="A911" s="117"/>
      <c r="B911" s="138"/>
      <c r="C911" s="117"/>
      <c r="D911" s="117"/>
      <c r="E911" s="117"/>
      <c r="F911" s="117"/>
      <c r="G911" s="117"/>
      <c r="H911" s="117"/>
      <c r="I911"/>
      <c r="J911"/>
      <c r="K911" s="117"/>
      <c r="L911"/>
      <c r="M911" s="117"/>
      <c r="N911" s="117"/>
      <c r="O911" s="117"/>
      <c r="P911" s="117"/>
      <c r="Q911"/>
      <c r="R911" s="117"/>
      <c r="S911" s="117"/>
      <c r="T911" s="117"/>
      <c r="U911" s="117"/>
      <c r="V911" s="12"/>
      <c r="W911" s="12"/>
      <c r="X911" s="67" t="e">
        <f>+VLOOKUP(Q911,COMISIONES!$C$2:$AO$33,39,0)</f>
        <v>#N/A</v>
      </c>
      <c r="Y911" s="67" t="e">
        <f t="shared" si="14"/>
        <v>#N/A</v>
      </c>
      <c r="Z911" s="195"/>
      <c r="AA911" s="13" t="e">
        <f>+VLOOKUP(Q911,COMISIONES!$C$2:$C$33,1,0)</f>
        <v>#N/A</v>
      </c>
      <c r="AB911" s="13" t="s">
        <v>269</v>
      </c>
    </row>
    <row r="912" spans="1:28" hidden="1">
      <c r="A912" s="117"/>
      <c r="B912" s="138"/>
      <c r="C912" s="117"/>
      <c r="D912" s="117"/>
      <c r="E912" s="117"/>
      <c r="F912" s="117"/>
      <c r="G912" s="117"/>
      <c r="H912" s="117"/>
      <c r="I912"/>
      <c r="J912"/>
      <c r="K912" s="117"/>
      <c r="L912"/>
      <c r="M912" s="117"/>
      <c r="N912" s="117"/>
      <c r="O912" s="117"/>
      <c r="P912" s="117"/>
      <c r="Q912"/>
      <c r="R912" s="117"/>
      <c r="S912" s="117"/>
      <c r="T912" s="117"/>
      <c r="U912" s="117"/>
      <c r="V912" s="12"/>
      <c r="W912" s="12"/>
      <c r="X912" s="67" t="e">
        <f>+VLOOKUP(Q912,COMISIONES!$C$2:$AO$33,39,0)</f>
        <v>#N/A</v>
      </c>
      <c r="Y912" s="67" t="e">
        <f t="shared" si="14"/>
        <v>#N/A</v>
      </c>
      <c r="Z912" s="195"/>
      <c r="AA912" s="13" t="e">
        <f>+VLOOKUP(Q912,COMISIONES!$C$2:$C$33,1,0)</f>
        <v>#N/A</v>
      </c>
      <c r="AB912" s="13" t="s">
        <v>269</v>
      </c>
    </row>
    <row r="913" spans="1:28" hidden="1">
      <c r="A913" s="117"/>
      <c r="B913" s="138"/>
      <c r="C913" s="117"/>
      <c r="D913" s="117"/>
      <c r="E913" s="117"/>
      <c r="F913" s="117"/>
      <c r="G913" s="117"/>
      <c r="H913" s="117"/>
      <c r="I913"/>
      <c r="J913"/>
      <c r="K913" s="117"/>
      <c r="L913"/>
      <c r="M913" s="117"/>
      <c r="N913" s="117"/>
      <c r="O913" s="117"/>
      <c r="P913" s="117"/>
      <c r="Q913"/>
      <c r="R913" s="117"/>
      <c r="S913" s="117"/>
      <c r="T913" s="117"/>
      <c r="U913" s="117"/>
      <c r="V913" s="12"/>
      <c r="W913" s="12"/>
      <c r="X913" s="67" t="e">
        <f>+VLOOKUP(Q913,COMISIONES!$C$2:$AO$33,39,0)</f>
        <v>#N/A</v>
      </c>
      <c r="Y913" s="67" t="e">
        <f t="shared" si="14"/>
        <v>#N/A</v>
      </c>
      <c r="Z913" s="195"/>
      <c r="AA913" s="13" t="e">
        <f>+VLOOKUP(Q913,COMISIONES!$C$2:$C$33,1,0)</f>
        <v>#N/A</v>
      </c>
      <c r="AB913" s="13" t="s">
        <v>269</v>
      </c>
    </row>
    <row r="914" spans="1:28" hidden="1">
      <c r="A914" s="117"/>
      <c r="B914" s="138"/>
      <c r="C914" s="117"/>
      <c r="D914" s="117"/>
      <c r="E914" s="117"/>
      <c r="F914" s="117"/>
      <c r="G914" s="117"/>
      <c r="H914" s="117"/>
      <c r="I914"/>
      <c r="J914"/>
      <c r="K914" s="117"/>
      <c r="L914"/>
      <c r="M914" s="117"/>
      <c r="N914" s="117"/>
      <c r="O914" s="117"/>
      <c r="P914" s="117"/>
      <c r="Q914"/>
      <c r="R914" s="117"/>
      <c r="S914" s="117"/>
      <c r="T914" s="117"/>
      <c r="U914" s="117"/>
      <c r="V914" s="12"/>
      <c r="W914" s="12"/>
      <c r="X914" s="67" t="e">
        <f>+VLOOKUP(Q914,COMISIONES!$C$2:$AO$33,39,0)</f>
        <v>#N/A</v>
      </c>
      <c r="Y914" s="67" t="e">
        <f t="shared" si="14"/>
        <v>#N/A</v>
      </c>
      <c r="Z914" s="195"/>
      <c r="AA914" s="13" t="e">
        <f>+VLOOKUP(Q914,COMISIONES!$C$2:$C$33,1,0)</f>
        <v>#N/A</v>
      </c>
      <c r="AB914" s="13" t="s">
        <v>269</v>
      </c>
    </row>
    <row r="915" spans="1:28" hidden="1">
      <c r="A915" s="117"/>
      <c r="B915" s="138"/>
      <c r="C915" s="117"/>
      <c r="D915" s="117"/>
      <c r="E915" s="117"/>
      <c r="F915" s="117"/>
      <c r="G915" s="117"/>
      <c r="H915" s="117"/>
      <c r="I915"/>
      <c r="J915"/>
      <c r="K915" s="117"/>
      <c r="L915"/>
      <c r="M915" s="117"/>
      <c r="N915" s="117"/>
      <c r="O915" s="117"/>
      <c r="P915" s="117"/>
      <c r="Q915"/>
      <c r="R915" s="117"/>
      <c r="S915" s="117"/>
      <c r="T915" s="117"/>
      <c r="U915" s="117"/>
      <c r="V915" s="12"/>
      <c r="W915" s="12"/>
      <c r="X915" s="67" t="e">
        <f>+VLOOKUP(Q915,COMISIONES!$C$2:$AO$33,39,0)</f>
        <v>#N/A</v>
      </c>
      <c r="Y915" s="67" t="e">
        <f t="shared" si="14"/>
        <v>#N/A</v>
      </c>
      <c r="Z915" s="195"/>
      <c r="AA915" s="13" t="e">
        <f>+VLOOKUP(Q915,COMISIONES!$C$2:$C$33,1,0)</f>
        <v>#N/A</v>
      </c>
      <c r="AB915" s="13" t="s">
        <v>269</v>
      </c>
    </row>
    <row r="916" spans="1:28" hidden="1">
      <c r="A916" s="117"/>
      <c r="B916" s="138"/>
      <c r="C916" s="117"/>
      <c r="D916" s="117"/>
      <c r="E916" s="117"/>
      <c r="F916" s="117"/>
      <c r="G916" s="117"/>
      <c r="H916" s="117"/>
      <c r="I916"/>
      <c r="J916"/>
      <c r="K916" s="117"/>
      <c r="L916"/>
      <c r="M916" s="117"/>
      <c r="N916" s="117"/>
      <c r="O916" s="117"/>
      <c r="P916" s="117"/>
      <c r="Q916"/>
      <c r="R916" s="117"/>
      <c r="S916" s="117"/>
      <c r="T916" s="117"/>
      <c r="U916" s="117"/>
      <c r="V916" s="12"/>
      <c r="W916" s="12"/>
      <c r="X916" s="67" t="e">
        <f>+VLOOKUP(Q916,COMISIONES!$C$2:$AO$33,39,0)</f>
        <v>#N/A</v>
      </c>
      <c r="Y916" s="67" t="e">
        <f t="shared" si="14"/>
        <v>#N/A</v>
      </c>
      <c r="Z916" s="195"/>
      <c r="AA916" s="13" t="e">
        <f>+VLOOKUP(Q916,COMISIONES!$C$2:$C$33,1,0)</f>
        <v>#N/A</v>
      </c>
      <c r="AB916" s="13" t="s">
        <v>269</v>
      </c>
    </row>
    <row r="917" spans="1:28" hidden="1">
      <c r="A917" s="117"/>
      <c r="B917" s="138"/>
      <c r="C917" s="117"/>
      <c r="D917" s="117"/>
      <c r="E917" s="117"/>
      <c r="F917" s="117"/>
      <c r="G917" s="117"/>
      <c r="H917" s="117"/>
      <c r="I917"/>
      <c r="J917"/>
      <c r="K917" s="117"/>
      <c r="L917"/>
      <c r="M917" s="117"/>
      <c r="N917" s="117"/>
      <c r="O917" s="117"/>
      <c r="P917" s="117"/>
      <c r="Q917"/>
      <c r="R917" s="117"/>
      <c r="S917" s="117"/>
      <c r="T917" s="117"/>
      <c r="U917" s="117"/>
      <c r="V917" s="12"/>
      <c r="W917" s="12"/>
      <c r="X917" s="67" t="e">
        <f>+VLOOKUP(Q917,COMISIONES!$C$2:$AO$33,39,0)</f>
        <v>#N/A</v>
      </c>
      <c r="Y917" s="67" t="e">
        <f t="shared" si="14"/>
        <v>#N/A</v>
      </c>
      <c r="Z917" s="195"/>
      <c r="AA917" s="13" t="e">
        <f>+VLOOKUP(Q917,COMISIONES!$C$2:$C$33,1,0)</f>
        <v>#N/A</v>
      </c>
      <c r="AB917" s="13" t="s">
        <v>269</v>
      </c>
    </row>
    <row r="918" spans="1:28" hidden="1">
      <c r="A918" s="117"/>
      <c r="B918" s="138"/>
      <c r="C918" s="117"/>
      <c r="D918" s="117"/>
      <c r="E918" s="117"/>
      <c r="F918" s="117"/>
      <c r="G918" s="117"/>
      <c r="H918" s="117"/>
      <c r="I918"/>
      <c r="J918"/>
      <c r="K918" s="117"/>
      <c r="L918"/>
      <c r="M918" s="117"/>
      <c r="N918" s="117"/>
      <c r="O918" s="117"/>
      <c r="P918" s="117"/>
      <c r="Q918"/>
      <c r="R918" s="117"/>
      <c r="S918" s="117"/>
      <c r="T918" s="117"/>
      <c r="U918" s="117"/>
      <c r="V918" s="12"/>
      <c r="W918" s="12"/>
      <c r="X918" s="67" t="e">
        <f>+VLOOKUP(Q918,COMISIONES!$C$2:$AO$33,39,0)</f>
        <v>#N/A</v>
      </c>
      <c r="Y918" s="67" t="e">
        <f t="shared" si="14"/>
        <v>#N/A</v>
      </c>
      <c r="Z918" s="195"/>
      <c r="AA918" s="13" t="e">
        <f>+VLOOKUP(Q918,COMISIONES!$C$2:$C$33,1,0)</f>
        <v>#N/A</v>
      </c>
      <c r="AB918" s="13" t="s">
        <v>269</v>
      </c>
    </row>
    <row r="919" spans="1:28" hidden="1">
      <c r="A919" s="117"/>
      <c r="B919" s="138"/>
      <c r="C919" s="117"/>
      <c r="D919" s="117"/>
      <c r="E919" s="117"/>
      <c r="F919" s="117"/>
      <c r="G919" s="117"/>
      <c r="H919" s="117"/>
      <c r="I919"/>
      <c r="J919"/>
      <c r="K919" s="117"/>
      <c r="L919"/>
      <c r="M919" s="117"/>
      <c r="N919" s="117"/>
      <c r="O919" s="117"/>
      <c r="P919" s="117"/>
      <c r="Q919"/>
      <c r="R919" s="117"/>
      <c r="S919" s="117"/>
      <c r="T919" s="117"/>
      <c r="U919" s="117"/>
      <c r="V919" s="12"/>
      <c r="W919" s="12"/>
      <c r="X919" s="67" t="e">
        <f>+VLOOKUP(Q919,COMISIONES!$C$2:$AO$33,39,0)</f>
        <v>#N/A</v>
      </c>
      <c r="Y919" s="67" t="e">
        <f t="shared" si="14"/>
        <v>#N/A</v>
      </c>
      <c r="Z919" s="195"/>
      <c r="AA919" s="13" t="e">
        <f>+VLOOKUP(Q919,COMISIONES!$C$2:$C$33,1,0)</f>
        <v>#N/A</v>
      </c>
      <c r="AB919" s="13" t="s">
        <v>269</v>
      </c>
    </row>
    <row r="920" spans="1:28" hidden="1">
      <c r="A920" s="117"/>
      <c r="B920" s="138"/>
      <c r="C920" s="117"/>
      <c r="D920" s="117"/>
      <c r="E920" s="117"/>
      <c r="F920" s="117"/>
      <c r="G920" s="117"/>
      <c r="H920" s="117"/>
      <c r="I920"/>
      <c r="J920"/>
      <c r="K920" s="117"/>
      <c r="L920"/>
      <c r="M920" s="117"/>
      <c r="N920" s="117"/>
      <c r="O920" s="117"/>
      <c r="P920" s="117"/>
      <c r="Q920"/>
      <c r="R920" s="117"/>
      <c r="S920" s="117"/>
      <c r="T920" s="117"/>
      <c r="U920" s="117"/>
      <c r="V920" s="12"/>
      <c r="W920" s="12"/>
      <c r="X920" s="67" t="e">
        <f>+VLOOKUP(Q920,COMISIONES!$C$2:$AO$33,39,0)</f>
        <v>#N/A</v>
      </c>
      <c r="Y920" s="67" t="e">
        <f t="shared" si="14"/>
        <v>#N/A</v>
      </c>
      <c r="Z920" s="195"/>
      <c r="AA920" s="13" t="e">
        <f>+VLOOKUP(Q920,COMISIONES!$C$2:$C$33,1,0)</f>
        <v>#N/A</v>
      </c>
      <c r="AB920" s="13" t="s">
        <v>269</v>
      </c>
    </row>
    <row r="921" spans="1:28" hidden="1">
      <c r="A921" s="117"/>
      <c r="B921" s="138"/>
      <c r="C921" s="117"/>
      <c r="D921" s="117"/>
      <c r="E921" s="117"/>
      <c r="F921" s="117"/>
      <c r="G921" s="117"/>
      <c r="H921" s="117"/>
      <c r="I921"/>
      <c r="J921"/>
      <c r="K921" s="117"/>
      <c r="L921"/>
      <c r="M921" s="117"/>
      <c r="N921" s="117"/>
      <c r="O921" s="117"/>
      <c r="P921" s="117"/>
      <c r="Q921"/>
      <c r="R921" s="117"/>
      <c r="S921" s="117"/>
      <c r="T921" s="117"/>
      <c r="U921" s="117"/>
      <c r="V921" s="12"/>
      <c r="W921" s="12"/>
      <c r="X921" s="67" t="e">
        <f>+VLOOKUP(Q921,COMISIONES!$C$2:$AO$33,39,0)</f>
        <v>#N/A</v>
      </c>
      <c r="Y921" s="67" t="e">
        <f t="shared" si="14"/>
        <v>#N/A</v>
      </c>
      <c r="Z921" s="195"/>
      <c r="AA921" s="13" t="e">
        <f>+VLOOKUP(Q921,COMISIONES!$C$2:$C$33,1,0)</f>
        <v>#N/A</v>
      </c>
      <c r="AB921" s="13" t="s">
        <v>269</v>
      </c>
    </row>
    <row r="922" spans="1:28" hidden="1">
      <c r="A922" s="117"/>
      <c r="B922" s="138"/>
      <c r="C922" s="117"/>
      <c r="D922" s="117"/>
      <c r="E922" s="117"/>
      <c r="F922" s="117"/>
      <c r="G922" s="117"/>
      <c r="H922" s="117"/>
      <c r="I922"/>
      <c r="J922"/>
      <c r="K922" s="117"/>
      <c r="L922"/>
      <c r="M922" s="117"/>
      <c r="N922" s="117"/>
      <c r="O922" s="117"/>
      <c r="P922" s="117"/>
      <c r="Q922"/>
      <c r="R922" s="117"/>
      <c r="S922" s="117"/>
      <c r="T922" s="117"/>
      <c r="U922" s="117"/>
      <c r="V922" s="12"/>
      <c r="W922" s="12"/>
      <c r="X922" s="67" t="e">
        <f>+VLOOKUP(Q922,COMISIONES!$C$2:$AO$33,39,0)</f>
        <v>#N/A</v>
      </c>
      <c r="Y922" s="67" t="e">
        <f t="shared" si="14"/>
        <v>#N/A</v>
      </c>
      <c r="Z922" s="195"/>
      <c r="AA922" s="13" t="e">
        <f>+VLOOKUP(Q922,COMISIONES!$C$2:$C$33,1,0)</f>
        <v>#N/A</v>
      </c>
      <c r="AB922" s="13" t="s">
        <v>269</v>
      </c>
    </row>
    <row r="923" spans="1:28" hidden="1">
      <c r="A923" s="117"/>
      <c r="B923" s="138"/>
      <c r="C923" s="117"/>
      <c r="D923" s="117"/>
      <c r="E923" s="117"/>
      <c r="F923" s="117"/>
      <c r="G923" s="117"/>
      <c r="H923" s="117"/>
      <c r="I923"/>
      <c r="J923"/>
      <c r="K923" s="117"/>
      <c r="L923"/>
      <c r="M923" s="117"/>
      <c r="N923" s="117"/>
      <c r="O923" s="117"/>
      <c r="P923" s="117"/>
      <c r="Q923"/>
      <c r="R923" s="117"/>
      <c r="S923" s="117"/>
      <c r="T923" s="117"/>
      <c r="U923" s="117"/>
      <c r="V923" s="12"/>
      <c r="W923" s="12"/>
      <c r="X923" s="67" t="e">
        <f>+VLOOKUP(Q923,COMISIONES!$C$2:$AO$33,39,0)</f>
        <v>#N/A</v>
      </c>
      <c r="Y923" s="67" t="e">
        <f t="shared" si="14"/>
        <v>#N/A</v>
      </c>
      <c r="Z923" s="195"/>
      <c r="AA923" s="13" t="e">
        <f>+VLOOKUP(Q923,COMISIONES!$C$2:$C$33,1,0)</f>
        <v>#N/A</v>
      </c>
      <c r="AB923" s="13" t="s">
        <v>269</v>
      </c>
    </row>
    <row r="924" spans="1:28" hidden="1">
      <c r="A924" s="117"/>
      <c r="B924" s="138"/>
      <c r="C924" s="117"/>
      <c r="D924" s="117"/>
      <c r="E924" s="117"/>
      <c r="F924" s="117"/>
      <c r="G924" s="117"/>
      <c r="H924" s="117"/>
      <c r="I924"/>
      <c r="J924"/>
      <c r="K924" s="117"/>
      <c r="L924"/>
      <c r="M924" s="117"/>
      <c r="N924" s="117"/>
      <c r="O924" s="117"/>
      <c r="P924" s="117"/>
      <c r="Q924"/>
      <c r="R924" s="117"/>
      <c r="S924" s="117"/>
      <c r="T924" s="117"/>
      <c r="U924" s="117"/>
      <c r="V924" s="12"/>
      <c r="W924" s="12"/>
      <c r="X924" s="67" t="e">
        <f>+VLOOKUP(Q924,COMISIONES!$C$2:$AO$33,39,0)</f>
        <v>#N/A</v>
      </c>
      <c r="Y924" s="67" t="e">
        <f t="shared" si="14"/>
        <v>#N/A</v>
      </c>
      <c r="Z924" s="195"/>
      <c r="AA924" s="13" t="e">
        <f>+VLOOKUP(Q924,COMISIONES!$C$2:$C$33,1,0)</f>
        <v>#N/A</v>
      </c>
      <c r="AB924" s="13" t="s">
        <v>269</v>
      </c>
    </row>
    <row r="925" spans="1:28" hidden="1">
      <c r="A925" s="117"/>
      <c r="B925" s="138"/>
      <c r="C925" s="117"/>
      <c r="D925" s="117"/>
      <c r="E925" s="117"/>
      <c r="F925" s="117"/>
      <c r="G925" s="117"/>
      <c r="H925" s="117"/>
      <c r="I925"/>
      <c r="J925"/>
      <c r="K925" s="117"/>
      <c r="L925"/>
      <c r="M925" s="117"/>
      <c r="N925" s="117"/>
      <c r="O925" s="117"/>
      <c r="P925" s="117"/>
      <c r="Q925"/>
      <c r="R925" s="117"/>
      <c r="S925" s="117"/>
      <c r="T925" s="117"/>
      <c r="U925" s="117"/>
      <c r="V925" s="12"/>
      <c r="W925" s="12"/>
      <c r="X925" s="67" t="e">
        <f>+VLOOKUP(Q925,COMISIONES!$C$2:$AO$33,39,0)</f>
        <v>#N/A</v>
      </c>
      <c r="Y925" s="67" t="e">
        <f t="shared" si="14"/>
        <v>#N/A</v>
      </c>
      <c r="Z925" s="195"/>
      <c r="AA925" s="13" t="e">
        <f>+VLOOKUP(Q925,COMISIONES!$C$2:$C$33,1,0)</f>
        <v>#N/A</v>
      </c>
      <c r="AB925" s="13" t="s">
        <v>269</v>
      </c>
    </row>
    <row r="926" spans="1:28" hidden="1">
      <c r="A926" s="117"/>
      <c r="B926" s="138"/>
      <c r="C926" s="117"/>
      <c r="D926" s="117"/>
      <c r="E926" s="117"/>
      <c r="F926" s="117"/>
      <c r="G926" s="117"/>
      <c r="H926" s="117"/>
      <c r="I926"/>
      <c r="J926"/>
      <c r="K926" s="117"/>
      <c r="L926"/>
      <c r="M926" s="117"/>
      <c r="N926" s="117"/>
      <c r="O926" s="117"/>
      <c r="P926" s="117"/>
      <c r="Q926"/>
      <c r="R926" s="117"/>
      <c r="S926" s="117"/>
      <c r="T926" s="117"/>
      <c r="U926" s="117"/>
      <c r="V926" s="12"/>
      <c r="W926" s="12"/>
      <c r="X926" s="67" t="e">
        <f>+VLOOKUP(Q926,COMISIONES!$C$2:$AO$33,39,0)</f>
        <v>#N/A</v>
      </c>
      <c r="Y926" s="67" t="e">
        <f t="shared" si="14"/>
        <v>#N/A</v>
      </c>
      <c r="Z926" s="195"/>
      <c r="AA926" s="13" t="e">
        <f>+VLOOKUP(Q926,COMISIONES!$C$2:$C$33,1,0)</f>
        <v>#N/A</v>
      </c>
      <c r="AB926" s="13" t="s">
        <v>269</v>
      </c>
    </row>
    <row r="927" spans="1:28" hidden="1">
      <c r="A927" s="117"/>
      <c r="B927" s="138"/>
      <c r="C927" s="117"/>
      <c r="D927" s="117"/>
      <c r="E927" s="117"/>
      <c r="F927" s="117"/>
      <c r="G927" s="117"/>
      <c r="H927" s="117"/>
      <c r="I927"/>
      <c r="J927"/>
      <c r="K927" s="117"/>
      <c r="L927"/>
      <c r="M927" s="117"/>
      <c r="N927" s="117"/>
      <c r="O927" s="117"/>
      <c r="P927" s="117"/>
      <c r="Q927"/>
      <c r="R927" s="117"/>
      <c r="S927" s="117"/>
      <c r="T927" s="117"/>
      <c r="U927" s="117"/>
      <c r="V927" s="12"/>
      <c r="W927" s="12"/>
      <c r="X927" s="67" t="e">
        <f>+VLOOKUP(Q927,COMISIONES!$C$2:$AO$33,39,0)</f>
        <v>#N/A</v>
      </c>
      <c r="Y927" s="67" t="e">
        <f t="shared" si="14"/>
        <v>#N/A</v>
      </c>
      <c r="Z927" s="195"/>
      <c r="AA927" s="13" t="e">
        <f>+VLOOKUP(Q927,COMISIONES!$C$2:$C$33,1,0)</f>
        <v>#N/A</v>
      </c>
      <c r="AB927" s="13" t="s">
        <v>269</v>
      </c>
    </row>
    <row r="928" spans="1:28" hidden="1">
      <c r="A928" s="117"/>
      <c r="B928" s="138"/>
      <c r="C928" s="117"/>
      <c r="D928" s="117"/>
      <c r="E928" s="117"/>
      <c r="F928" s="117"/>
      <c r="G928" s="117"/>
      <c r="H928" s="117"/>
      <c r="I928"/>
      <c r="J928"/>
      <c r="K928" s="117"/>
      <c r="L928"/>
      <c r="M928" s="117"/>
      <c r="N928" s="117"/>
      <c r="O928" s="117"/>
      <c r="P928" s="117"/>
      <c r="Q928"/>
      <c r="R928" s="117"/>
      <c r="S928" s="117"/>
      <c r="T928" s="117"/>
      <c r="U928" s="117"/>
      <c r="V928" s="12"/>
      <c r="W928" s="12"/>
      <c r="X928" s="67" t="e">
        <f>+VLOOKUP(Q928,COMISIONES!$C$2:$AO$33,39,0)</f>
        <v>#N/A</v>
      </c>
      <c r="Y928" s="67" t="e">
        <f t="shared" si="14"/>
        <v>#N/A</v>
      </c>
      <c r="Z928" s="195"/>
      <c r="AA928" s="13" t="e">
        <f>+VLOOKUP(Q928,COMISIONES!$C$2:$C$33,1,0)</f>
        <v>#N/A</v>
      </c>
      <c r="AB928" s="13" t="s">
        <v>269</v>
      </c>
    </row>
    <row r="929" spans="1:28" hidden="1">
      <c r="A929" s="117"/>
      <c r="B929" s="138"/>
      <c r="C929" s="117"/>
      <c r="D929" s="117"/>
      <c r="E929" s="117"/>
      <c r="F929" s="117"/>
      <c r="G929" s="117"/>
      <c r="H929" s="117"/>
      <c r="I929"/>
      <c r="J929"/>
      <c r="K929" s="117"/>
      <c r="L929"/>
      <c r="M929" s="117"/>
      <c r="N929" s="117"/>
      <c r="O929" s="117"/>
      <c r="P929" s="117"/>
      <c r="Q929"/>
      <c r="R929" s="117"/>
      <c r="S929" s="117"/>
      <c r="T929" s="117"/>
      <c r="U929" s="117"/>
      <c r="V929" s="12"/>
      <c r="W929" s="12"/>
      <c r="X929" s="67" t="e">
        <f>+VLOOKUP(Q929,COMISIONES!$C$2:$AO$33,39,0)</f>
        <v>#N/A</v>
      </c>
      <c r="Y929" s="67" t="e">
        <f t="shared" si="14"/>
        <v>#N/A</v>
      </c>
      <c r="Z929" s="195"/>
      <c r="AA929" s="13" t="e">
        <f>+VLOOKUP(Q929,COMISIONES!$C$2:$C$33,1,0)</f>
        <v>#N/A</v>
      </c>
      <c r="AB929" s="13" t="s">
        <v>269</v>
      </c>
    </row>
    <row r="930" spans="1:28" hidden="1">
      <c r="A930" s="117"/>
      <c r="B930" s="138"/>
      <c r="C930" s="117"/>
      <c r="D930" s="117"/>
      <c r="E930" s="117"/>
      <c r="F930" s="117"/>
      <c r="G930" s="117"/>
      <c r="H930" s="117"/>
      <c r="I930"/>
      <c r="J930"/>
      <c r="K930" s="117"/>
      <c r="L930"/>
      <c r="M930" s="117"/>
      <c r="N930" s="117"/>
      <c r="O930" s="117"/>
      <c r="P930" s="117"/>
      <c r="Q930"/>
      <c r="R930" s="117"/>
      <c r="S930" s="117"/>
      <c r="T930" s="117"/>
      <c r="U930" s="117"/>
      <c r="V930" s="12"/>
      <c r="W930" s="12"/>
      <c r="X930" s="67" t="e">
        <f>+VLOOKUP(Q930,COMISIONES!$C$2:$AO$33,39,0)</f>
        <v>#N/A</v>
      </c>
      <c r="Y930" s="67" t="e">
        <f t="shared" si="14"/>
        <v>#N/A</v>
      </c>
      <c r="Z930" s="195"/>
      <c r="AA930" s="13" t="e">
        <f>+VLOOKUP(Q930,COMISIONES!$C$2:$C$33,1,0)</f>
        <v>#N/A</v>
      </c>
      <c r="AB930" s="13" t="s">
        <v>269</v>
      </c>
    </row>
    <row r="931" spans="1:28" hidden="1">
      <c r="A931" s="117"/>
      <c r="B931" s="138"/>
      <c r="C931" s="117"/>
      <c r="D931" s="117"/>
      <c r="E931" s="117"/>
      <c r="F931" s="117"/>
      <c r="G931" s="117"/>
      <c r="H931" s="117"/>
      <c r="I931"/>
      <c r="J931"/>
      <c r="K931" s="117"/>
      <c r="L931"/>
      <c r="M931" s="117"/>
      <c r="N931" s="117"/>
      <c r="O931" s="117"/>
      <c r="P931" s="117"/>
      <c r="Q931"/>
      <c r="R931" s="117"/>
      <c r="S931" s="117"/>
      <c r="T931" s="117"/>
      <c r="U931" s="117"/>
      <c r="V931" s="12"/>
      <c r="W931" s="12"/>
      <c r="X931" s="67" t="e">
        <f>+VLOOKUP(Q931,COMISIONES!$C$2:$AO$33,39,0)</f>
        <v>#N/A</v>
      </c>
      <c r="Y931" s="67" t="e">
        <f t="shared" si="14"/>
        <v>#N/A</v>
      </c>
      <c r="Z931" s="195"/>
      <c r="AA931" s="13" t="e">
        <f>+VLOOKUP(Q931,COMISIONES!$C$2:$C$33,1,0)</f>
        <v>#N/A</v>
      </c>
      <c r="AB931" s="13" t="s">
        <v>269</v>
      </c>
    </row>
    <row r="932" spans="1:28" hidden="1">
      <c r="A932" s="117"/>
      <c r="B932" s="138"/>
      <c r="C932" s="117"/>
      <c r="D932" s="117"/>
      <c r="E932" s="117"/>
      <c r="F932" s="117"/>
      <c r="G932" s="117"/>
      <c r="H932" s="117"/>
      <c r="I932"/>
      <c r="J932"/>
      <c r="K932" s="117"/>
      <c r="L932"/>
      <c r="M932" s="117"/>
      <c r="N932" s="117"/>
      <c r="O932" s="117"/>
      <c r="P932" s="117"/>
      <c r="Q932"/>
      <c r="R932" s="117"/>
      <c r="S932" s="117"/>
      <c r="T932" s="117"/>
      <c r="U932" s="117"/>
      <c r="V932" s="12"/>
      <c r="W932" s="12"/>
      <c r="X932" s="67" t="e">
        <f>+VLOOKUP(Q932,COMISIONES!$C$2:$AO$33,39,0)</f>
        <v>#N/A</v>
      </c>
      <c r="Y932" s="67" t="e">
        <f t="shared" si="14"/>
        <v>#N/A</v>
      </c>
      <c r="Z932" s="195"/>
      <c r="AA932" s="13" t="e">
        <f>+VLOOKUP(Q932,COMISIONES!$C$2:$C$33,1,0)</f>
        <v>#N/A</v>
      </c>
      <c r="AB932" s="13" t="s">
        <v>269</v>
      </c>
    </row>
    <row r="933" spans="1:28" hidden="1">
      <c r="A933" s="117"/>
      <c r="B933" s="138"/>
      <c r="C933" s="117"/>
      <c r="D933" s="117"/>
      <c r="E933" s="117"/>
      <c r="F933" s="117"/>
      <c r="G933" s="117"/>
      <c r="H933" s="117"/>
      <c r="I933"/>
      <c r="J933"/>
      <c r="K933" s="117"/>
      <c r="L933"/>
      <c r="M933" s="117"/>
      <c r="N933" s="117"/>
      <c r="O933" s="117"/>
      <c r="P933" s="117"/>
      <c r="Q933"/>
      <c r="R933" s="117"/>
      <c r="S933" s="117"/>
      <c r="T933" s="117"/>
      <c r="U933" s="117"/>
      <c r="V933" s="12"/>
      <c r="W933" s="12"/>
      <c r="X933" s="67" t="e">
        <f>+VLOOKUP(Q933,COMISIONES!$C$2:$AO$33,39,0)</f>
        <v>#N/A</v>
      </c>
      <c r="Y933" s="67" t="e">
        <f t="shared" si="14"/>
        <v>#N/A</v>
      </c>
      <c r="Z933" s="195"/>
      <c r="AA933" s="13" t="e">
        <f>+VLOOKUP(Q933,COMISIONES!$C$2:$C$33,1,0)</f>
        <v>#N/A</v>
      </c>
      <c r="AB933" s="13" t="s">
        <v>269</v>
      </c>
    </row>
    <row r="934" spans="1:28" hidden="1">
      <c r="A934" s="117"/>
      <c r="B934" s="138"/>
      <c r="C934" s="117"/>
      <c r="D934" s="117"/>
      <c r="E934" s="117"/>
      <c r="F934" s="117"/>
      <c r="G934" s="117"/>
      <c r="H934" s="117"/>
      <c r="I934"/>
      <c r="J934"/>
      <c r="K934" s="117"/>
      <c r="L934"/>
      <c r="M934" s="117"/>
      <c r="N934" s="117"/>
      <c r="O934" s="117"/>
      <c r="P934" s="117"/>
      <c r="Q934"/>
      <c r="R934" s="117"/>
      <c r="S934" s="117"/>
      <c r="T934" s="117"/>
      <c r="U934" s="117"/>
      <c r="V934" s="12"/>
      <c r="W934" s="12"/>
      <c r="X934" s="67" t="e">
        <f>+VLOOKUP(Q934,COMISIONES!$C$2:$AO$33,39,0)</f>
        <v>#N/A</v>
      </c>
      <c r="Y934" s="67" t="e">
        <f t="shared" si="14"/>
        <v>#N/A</v>
      </c>
      <c r="Z934" s="195"/>
      <c r="AA934" s="13" t="e">
        <f>+VLOOKUP(Q934,COMISIONES!$C$2:$C$33,1,0)</f>
        <v>#N/A</v>
      </c>
      <c r="AB934" s="13" t="s">
        <v>269</v>
      </c>
    </row>
    <row r="935" spans="1:28" hidden="1">
      <c r="A935" s="117"/>
      <c r="B935" s="138"/>
      <c r="C935" s="117"/>
      <c r="D935" s="117"/>
      <c r="E935" s="117"/>
      <c r="F935" s="117"/>
      <c r="G935" s="117"/>
      <c r="H935" s="117"/>
      <c r="I935"/>
      <c r="J935"/>
      <c r="K935" s="117"/>
      <c r="L935"/>
      <c r="M935" s="117"/>
      <c r="N935" s="117"/>
      <c r="O935" s="117"/>
      <c r="P935" s="117"/>
      <c r="Q935"/>
      <c r="R935" s="117"/>
      <c r="S935" s="117"/>
      <c r="T935" s="117"/>
      <c r="U935" s="117"/>
      <c r="V935" s="12"/>
      <c r="W935" s="12"/>
      <c r="X935" s="67" t="e">
        <f>+VLOOKUP(Q935,COMISIONES!$C$2:$AO$33,39,0)</f>
        <v>#N/A</v>
      </c>
      <c r="Y935" s="67" t="e">
        <f t="shared" si="14"/>
        <v>#N/A</v>
      </c>
      <c r="Z935" s="195"/>
      <c r="AA935" s="13" t="e">
        <f>+VLOOKUP(Q935,COMISIONES!$C$2:$C$33,1,0)</f>
        <v>#N/A</v>
      </c>
      <c r="AB935" s="13" t="s">
        <v>269</v>
      </c>
    </row>
    <row r="936" spans="1:28" hidden="1">
      <c r="A936" s="117"/>
      <c r="B936" s="138"/>
      <c r="C936" s="117"/>
      <c r="D936" s="117"/>
      <c r="E936" s="117"/>
      <c r="F936" s="117"/>
      <c r="G936" s="117"/>
      <c r="H936" s="117"/>
      <c r="I936"/>
      <c r="J936"/>
      <c r="K936" s="117"/>
      <c r="L936"/>
      <c r="M936" s="117"/>
      <c r="N936" s="117"/>
      <c r="O936" s="117"/>
      <c r="P936" s="117"/>
      <c r="Q936"/>
      <c r="R936" s="117"/>
      <c r="S936" s="117"/>
      <c r="T936" s="117"/>
      <c r="U936" s="117"/>
      <c r="V936" s="12"/>
      <c r="W936" s="12"/>
      <c r="X936" s="67" t="e">
        <f>+VLOOKUP(Q936,COMISIONES!$C$2:$AO$33,39,0)</f>
        <v>#N/A</v>
      </c>
      <c r="Y936" s="67" t="e">
        <f t="shared" si="14"/>
        <v>#N/A</v>
      </c>
      <c r="Z936" s="195"/>
      <c r="AA936" s="13" t="e">
        <f>+VLOOKUP(Q936,COMISIONES!$C$2:$C$33,1,0)</f>
        <v>#N/A</v>
      </c>
      <c r="AB936" s="13" t="s">
        <v>269</v>
      </c>
    </row>
    <row r="937" spans="1:28" hidden="1">
      <c r="A937" s="117"/>
      <c r="B937" s="138"/>
      <c r="C937" s="117"/>
      <c r="D937" s="117"/>
      <c r="E937" s="117"/>
      <c r="F937" s="117"/>
      <c r="G937" s="117"/>
      <c r="H937" s="117"/>
      <c r="I937"/>
      <c r="J937"/>
      <c r="K937" s="117"/>
      <c r="L937"/>
      <c r="M937" s="117"/>
      <c r="N937" s="117"/>
      <c r="O937" s="117"/>
      <c r="P937" s="117"/>
      <c r="Q937"/>
      <c r="R937" s="117"/>
      <c r="S937" s="117"/>
      <c r="T937" s="117"/>
      <c r="U937" s="117"/>
      <c r="V937" s="12"/>
      <c r="W937" s="12"/>
      <c r="X937" s="67" t="e">
        <f>+VLOOKUP(Q937,COMISIONES!$C$2:$AO$33,39,0)</f>
        <v>#N/A</v>
      </c>
      <c r="Y937" s="67" t="e">
        <f t="shared" si="14"/>
        <v>#N/A</v>
      </c>
      <c r="Z937" s="195"/>
      <c r="AA937" s="13" t="e">
        <f>+VLOOKUP(Q937,COMISIONES!$C$2:$C$33,1,0)</f>
        <v>#N/A</v>
      </c>
      <c r="AB937" s="13" t="s">
        <v>269</v>
      </c>
    </row>
    <row r="938" spans="1:28" hidden="1">
      <c r="A938" s="117"/>
      <c r="B938" s="138"/>
      <c r="C938" s="117"/>
      <c r="D938" s="117"/>
      <c r="E938" s="117"/>
      <c r="F938" s="117"/>
      <c r="G938" s="117"/>
      <c r="H938" s="117"/>
      <c r="I938"/>
      <c r="J938"/>
      <c r="K938" s="117"/>
      <c r="L938"/>
      <c r="M938" s="117"/>
      <c r="N938" s="117"/>
      <c r="O938" s="117"/>
      <c r="P938" s="117"/>
      <c r="Q938"/>
      <c r="R938" s="117"/>
      <c r="S938" s="117"/>
      <c r="T938" s="117"/>
      <c r="U938" s="117"/>
      <c r="V938" s="12"/>
      <c r="W938" s="12"/>
      <c r="X938" s="67" t="e">
        <f>+VLOOKUP(Q938,COMISIONES!$C$2:$AO$33,39,0)</f>
        <v>#N/A</v>
      </c>
      <c r="Y938" s="67" t="e">
        <f t="shared" si="14"/>
        <v>#N/A</v>
      </c>
      <c r="Z938" s="195"/>
      <c r="AA938" s="13" t="e">
        <f>+VLOOKUP(Q938,COMISIONES!$C$2:$C$33,1,0)</f>
        <v>#N/A</v>
      </c>
      <c r="AB938" s="13" t="s">
        <v>269</v>
      </c>
    </row>
    <row r="939" spans="1:28" hidden="1">
      <c r="A939" s="117"/>
      <c r="B939" s="138"/>
      <c r="C939" s="117"/>
      <c r="D939" s="117"/>
      <c r="E939" s="117"/>
      <c r="F939" s="117"/>
      <c r="G939" s="117"/>
      <c r="H939" s="117"/>
      <c r="I939"/>
      <c r="J939"/>
      <c r="K939" s="117"/>
      <c r="L939"/>
      <c r="M939" s="117"/>
      <c r="N939" s="117"/>
      <c r="O939" s="117"/>
      <c r="P939" s="117"/>
      <c r="Q939"/>
      <c r="R939" s="117"/>
      <c r="S939" s="117"/>
      <c r="T939" s="117"/>
      <c r="U939" s="117"/>
      <c r="V939" s="12"/>
      <c r="W939" s="12"/>
      <c r="X939" s="67" t="e">
        <f>+VLOOKUP(Q939,COMISIONES!$C$2:$AO$33,39,0)</f>
        <v>#N/A</v>
      </c>
      <c r="Y939" s="67" t="e">
        <f t="shared" ref="Y939:Y1002" si="15">X939*W939</f>
        <v>#N/A</v>
      </c>
      <c r="Z939" s="195"/>
      <c r="AA939" s="13" t="e">
        <f>+VLOOKUP(Q939,COMISIONES!$C$2:$C$33,1,0)</f>
        <v>#N/A</v>
      </c>
      <c r="AB939" s="13" t="s">
        <v>269</v>
      </c>
    </row>
    <row r="940" spans="1:28" hidden="1">
      <c r="A940" s="117"/>
      <c r="B940" s="138"/>
      <c r="C940" s="117"/>
      <c r="D940" s="117"/>
      <c r="E940" s="117"/>
      <c r="F940" s="117"/>
      <c r="G940" s="117"/>
      <c r="H940" s="117"/>
      <c r="I940"/>
      <c r="J940"/>
      <c r="K940" s="117"/>
      <c r="L940"/>
      <c r="M940" s="117"/>
      <c r="N940" s="117"/>
      <c r="O940" s="117"/>
      <c r="P940" s="117"/>
      <c r="Q940"/>
      <c r="R940" s="117"/>
      <c r="S940" s="117"/>
      <c r="T940" s="117"/>
      <c r="U940" s="117"/>
      <c r="V940" s="12"/>
      <c r="W940" s="12"/>
      <c r="X940" s="67" t="e">
        <f>+VLOOKUP(Q940,COMISIONES!$C$2:$AO$33,39,0)</f>
        <v>#N/A</v>
      </c>
      <c r="Y940" s="67" t="e">
        <f t="shared" si="15"/>
        <v>#N/A</v>
      </c>
      <c r="Z940" s="195"/>
      <c r="AA940" s="13" t="e">
        <f>+VLOOKUP(Q940,COMISIONES!$C$2:$C$33,1,0)</f>
        <v>#N/A</v>
      </c>
      <c r="AB940" s="13" t="s">
        <v>269</v>
      </c>
    </row>
    <row r="941" spans="1:28" hidden="1">
      <c r="A941" s="117"/>
      <c r="B941" s="138"/>
      <c r="C941" s="117"/>
      <c r="D941" s="117"/>
      <c r="E941" s="117"/>
      <c r="F941" s="117"/>
      <c r="G941" s="117"/>
      <c r="H941" s="117"/>
      <c r="I941"/>
      <c r="J941"/>
      <c r="K941" s="117"/>
      <c r="L941"/>
      <c r="M941" s="117"/>
      <c r="N941" s="117"/>
      <c r="O941" s="117"/>
      <c r="P941" s="117"/>
      <c r="Q941"/>
      <c r="R941" s="117"/>
      <c r="S941" s="117"/>
      <c r="T941" s="117"/>
      <c r="U941" s="117"/>
      <c r="V941" s="12"/>
      <c r="W941" s="12"/>
      <c r="X941" s="67" t="e">
        <f>+VLOOKUP(Q941,COMISIONES!$C$2:$AO$33,39,0)</f>
        <v>#N/A</v>
      </c>
      <c r="Y941" s="67" t="e">
        <f t="shared" si="15"/>
        <v>#N/A</v>
      </c>
      <c r="Z941" s="195"/>
      <c r="AA941" s="13" t="e">
        <f>+VLOOKUP(Q941,COMISIONES!$C$2:$C$33,1,0)</f>
        <v>#N/A</v>
      </c>
      <c r="AB941" s="13" t="s">
        <v>269</v>
      </c>
    </row>
    <row r="942" spans="1:28" hidden="1">
      <c r="A942" s="117"/>
      <c r="B942" s="138"/>
      <c r="C942" s="117"/>
      <c r="D942" s="117"/>
      <c r="E942" s="117"/>
      <c r="F942" s="117"/>
      <c r="G942" s="117"/>
      <c r="H942" s="117"/>
      <c r="I942"/>
      <c r="J942"/>
      <c r="K942" s="117"/>
      <c r="L942"/>
      <c r="M942" s="117"/>
      <c r="N942" s="117"/>
      <c r="O942" s="117"/>
      <c r="P942" s="117"/>
      <c r="Q942"/>
      <c r="R942" s="117"/>
      <c r="S942" s="117"/>
      <c r="T942" s="117"/>
      <c r="U942" s="117"/>
      <c r="V942" s="12"/>
      <c r="W942" s="12"/>
      <c r="X942" s="67" t="e">
        <f>+VLOOKUP(Q942,COMISIONES!$C$2:$AO$33,39,0)</f>
        <v>#N/A</v>
      </c>
      <c r="Y942" s="67" t="e">
        <f t="shared" si="15"/>
        <v>#N/A</v>
      </c>
      <c r="Z942" s="195"/>
      <c r="AA942" s="13" t="e">
        <f>+VLOOKUP(Q942,COMISIONES!$C$2:$C$33,1,0)</f>
        <v>#N/A</v>
      </c>
      <c r="AB942" s="13" t="s">
        <v>269</v>
      </c>
    </row>
    <row r="943" spans="1:28" hidden="1">
      <c r="A943" s="117"/>
      <c r="B943" s="138"/>
      <c r="C943" s="117"/>
      <c r="D943" s="117"/>
      <c r="E943" s="117"/>
      <c r="F943" s="117"/>
      <c r="G943" s="117"/>
      <c r="H943" s="117"/>
      <c r="I943"/>
      <c r="J943"/>
      <c r="K943" s="117"/>
      <c r="L943"/>
      <c r="M943" s="117"/>
      <c r="N943" s="117"/>
      <c r="O943" s="117"/>
      <c r="P943" s="117"/>
      <c r="Q943"/>
      <c r="R943" s="117"/>
      <c r="S943" s="117"/>
      <c r="T943" s="117"/>
      <c r="U943" s="117"/>
      <c r="V943" s="12"/>
      <c r="W943" s="12"/>
      <c r="X943" s="67" t="e">
        <f>+VLOOKUP(Q943,COMISIONES!$C$2:$AO$33,39,0)</f>
        <v>#N/A</v>
      </c>
      <c r="Y943" s="67" t="e">
        <f t="shared" si="15"/>
        <v>#N/A</v>
      </c>
      <c r="Z943" s="195"/>
      <c r="AA943" s="13" t="e">
        <f>+VLOOKUP(Q943,COMISIONES!$C$2:$C$33,1,0)</f>
        <v>#N/A</v>
      </c>
      <c r="AB943" s="13" t="s">
        <v>269</v>
      </c>
    </row>
    <row r="944" spans="1:28" hidden="1">
      <c r="A944" s="117"/>
      <c r="B944" s="138"/>
      <c r="C944" s="117"/>
      <c r="D944" s="117"/>
      <c r="E944" s="117"/>
      <c r="F944" s="117"/>
      <c r="G944" s="117"/>
      <c r="H944" s="117"/>
      <c r="I944"/>
      <c r="J944"/>
      <c r="K944" s="117"/>
      <c r="L944"/>
      <c r="M944" s="117"/>
      <c r="N944" s="117"/>
      <c r="O944" s="117"/>
      <c r="P944" s="117"/>
      <c r="Q944"/>
      <c r="R944" s="117"/>
      <c r="S944" s="117"/>
      <c r="T944" s="117"/>
      <c r="U944" s="117"/>
      <c r="V944" s="12"/>
      <c r="W944" s="12"/>
      <c r="X944" s="67" t="e">
        <f>+VLOOKUP(Q944,COMISIONES!$C$2:$AO$33,39,0)</f>
        <v>#N/A</v>
      </c>
      <c r="Y944" s="67" t="e">
        <f t="shared" si="15"/>
        <v>#N/A</v>
      </c>
      <c r="Z944" s="195"/>
      <c r="AA944" s="13" t="e">
        <f>+VLOOKUP(Q944,COMISIONES!$C$2:$C$33,1,0)</f>
        <v>#N/A</v>
      </c>
      <c r="AB944" s="13" t="s">
        <v>269</v>
      </c>
    </row>
    <row r="945" spans="1:28" hidden="1">
      <c r="A945" s="117"/>
      <c r="B945" s="138"/>
      <c r="C945" s="117"/>
      <c r="D945" s="117"/>
      <c r="E945" s="117"/>
      <c r="F945" s="117"/>
      <c r="G945" s="117"/>
      <c r="H945" s="117"/>
      <c r="I945"/>
      <c r="J945"/>
      <c r="K945" s="117"/>
      <c r="L945"/>
      <c r="M945" s="117"/>
      <c r="N945" s="117"/>
      <c r="O945" s="117"/>
      <c r="P945" s="117"/>
      <c r="Q945"/>
      <c r="R945" s="117"/>
      <c r="S945" s="117"/>
      <c r="T945" s="117"/>
      <c r="U945" s="117"/>
      <c r="V945" s="12"/>
      <c r="W945" s="12"/>
      <c r="X945" s="67" t="e">
        <f>+VLOOKUP(Q945,COMISIONES!$C$2:$AO$33,39,0)</f>
        <v>#N/A</v>
      </c>
      <c r="Y945" s="67" t="e">
        <f t="shared" si="15"/>
        <v>#N/A</v>
      </c>
      <c r="Z945" s="195"/>
      <c r="AA945" s="13" t="e">
        <f>+VLOOKUP(Q945,COMISIONES!$C$2:$C$33,1,0)</f>
        <v>#N/A</v>
      </c>
      <c r="AB945" s="13" t="s">
        <v>269</v>
      </c>
    </row>
    <row r="946" spans="1:28" hidden="1">
      <c r="A946" s="117"/>
      <c r="B946" s="138"/>
      <c r="C946" s="117"/>
      <c r="D946" s="117"/>
      <c r="E946" s="117"/>
      <c r="F946" s="117"/>
      <c r="G946" s="117"/>
      <c r="H946" s="117"/>
      <c r="I946"/>
      <c r="J946"/>
      <c r="K946" s="117"/>
      <c r="L946"/>
      <c r="M946" s="117"/>
      <c r="N946" s="117"/>
      <c r="O946" s="117"/>
      <c r="P946" s="117"/>
      <c r="Q946"/>
      <c r="R946" s="117"/>
      <c r="S946" s="117"/>
      <c r="T946" s="117"/>
      <c r="U946" s="117"/>
      <c r="X946" s="67" t="e">
        <f>+VLOOKUP(Q946,COMISIONES!$C$2:$AO$33,39,0)</f>
        <v>#N/A</v>
      </c>
      <c r="Y946" s="67" t="e">
        <f t="shared" si="15"/>
        <v>#N/A</v>
      </c>
      <c r="Z946" s="195"/>
      <c r="AA946" s="13" t="e">
        <f>+VLOOKUP(Q946,COMISIONES!$C$2:$C$33,1,0)</f>
        <v>#N/A</v>
      </c>
      <c r="AB946" s="13" t="s">
        <v>269</v>
      </c>
    </row>
    <row r="947" spans="1:28" hidden="1">
      <c r="A947" s="117"/>
      <c r="B947" s="138"/>
      <c r="C947" s="117"/>
      <c r="D947" s="117"/>
      <c r="E947" s="117"/>
      <c r="F947" s="117"/>
      <c r="G947" s="117"/>
      <c r="H947" s="117"/>
      <c r="I947"/>
      <c r="J947"/>
      <c r="K947" s="117"/>
      <c r="L947"/>
      <c r="M947" s="117"/>
      <c r="N947" s="117"/>
      <c r="O947" s="117"/>
      <c r="P947" s="117"/>
      <c r="Q947"/>
      <c r="R947" s="117"/>
      <c r="S947" s="117"/>
      <c r="T947" s="117"/>
      <c r="U947" s="117"/>
      <c r="X947" s="67" t="e">
        <f>+VLOOKUP(Q947,COMISIONES!$C$2:$AO$33,39,0)</f>
        <v>#N/A</v>
      </c>
      <c r="Y947" s="67" t="e">
        <f t="shared" si="15"/>
        <v>#N/A</v>
      </c>
      <c r="Z947" s="195"/>
      <c r="AA947" s="13" t="e">
        <f>+VLOOKUP(Q947,COMISIONES!$C$2:$C$33,1,0)</f>
        <v>#N/A</v>
      </c>
      <c r="AB947" s="13" t="s">
        <v>269</v>
      </c>
    </row>
    <row r="948" spans="1:28" hidden="1">
      <c r="A948" s="117"/>
      <c r="B948" s="138"/>
      <c r="C948" s="117"/>
      <c r="D948" s="117"/>
      <c r="E948" s="117"/>
      <c r="F948" s="117"/>
      <c r="G948" s="117"/>
      <c r="H948" s="117"/>
      <c r="I948"/>
      <c r="J948"/>
      <c r="K948" s="117"/>
      <c r="L948"/>
      <c r="M948" s="117"/>
      <c r="N948" s="117"/>
      <c r="O948" s="117"/>
      <c r="P948" s="117"/>
      <c r="Q948"/>
      <c r="R948" s="117"/>
      <c r="S948" s="117"/>
      <c r="T948" s="117"/>
      <c r="U948" s="117"/>
      <c r="X948" s="67" t="e">
        <f>+VLOOKUP(Q948,COMISIONES!$C$2:$AO$33,39,0)</f>
        <v>#N/A</v>
      </c>
      <c r="Y948" s="67" t="e">
        <f t="shared" si="15"/>
        <v>#N/A</v>
      </c>
      <c r="Z948" s="195"/>
      <c r="AA948" s="13" t="e">
        <f>+VLOOKUP(Q948,COMISIONES!$C$2:$C$33,1,0)</f>
        <v>#N/A</v>
      </c>
      <c r="AB948" s="13" t="s">
        <v>269</v>
      </c>
    </row>
    <row r="949" spans="1:28" hidden="1">
      <c r="A949" s="117"/>
      <c r="B949" s="138"/>
      <c r="C949" s="117"/>
      <c r="D949" s="117"/>
      <c r="E949" s="117"/>
      <c r="F949" s="117"/>
      <c r="G949" s="117"/>
      <c r="H949" s="117"/>
      <c r="I949"/>
      <c r="J949"/>
      <c r="K949" s="117"/>
      <c r="L949"/>
      <c r="M949" s="117"/>
      <c r="N949" s="117"/>
      <c r="O949" s="117"/>
      <c r="P949" s="117"/>
      <c r="Q949"/>
      <c r="R949" s="117"/>
      <c r="S949" s="117"/>
      <c r="T949" s="117"/>
      <c r="U949" s="117"/>
      <c r="X949" s="67" t="e">
        <f>+VLOOKUP(Q949,COMISIONES!$C$2:$AO$33,39,0)</f>
        <v>#N/A</v>
      </c>
      <c r="Y949" s="67" t="e">
        <f t="shared" si="15"/>
        <v>#N/A</v>
      </c>
      <c r="Z949" s="195"/>
      <c r="AA949" s="13" t="e">
        <f>+VLOOKUP(Q949,COMISIONES!$C$2:$C$33,1,0)</f>
        <v>#N/A</v>
      </c>
      <c r="AB949" s="13" t="s">
        <v>269</v>
      </c>
    </row>
    <row r="950" spans="1:28" hidden="1">
      <c r="A950" s="117"/>
      <c r="B950" s="138"/>
      <c r="C950" s="117"/>
      <c r="D950" s="117"/>
      <c r="E950" s="117"/>
      <c r="F950" s="117"/>
      <c r="G950" s="117"/>
      <c r="H950" s="117"/>
      <c r="I950"/>
      <c r="J950"/>
      <c r="K950" s="117"/>
      <c r="L950"/>
      <c r="M950" s="117"/>
      <c r="N950" s="117"/>
      <c r="O950" s="117"/>
      <c r="P950" s="117"/>
      <c r="Q950"/>
      <c r="R950" s="117"/>
      <c r="S950" s="117"/>
      <c r="T950" s="117"/>
      <c r="U950" s="117"/>
      <c r="X950" s="67" t="e">
        <f>+VLOOKUP(Q950,COMISIONES!$C$2:$AO$33,39,0)</f>
        <v>#N/A</v>
      </c>
      <c r="Y950" s="67" t="e">
        <f t="shared" si="15"/>
        <v>#N/A</v>
      </c>
      <c r="Z950" s="195"/>
      <c r="AA950" s="13" t="e">
        <f>+VLOOKUP(Q950,COMISIONES!$C$2:$C$33,1,0)</f>
        <v>#N/A</v>
      </c>
      <c r="AB950" s="13" t="s">
        <v>269</v>
      </c>
    </row>
    <row r="951" spans="1:28" hidden="1">
      <c r="A951" s="117"/>
      <c r="B951" s="138"/>
      <c r="C951" s="117"/>
      <c r="D951" s="117"/>
      <c r="E951" s="117"/>
      <c r="F951" s="117"/>
      <c r="G951" s="117"/>
      <c r="H951" s="117"/>
      <c r="I951"/>
      <c r="J951"/>
      <c r="K951" s="117"/>
      <c r="L951"/>
      <c r="M951" s="117"/>
      <c r="N951" s="117"/>
      <c r="O951" s="117"/>
      <c r="P951" s="117"/>
      <c r="Q951"/>
      <c r="R951" s="117"/>
      <c r="S951" s="117"/>
      <c r="T951" s="117"/>
      <c r="U951" s="117"/>
      <c r="V951" s="12"/>
      <c r="W951" s="12"/>
      <c r="X951" s="67" t="e">
        <f>+VLOOKUP(Q951,COMISIONES!$C$2:$AO$33,39,0)</f>
        <v>#N/A</v>
      </c>
      <c r="Y951" s="67" t="e">
        <f t="shared" si="15"/>
        <v>#N/A</v>
      </c>
      <c r="Z951" s="58"/>
      <c r="AA951" s="13" t="e">
        <f>+VLOOKUP(Q951,COMISIONES!$C$2:$C$33,1,0)</f>
        <v>#N/A</v>
      </c>
      <c r="AB951" s="13" t="s">
        <v>269</v>
      </c>
    </row>
    <row r="952" spans="1:28" hidden="1">
      <c r="A952" s="117"/>
      <c r="B952" s="138"/>
      <c r="C952" s="117"/>
      <c r="D952" s="117"/>
      <c r="E952" s="117"/>
      <c r="F952" s="117"/>
      <c r="G952" s="117"/>
      <c r="H952" s="117"/>
      <c r="I952"/>
      <c r="J952"/>
      <c r="K952" s="117"/>
      <c r="L952"/>
      <c r="M952" s="117"/>
      <c r="N952" s="117"/>
      <c r="O952" s="117"/>
      <c r="P952" s="117"/>
      <c r="Q952"/>
      <c r="R952" s="117"/>
      <c r="S952" s="117"/>
      <c r="T952" s="117"/>
      <c r="U952" s="117"/>
      <c r="V952" s="12"/>
      <c r="W952" s="12"/>
      <c r="X952" s="67" t="e">
        <f>+VLOOKUP(Q952,COMISIONES!$C$2:$AO$33,39,0)</f>
        <v>#N/A</v>
      </c>
      <c r="Y952" s="67" t="e">
        <f t="shared" si="15"/>
        <v>#N/A</v>
      </c>
      <c r="Z952" s="58"/>
      <c r="AA952" s="13" t="e">
        <f>+VLOOKUP(Q952,COMISIONES!$C$2:$C$33,1,0)</f>
        <v>#N/A</v>
      </c>
      <c r="AB952" s="13" t="s">
        <v>269</v>
      </c>
    </row>
    <row r="953" spans="1:28" hidden="1">
      <c r="A953" s="117"/>
      <c r="B953" s="138"/>
      <c r="C953" s="117"/>
      <c r="D953" s="117"/>
      <c r="E953" s="117"/>
      <c r="F953" s="117"/>
      <c r="G953" s="117"/>
      <c r="H953" s="117"/>
      <c r="I953"/>
      <c r="J953"/>
      <c r="K953" s="117"/>
      <c r="L953"/>
      <c r="M953" s="117"/>
      <c r="N953" s="117"/>
      <c r="O953" s="117"/>
      <c r="P953" s="117"/>
      <c r="Q953"/>
      <c r="R953" s="117"/>
      <c r="S953" s="117"/>
      <c r="T953" s="117"/>
      <c r="U953" s="117"/>
      <c r="V953" s="12"/>
      <c r="W953" s="12"/>
      <c r="X953" s="67" t="e">
        <f>+VLOOKUP(Q953,COMISIONES!$C$2:$AO$33,39,0)</f>
        <v>#N/A</v>
      </c>
      <c r="Y953" s="67" t="e">
        <f t="shared" si="15"/>
        <v>#N/A</v>
      </c>
      <c r="Z953" s="58"/>
      <c r="AA953" s="13" t="e">
        <f>+VLOOKUP(Q953,COMISIONES!$C$2:$C$33,1,0)</f>
        <v>#N/A</v>
      </c>
      <c r="AB953" s="13" t="s">
        <v>269</v>
      </c>
    </row>
    <row r="954" spans="1:28" hidden="1">
      <c r="A954" s="117"/>
      <c r="B954" s="138"/>
      <c r="C954" s="117"/>
      <c r="D954" s="117"/>
      <c r="E954" s="117"/>
      <c r="F954" s="117"/>
      <c r="G954" s="117"/>
      <c r="H954" s="117"/>
      <c r="I954"/>
      <c r="J954"/>
      <c r="K954" s="117"/>
      <c r="L954"/>
      <c r="M954" s="117"/>
      <c r="N954" s="117"/>
      <c r="O954" s="117"/>
      <c r="P954" s="117"/>
      <c r="Q954"/>
      <c r="R954" s="117"/>
      <c r="S954" s="117"/>
      <c r="T954" s="117"/>
      <c r="U954" s="117"/>
      <c r="V954" s="12"/>
      <c r="W954" s="12"/>
      <c r="X954" s="67" t="e">
        <f>+VLOOKUP(Q954,COMISIONES!$C$2:$AO$33,39,0)</f>
        <v>#N/A</v>
      </c>
      <c r="Y954" s="67" t="e">
        <f t="shared" si="15"/>
        <v>#N/A</v>
      </c>
      <c r="Z954" s="58"/>
      <c r="AA954" s="13" t="e">
        <f>+VLOOKUP(Q954,COMISIONES!$C$2:$C$33,1,0)</f>
        <v>#N/A</v>
      </c>
      <c r="AB954" s="13" t="s">
        <v>269</v>
      </c>
    </row>
    <row r="955" spans="1:28" hidden="1">
      <c r="A955" s="117"/>
      <c r="B955" s="138"/>
      <c r="C955" s="117"/>
      <c r="D955" s="117"/>
      <c r="E955" s="117"/>
      <c r="F955" s="117"/>
      <c r="G955" s="117"/>
      <c r="H955" s="117"/>
      <c r="I955"/>
      <c r="J955"/>
      <c r="K955" s="117"/>
      <c r="L955"/>
      <c r="M955" s="117"/>
      <c r="N955" s="117"/>
      <c r="O955" s="117"/>
      <c r="P955" s="117"/>
      <c r="Q955"/>
      <c r="R955" s="117"/>
      <c r="S955" s="117"/>
      <c r="T955" s="117"/>
      <c r="U955" s="117"/>
      <c r="V955" s="12"/>
      <c r="W955" s="12"/>
      <c r="X955" s="67" t="e">
        <f>+VLOOKUP(Q955,COMISIONES!$C$2:$AO$33,39,0)</f>
        <v>#N/A</v>
      </c>
      <c r="Y955" s="67" t="e">
        <f t="shared" si="15"/>
        <v>#N/A</v>
      </c>
      <c r="Z955" s="58"/>
      <c r="AA955" s="13" t="e">
        <f>+VLOOKUP(Q955,COMISIONES!$C$2:$C$33,1,0)</f>
        <v>#N/A</v>
      </c>
      <c r="AB955" s="13" t="s">
        <v>269</v>
      </c>
    </row>
    <row r="956" spans="1:28" hidden="1">
      <c r="A956" s="117"/>
      <c r="B956" s="138"/>
      <c r="C956" s="117"/>
      <c r="D956" s="117"/>
      <c r="E956" s="117"/>
      <c r="F956" s="117"/>
      <c r="G956" s="117"/>
      <c r="H956" s="117"/>
      <c r="I956"/>
      <c r="J956"/>
      <c r="K956" s="117"/>
      <c r="L956"/>
      <c r="M956" s="117"/>
      <c r="N956" s="117"/>
      <c r="O956" s="117"/>
      <c r="P956" s="117"/>
      <c r="Q956"/>
      <c r="R956" s="117"/>
      <c r="S956" s="117"/>
      <c r="T956" s="117"/>
      <c r="U956" s="117"/>
      <c r="V956" s="12"/>
      <c r="W956" s="12"/>
      <c r="X956" s="67" t="e">
        <f>+VLOOKUP(Q956,COMISIONES!$C$2:$AO$33,39,0)</f>
        <v>#N/A</v>
      </c>
      <c r="Y956" s="67" t="e">
        <f t="shared" si="15"/>
        <v>#N/A</v>
      </c>
      <c r="Z956" s="58"/>
      <c r="AA956" s="13" t="e">
        <f>+VLOOKUP(Q956,COMISIONES!$C$2:$C$33,1,0)</f>
        <v>#N/A</v>
      </c>
      <c r="AB956" s="13" t="s">
        <v>269</v>
      </c>
    </row>
    <row r="957" spans="1:28" hidden="1">
      <c r="A957" s="117"/>
      <c r="B957" s="138"/>
      <c r="C957" s="117"/>
      <c r="D957" s="117"/>
      <c r="E957" s="117"/>
      <c r="F957" s="117"/>
      <c r="G957" s="117"/>
      <c r="H957" s="117"/>
      <c r="I957"/>
      <c r="J957"/>
      <c r="K957" s="117"/>
      <c r="L957"/>
      <c r="M957" s="117"/>
      <c r="N957" s="117"/>
      <c r="O957" s="117"/>
      <c r="P957" s="117"/>
      <c r="Q957"/>
      <c r="R957" s="117"/>
      <c r="S957" s="117"/>
      <c r="T957" s="117"/>
      <c r="U957" s="117"/>
      <c r="V957" s="12"/>
      <c r="W957" s="12"/>
      <c r="X957" s="67" t="e">
        <f>+VLOOKUP(Q957,COMISIONES!$C$2:$AO$33,39,0)</f>
        <v>#N/A</v>
      </c>
      <c r="Y957" s="67" t="e">
        <f t="shared" si="15"/>
        <v>#N/A</v>
      </c>
      <c r="Z957" s="58"/>
      <c r="AA957" s="13" t="e">
        <f>+VLOOKUP(Q957,COMISIONES!$C$2:$C$33,1,0)</f>
        <v>#N/A</v>
      </c>
      <c r="AB957" s="13" t="s">
        <v>269</v>
      </c>
    </row>
    <row r="958" spans="1:28" hidden="1">
      <c r="A958" s="117"/>
      <c r="B958" s="138"/>
      <c r="C958" s="117"/>
      <c r="D958" s="117"/>
      <c r="E958" s="117"/>
      <c r="F958" s="117"/>
      <c r="G958" s="117"/>
      <c r="H958" s="117"/>
      <c r="I958"/>
      <c r="J958"/>
      <c r="K958" s="117"/>
      <c r="L958"/>
      <c r="M958" s="117"/>
      <c r="N958" s="117"/>
      <c r="O958" s="117"/>
      <c r="P958" s="117"/>
      <c r="Q958"/>
      <c r="R958" s="117"/>
      <c r="S958" s="117"/>
      <c r="T958" s="117"/>
      <c r="U958" s="117"/>
      <c r="V958" s="12"/>
      <c r="W958" s="12"/>
      <c r="X958" s="67" t="e">
        <f>+VLOOKUP(Q958,COMISIONES!$C$2:$AO$33,39,0)</f>
        <v>#N/A</v>
      </c>
      <c r="Y958" s="67" t="e">
        <f t="shared" si="15"/>
        <v>#N/A</v>
      </c>
      <c r="Z958" s="58"/>
      <c r="AA958" s="13" t="e">
        <f>+VLOOKUP(Q958,COMISIONES!$C$2:$C$33,1,0)</f>
        <v>#N/A</v>
      </c>
      <c r="AB958" s="13" t="s">
        <v>269</v>
      </c>
    </row>
    <row r="959" spans="1:28" hidden="1">
      <c r="A959" s="117"/>
      <c r="B959" s="138"/>
      <c r="C959" s="117"/>
      <c r="D959" s="117"/>
      <c r="E959" s="117"/>
      <c r="F959" s="117"/>
      <c r="G959" s="117"/>
      <c r="H959" s="117"/>
      <c r="I959"/>
      <c r="J959"/>
      <c r="K959" s="117"/>
      <c r="L959"/>
      <c r="M959" s="117"/>
      <c r="N959" s="117"/>
      <c r="O959" s="117"/>
      <c r="P959" s="117"/>
      <c r="Q959"/>
      <c r="R959" s="117"/>
      <c r="S959" s="117"/>
      <c r="T959" s="117"/>
      <c r="U959" s="117"/>
      <c r="X959" s="67" t="e">
        <f>+VLOOKUP(Q959,COMISIONES!$C$2:$AO$33,39,0)</f>
        <v>#N/A</v>
      </c>
      <c r="Y959" s="67" t="e">
        <f t="shared" si="15"/>
        <v>#N/A</v>
      </c>
      <c r="AA959" s="13" t="e">
        <f>+VLOOKUP(Q959,COMISIONES!$C$2:$C$33,1,0)</f>
        <v>#N/A</v>
      </c>
      <c r="AB959" s="13" t="s">
        <v>269</v>
      </c>
    </row>
    <row r="960" spans="1:28" hidden="1">
      <c r="A960" s="117"/>
      <c r="B960" s="138"/>
      <c r="C960" s="117"/>
      <c r="D960" s="117"/>
      <c r="E960" s="117"/>
      <c r="F960" s="117"/>
      <c r="G960" s="117"/>
      <c r="H960" s="117"/>
      <c r="I960"/>
      <c r="J960"/>
      <c r="K960" s="117"/>
      <c r="L960"/>
      <c r="M960" s="117"/>
      <c r="N960" s="117"/>
      <c r="O960" s="117"/>
      <c r="P960" s="117"/>
      <c r="Q960"/>
      <c r="R960" s="117"/>
      <c r="S960" s="117"/>
      <c r="T960" s="117"/>
      <c r="U960" s="117"/>
      <c r="X960" s="67" t="e">
        <f>+VLOOKUP(Q960,COMISIONES!$C$2:$AO$33,39,0)</f>
        <v>#N/A</v>
      </c>
      <c r="Y960" s="67" t="e">
        <f t="shared" si="15"/>
        <v>#N/A</v>
      </c>
      <c r="AA960" s="13" t="e">
        <f>+VLOOKUP(Q960,COMISIONES!$C$2:$C$33,1,0)</f>
        <v>#N/A</v>
      </c>
      <c r="AB960" s="13" t="s">
        <v>269</v>
      </c>
    </row>
    <row r="961" spans="1:28" hidden="1">
      <c r="A961" s="117"/>
      <c r="B961" s="138"/>
      <c r="C961" s="117"/>
      <c r="D961" s="117"/>
      <c r="E961" s="117"/>
      <c r="F961" s="117"/>
      <c r="G961" s="117"/>
      <c r="H961" s="117"/>
      <c r="I961"/>
      <c r="J961"/>
      <c r="K961" s="117"/>
      <c r="L961"/>
      <c r="M961" s="117"/>
      <c r="N961" s="117"/>
      <c r="O961" s="117"/>
      <c r="P961" s="117"/>
      <c r="Q961"/>
      <c r="R961" s="117"/>
      <c r="S961" s="117"/>
      <c r="T961" s="117"/>
      <c r="U961" s="117"/>
      <c r="X961" s="67" t="e">
        <f>+VLOOKUP(Q961,COMISIONES!$C$2:$AO$33,39,0)</f>
        <v>#N/A</v>
      </c>
      <c r="Y961" s="67" t="e">
        <f t="shared" si="15"/>
        <v>#N/A</v>
      </c>
      <c r="AA961" s="13" t="e">
        <f>+VLOOKUP(Q961,COMISIONES!$C$2:$C$33,1,0)</f>
        <v>#N/A</v>
      </c>
      <c r="AB961" s="13" t="s">
        <v>269</v>
      </c>
    </row>
    <row r="962" spans="1:28" hidden="1">
      <c r="A962" s="117"/>
      <c r="B962" s="138"/>
      <c r="C962" s="117"/>
      <c r="D962" s="117"/>
      <c r="E962" s="117"/>
      <c r="F962" s="117"/>
      <c r="G962" s="117"/>
      <c r="H962" s="117"/>
      <c r="I962"/>
      <c r="J962"/>
      <c r="K962" s="117"/>
      <c r="L962"/>
      <c r="M962" s="117"/>
      <c r="N962" s="117"/>
      <c r="O962" s="117"/>
      <c r="P962" s="117"/>
      <c r="Q962"/>
      <c r="R962" s="117"/>
      <c r="S962" s="117"/>
      <c r="T962" s="117"/>
      <c r="U962" s="117"/>
      <c r="X962" s="67" t="e">
        <f>+VLOOKUP(Q962,COMISIONES!$C$2:$AO$33,39,0)</f>
        <v>#N/A</v>
      </c>
      <c r="Y962" s="67" t="e">
        <f t="shared" si="15"/>
        <v>#N/A</v>
      </c>
      <c r="AA962" s="13" t="e">
        <f>+VLOOKUP(Q962,COMISIONES!$C$2:$C$33,1,0)</f>
        <v>#N/A</v>
      </c>
      <c r="AB962" s="13" t="s">
        <v>269</v>
      </c>
    </row>
    <row r="963" spans="1:28" hidden="1">
      <c r="A963" s="117"/>
      <c r="B963" s="138"/>
      <c r="C963" s="117"/>
      <c r="D963" s="117"/>
      <c r="E963" s="117"/>
      <c r="F963" s="117"/>
      <c r="G963" s="117"/>
      <c r="H963" s="117"/>
      <c r="I963"/>
      <c r="J963"/>
      <c r="K963" s="117"/>
      <c r="L963"/>
      <c r="M963" s="117"/>
      <c r="N963" s="117"/>
      <c r="O963" s="117"/>
      <c r="P963" s="117"/>
      <c r="Q963"/>
      <c r="R963" s="117"/>
      <c r="S963" s="117"/>
      <c r="T963" s="117"/>
      <c r="U963" s="117"/>
      <c r="X963" s="67" t="e">
        <f>+VLOOKUP(Q963,COMISIONES!$C$2:$AO$33,39,0)</f>
        <v>#N/A</v>
      </c>
      <c r="Y963" s="67" t="e">
        <f t="shared" si="15"/>
        <v>#N/A</v>
      </c>
      <c r="AA963" s="13" t="e">
        <f>+VLOOKUP(Q963,COMISIONES!$C$2:$C$33,1,0)</f>
        <v>#N/A</v>
      </c>
      <c r="AB963" s="13" t="s">
        <v>269</v>
      </c>
    </row>
    <row r="964" spans="1:28" hidden="1">
      <c r="A964" s="117"/>
      <c r="B964" s="138"/>
      <c r="C964" s="117"/>
      <c r="D964" s="117"/>
      <c r="E964" s="117"/>
      <c r="F964" s="117"/>
      <c r="G964" s="117"/>
      <c r="H964" s="117"/>
      <c r="I964"/>
      <c r="J964"/>
      <c r="K964" s="117"/>
      <c r="L964"/>
      <c r="M964" s="117"/>
      <c r="N964" s="117"/>
      <c r="O964" s="117"/>
      <c r="P964" s="117"/>
      <c r="Q964"/>
      <c r="R964" s="117"/>
      <c r="S964" s="117"/>
      <c r="T964" s="117"/>
      <c r="U964" s="117"/>
      <c r="X964" s="67" t="e">
        <f>+VLOOKUP(Q964,COMISIONES!$C$2:$AO$33,39,0)</f>
        <v>#N/A</v>
      </c>
      <c r="Y964" s="67" t="e">
        <f t="shared" si="15"/>
        <v>#N/A</v>
      </c>
      <c r="AA964" s="13" t="e">
        <f>+VLOOKUP(Q964,COMISIONES!$C$2:$C$33,1,0)</f>
        <v>#N/A</v>
      </c>
      <c r="AB964" s="13" t="s">
        <v>269</v>
      </c>
    </row>
    <row r="965" spans="1:28" hidden="1">
      <c r="A965" s="117"/>
      <c r="B965" s="138"/>
      <c r="C965" s="117"/>
      <c r="D965" s="117"/>
      <c r="E965" s="117"/>
      <c r="F965" s="117"/>
      <c r="G965" s="117"/>
      <c r="H965" s="117"/>
      <c r="I965"/>
      <c r="J965"/>
      <c r="K965" s="117"/>
      <c r="L965"/>
      <c r="M965" s="117"/>
      <c r="N965" s="117"/>
      <c r="O965" s="117"/>
      <c r="P965" s="117"/>
      <c r="Q965"/>
      <c r="R965" s="117"/>
      <c r="S965" s="117"/>
      <c r="T965" s="117"/>
      <c r="U965" s="117"/>
      <c r="X965" s="67" t="e">
        <f>+VLOOKUP(Q965,COMISIONES!$C$2:$AO$33,39,0)</f>
        <v>#N/A</v>
      </c>
      <c r="Y965" s="67" t="e">
        <f t="shared" si="15"/>
        <v>#N/A</v>
      </c>
      <c r="AA965" s="13" t="e">
        <f>+VLOOKUP(Q965,COMISIONES!$C$2:$C$33,1,0)</f>
        <v>#N/A</v>
      </c>
      <c r="AB965" s="13" t="s">
        <v>269</v>
      </c>
    </row>
    <row r="966" spans="1:28" hidden="1">
      <c r="A966" s="117"/>
      <c r="B966" s="138"/>
      <c r="C966" s="117"/>
      <c r="D966" s="117"/>
      <c r="E966" s="117"/>
      <c r="F966" s="117"/>
      <c r="G966" s="117"/>
      <c r="H966" s="117"/>
      <c r="I966"/>
      <c r="J966"/>
      <c r="K966" s="117"/>
      <c r="L966"/>
      <c r="M966" s="117"/>
      <c r="N966" s="117"/>
      <c r="O966" s="117"/>
      <c r="P966" s="117"/>
      <c r="Q966"/>
      <c r="R966" s="117"/>
      <c r="S966" s="117"/>
      <c r="T966" s="117"/>
      <c r="U966" s="117"/>
      <c r="X966" s="67" t="e">
        <f>+VLOOKUP(Q966,COMISIONES!$C$2:$AO$33,39,0)</f>
        <v>#N/A</v>
      </c>
      <c r="Y966" s="67" t="e">
        <f t="shared" si="15"/>
        <v>#N/A</v>
      </c>
      <c r="AA966" s="13" t="e">
        <f>+VLOOKUP(Q966,COMISIONES!$C$2:$C$33,1,0)</f>
        <v>#N/A</v>
      </c>
      <c r="AB966" s="13" t="s">
        <v>269</v>
      </c>
    </row>
    <row r="967" spans="1:28" hidden="1">
      <c r="A967" s="117"/>
      <c r="B967" s="138"/>
      <c r="C967" s="117"/>
      <c r="D967" s="117"/>
      <c r="E967" s="117"/>
      <c r="F967" s="117"/>
      <c r="G967" s="117"/>
      <c r="H967" s="117"/>
      <c r="I967"/>
      <c r="J967"/>
      <c r="K967" s="117"/>
      <c r="L967"/>
      <c r="M967" s="117"/>
      <c r="N967" s="117"/>
      <c r="O967" s="117"/>
      <c r="P967" s="117"/>
      <c r="Q967"/>
      <c r="R967" s="117"/>
      <c r="S967" s="117"/>
      <c r="T967" s="117"/>
      <c r="U967" s="117"/>
      <c r="X967" s="67" t="e">
        <f>+VLOOKUP(Q967,COMISIONES!$C$2:$AO$33,39,0)</f>
        <v>#N/A</v>
      </c>
      <c r="Y967" s="67" t="e">
        <f t="shared" si="15"/>
        <v>#N/A</v>
      </c>
      <c r="AA967" s="13" t="e">
        <f>+VLOOKUP(Q967,COMISIONES!$C$2:$C$33,1,0)</f>
        <v>#N/A</v>
      </c>
      <c r="AB967" s="13" t="s">
        <v>269</v>
      </c>
    </row>
    <row r="968" spans="1:28" hidden="1">
      <c r="A968" s="117"/>
      <c r="B968" s="138"/>
      <c r="C968" s="117"/>
      <c r="D968" s="117"/>
      <c r="E968" s="117"/>
      <c r="F968" s="117"/>
      <c r="G968" s="117"/>
      <c r="H968" s="117"/>
      <c r="I968"/>
      <c r="J968"/>
      <c r="K968" s="117"/>
      <c r="L968"/>
      <c r="M968" s="117"/>
      <c r="N968" s="117"/>
      <c r="O968" s="117"/>
      <c r="P968" s="117"/>
      <c r="Q968"/>
      <c r="R968" s="117"/>
      <c r="S968" s="117"/>
      <c r="T968" s="117"/>
      <c r="U968" s="117"/>
      <c r="X968" s="67" t="e">
        <f>+VLOOKUP(Q968,COMISIONES!$C$2:$AO$33,39,0)</f>
        <v>#N/A</v>
      </c>
      <c r="Y968" s="67" t="e">
        <f t="shared" si="15"/>
        <v>#N/A</v>
      </c>
      <c r="AA968" s="13" t="e">
        <f>+VLOOKUP(Q968,COMISIONES!$C$2:$C$33,1,0)</f>
        <v>#N/A</v>
      </c>
      <c r="AB968" s="13" t="s">
        <v>269</v>
      </c>
    </row>
    <row r="969" spans="1:28" hidden="1">
      <c r="A969" s="117"/>
      <c r="B969" s="138"/>
      <c r="C969" s="117"/>
      <c r="D969" s="117"/>
      <c r="E969" s="117"/>
      <c r="F969" s="117"/>
      <c r="G969" s="117"/>
      <c r="H969" s="117"/>
      <c r="I969"/>
      <c r="J969"/>
      <c r="K969" s="117"/>
      <c r="L969"/>
      <c r="M969" s="117"/>
      <c r="N969" s="117"/>
      <c r="O969" s="117"/>
      <c r="P969" s="117"/>
      <c r="Q969"/>
      <c r="R969" s="117"/>
      <c r="S969" s="117"/>
      <c r="T969" s="117"/>
      <c r="U969" s="117"/>
      <c r="X969" s="67" t="e">
        <f>+VLOOKUP(Q969,COMISIONES!$C$2:$AO$33,39,0)</f>
        <v>#N/A</v>
      </c>
      <c r="Y969" s="67" t="e">
        <f t="shared" si="15"/>
        <v>#N/A</v>
      </c>
      <c r="AA969" s="13" t="e">
        <f>+VLOOKUP(Q969,COMISIONES!$C$2:$C$33,1,0)</f>
        <v>#N/A</v>
      </c>
      <c r="AB969" s="13" t="s">
        <v>269</v>
      </c>
    </row>
    <row r="970" spans="1:28" hidden="1">
      <c r="A970" s="117"/>
      <c r="B970" s="138"/>
      <c r="C970" s="117"/>
      <c r="D970" s="117"/>
      <c r="E970" s="117"/>
      <c r="F970" s="117"/>
      <c r="G970" s="117"/>
      <c r="H970" s="117"/>
      <c r="I970"/>
      <c r="J970"/>
      <c r="K970" s="117"/>
      <c r="L970"/>
      <c r="M970" s="117"/>
      <c r="N970" s="117"/>
      <c r="O970" s="117"/>
      <c r="P970" s="117"/>
      <c r="Q970"/>
      <c r="R970" s="117"/>
      <c r="S970" s="117"/>
      <c r="T970" s="117"/>
      <c r="U970" s="117"/>
      <c r="X970" s="67" t="e">
        <f>+VLOOKUP(Q970,COMISIONES!$C$2:$AO$33,39,0)</f>
        <v>#N/A</v>
      </c>
      <c r="Y970" s="67" t="e">
        <f t="shared" si="15"/>
        <v>#N/A</v>
      </c>
      <c r="AA970" s="13" t="e">
        <f>+VLOOKUP(Q970,COMISIONES!$C$2:$C$33,1,0)</f>
        <v>#N/A</v>
      </c>
      <c r="AB970" s="13" t="s">
        <v>269</v>
      </c>
    </row>
    <row r="971" spans="1:28" hidden="1">
      <c r="A971" s="117"/>
      <c r="B971" s="138"/>
      <c r="C971" s="117"/>
      <c r="D971" s="117"/>
      <c r="E971" s="117"/>
      <c r="F971" s="117"/>
      <c r="G971" s="117"/>
      <c r="H971" s="117"/>
      <c r="I971"/>
      <c r="J971"/>
      <c r="K971" s="117"/>
      <c r="L971"/>
      <c r="M971" s="117"/>
      <c r="N971" s="117"/>
      <c r="O971" s="117"/>
      <c r="P971" s="117"/>
      <c r="Q971"/>
      <c r="R971" s="117"/>
      <c r="S971" s="117"/>
      <c r="T971" s="117"/>
      <c r="U971" s="117"/>
      <c r="X971" s="67" t="e">
        <f>+VLOOKUP(Q971,COMISIONES!$C$2:$AO$33,39,0)</f>
        <v>#N/A</v>
      </c>
      <c r="Y971" s="67" t="e">
        <f t="shared" si="15"/>
        <v>#N/A</v>
      </c>
      <c r="AA971" s="13" t="e">
        <f>+VLOOKUP(Q971,COMISIONES!$C$2:$C$33,1,0)</f>
        <v>#N/A</v>
      </c>
      <c r="AB971" s="13" t="s">
        <v>269</v>
      </c>
    </row>
    <row r="972" spans="1:28" hidden="1">
      <c r="A972" s="117"/>
      <c r="B972" s="138"/>
      <c r="C972" s="117"/>
      <c r="D972" s="117"/>
      <c r="E972" s="117"/>
      <c r="F972" s="117"/>
      <c r="G972" s="117"/>
      <c r="H972" s="117"/>
      <c r="I972"/>
      <c r="J972"/>
      <c r="K972" s="117"/>
      <c r="L972"/>
      <c r="M972" s="117"/>
      <c r="N972" s="117"/>
      <c r="O972" s="117"/>
      <c r="P972" s="117"/>
      <c r="Q972"/>
      <c r="R972" s="117"/>
      <c r="S972" s="117"/>
      <c r="T972" s="117"/>
      <c r="U972" s="117"/>
      <c r="X972" s="67" t="e">
        <f>+VLOOKUP(Q972,COMISIONES!$C$2:$AO$33,39,0)</f>
        <v>#N/A</v>
      </c>
      <c r="Y972" s="67" t="e">
        <f t="shared" si="15"/>
        <v>#N/A</v>
      </c>
      <c r="AA972" s="13" t="e">
        <f>+VLOOKUP(Q972,COMISIONES!$C$2:$C$33,1,0)</f>
        <v>#N/A</v>
      </c>
      <c r="AB972" s="13" t="s">
        <v>269</v>
      </c>
    </row>
    <row r="973" spans="1:28" hidden="1">
      <c r="A973" s="117"/>
      <c r="B973" s="138"/>
      <c r="C973" s="117"/>
      <c r="D973" s="117"/>
      <c r="E973" s="117"/>
      <c r="F973" s="117"/>
      <c r="G973" s="117"/>
      <c r="H973" s="117"/>
      <c r="I973"/>
      <c r="J973"/>
      <c r="K973" s="117"/>
      <c r="L973"/>
      <c r="M973" s="117"/>
      <c r="N973" s="117"/>
      <c r="O973" s="117"/>
      <c r="P973" s="117"/>
      <c r="Q973"/>
      <c r="R973" s="117"/>
      <c r="S973" s="117"/>
      <c r="T973" s="117"/>
      <c r="U973" s="117"/>
      <c r="X973" s="67" t="e">
        <f>+VLOOKUP(Q973,COMISIONES!$C$2:$AO$33,39,0)</f>
        <v>#N/A</v>
      </c>
      <c r="Y973" s="67" t="e">
        <f t="shared" si="15"/>
        <v>#N/A</v>
      </c>
      <c r="AA973" s="13" t="e">
        <f>+VLOOKUP(Q973,COMISIONES!$C$2:$C$33,1,0)</f>
        <v>#N/A</v>
      </c>
      <c r="AB973" s="13" t="s">
        <v>269</v>
      </c>
    </row>
    <row r="974" spans="1:28" hidden="1">
      <c r="A974" s="117"/>
      <c r="B974" s="138"/>
      <c r="C974" s="117"/>
      <c r="D974" s="117"/>
      <c r="E974" s="117"/>
      <c r="F974" s="117"/>
      <c r="G974" s="117"/>
      <c r="H974" s="117"/>
      <c r="I974"/>
      <c r="J974"/>
      <c r="K974" s="117"/>
      <c r="L974"/>
      <c r="M974" s="117"/>
      <c r="N974" s="117"/>
      <c r="O974" s="117"/>
      <c r="P974" s="117"/>
      <c r="Q974"/>
      <c r="R974" s="117"/>
      <c r="S974" s="117"/>
      <c r="T974" s="117"/>
      <c r="U974" s="117"/>
      <c r="X974" s="67" t="e">
        <f>+VLOOKUP(Q974,COMISIONES!$C$2:$AO$33,39,0)</f>
        <v>#N/A</v>
      </c>
      <c r="Y974" s="67" t="e">
        <f t="shared" si="15"/>
        <v>#N/A</v>
      </c>
      <c r="AA974" s="13" t="e">
        <f>+VLOOKUP(Q974,COMISIONES!$C$2:$C$33,1,0)</f>
        <v>#N/A</v>
      </c>
      <c r="AB974" s="13" t="s">
        <v>269</v>
      </c>
    </row>
    <row r="975" spans="1:28" hidden="1">
      <c r="A975" s="117"/>
      <c r="B975" s="138"/>
      <c r="C975" s="117"/>
      <c r="D975" s="117"/>
      <c r="E975" s="117"/>
      <c r="F975" s="117"/>
      <c r="G975" s="117"/>
      <c r="H975" s="117"/>
      <c r="I975"/>
      <c r="J975"/>
      <c r="K975" s="117"/>
      <c r="L975"/>
      <c r="M975" s="117"/>
      <c r="N975" s="117"/>
      <c r="O975" s="117"/>
      <c r="P975" s="117"/>
      <c r="Q975"/>
      <c r="R975" s="117"/>
      <c r="S975" s="117"/>
      <c r="T975" s="117"/>
      <c r="U975" s="117"/>
      <c r="X975" s="67" t="e">
        <f>+VLOOKUP(Q975,COMISIONES!$C$2:$AO$33,39,0)</f>
        <v>#N/A</v>
      </c>
      <c r="Y975" s="67" t="e">
        <f t="shared" si="15"/>
        <v>#N/A</v>
      </c>
      <c r="AA975" s="13" t="e">
        <f>+VLOOKUP(Q975,COMISIONES!$C$2:$C$33,1,0)</f>
        <v>#N/A</v>
      </c>
      <c r="AB975" s="13" t="s">
        <v>269</v>
      </c>
    </row>
    <row r="976" spans="1:28" hidden="1">
      <c r="A976" s="117"/>
      <c r="B976" s="138"/>
      <c r="C976" s="117"/>
      <c r="D976" s="117"/>
      <c r="E976" s="117"/>
      <c r="F976" s="117"/>
      <c r="G976" s="117"/>
      <c r="H976" s="117"/>
      <c r="I976"/>
      <c r="J976"/>
      <c r="K976" s="117"/>
      <c r="L976"/>
      <c r="M976" s="117"/>
      <c r="N976" s="117"/>
      <c r="O976" s="117"/>
      <c r="P976" s="117"/>
      <c r="Q976"/>
      <c r="R976" s="117"/>
      <c r="S976" s="117"/>
      <c r="T976" s="117"/>
      <c r="U976" s="117"/>
      <c r="X976" s="67" t="e">
        <f>+VLOOKUP(Q976,COMISIONES!$C$2:$AO$33,39,0)</f>
        <v>#N/A</v>
      </c>
      <c r="Y976" s="67" t="e">
        <f t="shared" si="15"/>
        <v>#N/A</v>
      </c>
      <c r="AA976" s="13" t="e">
        <f>+VLOOKUP(Q976,COMISIONES!$C$2:$C$33,1,0)</f>
        <v>#N/A</v>
      </c>
      <c r="AB976" s="13" t="s">
        <v>269</v>
      </c>
    </row>
    <row r="977" spans="1:28" hidden="1">
      <c r="A977" s="117"/>
      <c r="B977" s="138"/>
      <c r="C977" s="117"/>
      <c r="D977" s="117"/>
      <c r="E977" s="117"/>
      <c r="F977" s="117"/>
      <c r="G977" s="117"/>
      <c r="H977" s="117"/>
      <c r="I977"/>
      <c r="J977"/>
      <c r="K977" s="117"/>
      <c r="L977"/>
      <c r="M977" s="117"/>
      <c r="N977" s="117"/>
      <c r="O977" s="117"/>
      <c r="P977" s="117"/>
      <c r="Q977"/>
      <c r="R977" s="117"/>
      <c r="S977" s="117"/>
      <c r="T977" s="117"/>
      <c r="U977" s="117"/>
      <c r="X977" s="67" t="e">
        <f>+VLOOKUP(Q977,COMISIONES!$C$2:$AO$33,39,0)</f>
        <v>#N/A</v>
      </c>
      <c r="Y977" s="67" t="e">
        <f t="shared" si="15"/>
        <v>#N/A</v>
      </c>
      <c r="AA977" s="13" t="e">
        <f>+VLOOKUP(Q977,COMISIONES!$C$2:$C$33,1,0)</f>
        <v>#N/A</v>
      </c>
      <c r="AB977" s="13" t="s">
        <v>269</v>
      </c>
    </row>
    <row r="978" spans="1:28" hidden="1">
      <c r="A978" s="117"/>
      <c r="B978" s="138"/>
      <c r="C978" s="117"/>
      <c r="D978" s="117"/>
      <c r="E978" s="117"/>
      <c r="F978" s="117"/>
      <c r="G978" s="117"/>
      <c r="H978" s="117"/>
      <c r="I978"/>
      <c r="J978"/>
      <c r="K978" s="117"/>
      <c r="L978"/>
      <c r="M978" s="117"/>
      <c r="N978" s="117"/>
      <c r="O978" s="117"/>
      <c r="P978" s="117"/>
      <c r="Q978"/>
      <c r="R978" s="117"/>
      <c r="S978" s="117"/>
      <c r="T978" s="117"/>
      <c r="U978" s="117"/>
      <c r="X978" s="67" t="e">
        <f>+VLOOKUP(Q978,COMISIONES!$C$2:$AO$33,39,0)</f>
        <v>#N/A</v>
      </c>
      <c r="Y978" s="67" t="e">
        <f t="shared" si="15"/>
        <v>#N/A</v>
      </c>
      <c r="AA978" s="13" t="e">
        <f>+VLOOKUP(Q978,COMISIONES!$C$2:$C$33,1,0)</f>
        <v>#N/A</v>
      </c>
      <c r="AB978" s="13" t="s">
        <v>269</v>
      </c>
    </row>
    <row r="979" spans="1:28" hidden="1">
      <c r="A979" s="117"/>
      <c r="B979" s="138"/>
      <c r="C979" s="117"/>
      <c r="D979" s="117"/>
      <c r="E979" s="117"/>
      <c r="F979" s="117"/>
      <c r="G979" s="117"/>
      <c r="H979" s="117"/>
      <c r="I979"/>
      <c r="J979"/>
      <c r="K979" s="117"/>
      <c r="L979"/>
      <c r="M979" s="117"/>
      <c r="N979" s="117"/>
      <c r="O979" s="117"/>
      <c r="P979" s="117"/>
      <c r="Q979"/>
      <c r="R979" s="117"/>
      <c r="S979" s="117"/>
      <c r="T979" s="117"/>
      <c r="U979" s="117"/>
      <c r="X979" s="67" t="e">
        <f>+VLOOKUP(Q979,COMISIONES!$C$2:$AO$33,39,0)</f>
        <v>#N/A</v>
      </c>
      <c r="Y979" s="67" t="e">
        <f t="shared" si="15"/>
        <v>#N/A</v>
      </c>
      <c r="AA979" s="13" t="e">
        <f>+VLOOKUP(Q979,COMISIONES!$C$2:$C$33,1,0)</f>
        <v>#N/A</v>
      </c>
      <c r="AB979" s="13" t="s">
        <v>269</v>
      </c>
    </row>
    <row r="980" spans="1:28" hidden="1">
      <c r="A980" s="117"/>
      <c r="B980" s="138"/>
      <c r="C980" s="117"/>
      <c r="D980" s="117"/>
      <c r="E980" s="117"/>
      <c r="F980" s="117"/>
      <c r="G980" s="117"/>
      <c r="H980" s="117"/>
      <c r="I980"/>
      <c r="J980"/>
      <c r="K980" s="117"/>
      <c r="L980"/>
      <c r="M980" s="117"/>
      <c r="N980" s="117"/>
      <c r="O980" s="117"/>
      <c r="P980" s="117"/>
      <c r="Q980"/>
      <c r="R980" s="117"/>
      <c r="S980" s="117"/>
      <c r="T980" s="117"/>
      <c r="U980" s="117"/>
      <c r="X980" s="67" t="e">
        <f>+VLOOKUP(Q980,COMISIONES!$C$2:$AO$33,39,0)</f>
        <v>#N/A</v>
      </c>
      <c r="Y980" s="67" t="e">
        <f t="shared" si="15"/>
        <v>#N/A</v>
      </c>
      <c r="AA980" s="13" t="e">
        <f>+VLOOKUP(Q980,COMISIONES!$C$2:$C$33,1,0)</f>
        <v>#N/A</v>
      </c>
      <c r="AB980" s="13" t="s">
        <v>269</v>
      </c>
    </row>
    <row r="981" spans="1:28" hidden="1">
      <c r="A981" s="117"/>
      <c r="B981" s="138"/>
      <c r="C981" s="117"/>
      <c r="D981" s="117"/>
      <c r="E981" s="117"/>
      <c r="F981" s="117"/>
      <c r="G981" s="117"/>
      <c r="H981" s="117"/>
      <c r="I981"/>
      <c r="J981"/>
      <c r="K981" s="117"/>
      <c r="L981"/>
      <c r="M981" s="117"/>
      <c r="N981" s="117"/>
      <c r="O981" s="117"/>
      <c r="P981" s="117"/>
      <c r="Q981"/>
      <c r="R981" s="117"/>
      <c r="S981" s="117"/>
      <c r="T981" s="117"/>
      <c r="U981" s="117"/>
      <c r="X981" s="67" t="e">
        <f>+VLOOKUP(Q981,COMISIONES!$C$2:$AO$33,39,0)</f>
        <v>#N/A</v>
      </c>
      <c r="Y981" s="67" t="e">
        <f t="shared" si="15"/>
        <v>#N/A</v>
      </c>
      <c r="AA981" s="13" t="e">
        <f>+VLOOKUP(Q981,COMISIONES!$C$2:$C$33,1,0)</f>
        <v>#N/A</v>
      </c>
      <c r="AB981" s="13" t="s">
        <v>269</v>
      </c>
    </row>
    <row r="982" spans="1:28" hidden="1">
      <c r="A982" s="117"/>
      <c r="B982" s="138"/>
      <c r="C982" s="117"/>
      <c r="D982" s="117"/>
      <c r="E982" s="117"/>
      <c r="F982" s="117"/>
      <c r="G982" s="117"/>
      <c r="H982" s="117"/>
      <c r="I982"/>
      <c r="J982"/>
      <c r="K982" s="117"/>
      <c r="L982"/>
      <c r="M982" s="117"/>
      <c r="N982" s="117"/>
      <c r="O982" s="117"/>
      <c r="P982" s="117"/>
      <c r="Q982"/>
      <c r="R982" s="117"/>
      <c r="S982" s="117"/>
      <c r="T982" s="117"/>
      <c r="U982" s="117"/>
      <c r="X982" s="67" t="e">
        <f>+VLOOKUP(Q982,COMISIONES!$C$2:$AO$33,39,0)</f>
        <v>#N/A</v>
      </c>
      <c r="Y982" s="67" t="e">
        <f t="shared" si="15"/>
        <v>#N/A</v>
      </c>
      <c r="AA982" s="13" t="e">
        <f>+VLOOKUP(Q982,COMISIONES!$C$2:$C$33,1,0)</f>
        <v>#N/A</v>
      </c>
      <c r="AB982" s="13" t="s">
        <v>269</v>
      </c>
    </row>
    <row r="983" spans="1:28" hidden="1">
      <c r="A983" s="117"/>
      <c r="B983" s="138"/>
      <c r="C983" s="117"/>
      <c r="D983" s="117"/>
      <c r="E983" s="117"/>
      <c r="F983" s="117"/>
      <c r="G983" s="117"/>
      <c r="H983" s="117"/>
      <c r="I983"/>
      <c r="J983"/>
      <c r="K983" s="117"/>
      <c r="L983"/>
      <c r="M983" s="117"/>
      <c r="N983" s="117"/>
      <c r="O983" s="117"/>
      <c r="P983" s="117"/>
      <c r="Q983"/>
      <c r="R983" s="117"/>
      <c r="S983" s="117"/>
      <c r="T983" s="117"/>
      <c r="U983" s="117"/>
      <c r="X983" s="67" t="e">
        <f>+VLOOKUP(Q983,COMISIONES!$C$2:$AO$33,39,0)</f>
        <v>#N/A</v>
      </c>
      <c r="Y983" s="67" t="e">
        <f t="shared" si="15"/>
        <v>#N/A</v>
      </c>
      <c r="AA983" s="13" t="e">
        <f>+VLOOKUP(Q983,COMISIONES!$C$2:$C$33,1,0)</f>
        <v>#N/A</v>
      </c>
      <c r="AB983" s="13" t="s">
        <v>269</v>
      </c>
    </row>
    <row r="984" spans="1:28" hidden="1">
      <c r="A984" s="117"/>
      <c r="B984" s="138"/>
      <c r="C984" s="117"/>
      <c r="D984" s="117"/>
      <c r="E984" s="117"/>
      <c r="F984" s="117"/>
      <c r="G984" s="117"/>
      <c r="H984" s="117"/>
      <c r="I984"/>
      <c r="J984"/>
      <c r="K984" s="117"/>
      <c r="L984"/>
      <c r="M984" s="117"/>
      <c r="N984" s="117"/>
      <c r="O984" s="117"/>
      <c r="P984" s="117"/>
      <c r="Q984"/>
      <c r="R984" s="117"/>
      <c r="S984" s="117"/>
      <c r="T984" s="117"/>
      <c r="U984" s="117"/>
      <c r="X984" s="67" t="e">
        <f>+VLOOKUP(Q984,COMISIONES!$C$2:$AO$33,39,0)</f>
        <v>#N/A</v>
      </c>
      <c r="Y984" s="67" t="e">
        <f t="shared" si="15"/>
        <v>#N/A</v>
      </c>
      <c r="AA984" s="13" t="e">
        <f>+VLOOKUP(Q984,COMISIONES!$C$2:$C$33,1,0)</f>
        <v>#N/A</v>
      </c>
      <c r="AB984" s="13" t="s">
        <v>269</v>
      </c>
    </row>
    <row r="985" spans="1:28" hidden="1">
      <c r="A985" s="117"/>
      <c r="B985" s="138"/>
      <c r="C985" s="117"/>
      <c r="D985" s="117"/>
      <c r="E985" s="117"/>
      <c r="F985" s="117"/>
      <c r="G985" s="117"/>
      <c r="H985" s="117"/>
      <c r="I985"/>
      <c r="J985"/>
      <c r="K985" s="117"/>
      <c r="L985"/>
      <c r="M985" s="117"/>
      <c r="N985" s="117"/>
      <c r="O985" s="117"/>
      <c r="P985" s="117"/>
      <c r="Q985"/>
      <c r="R985" s="117"/>
      <c r="S985" s="117"/>
      <c r="T985" s="117"/>
      <c r="U985" s="117"/>
      <c r="X985" s="67" t="e">
        <f>+VLOOKUP(Q985,COMISIONES!$C$2:$AO$33,39,0)</f>
        <v>#N/A</v>
      </c>
      <c r="Y985" s="67" t="e">
        <f t="shared" si="15"/>
        <v>#N/A</v>
      </c>
      <c r="AA985" s="13" t="e">
        <f>+VLOOKUP(Q985,COMISIONES!$C$2:$C$33,1,0)</f>
        <v>#N/A</v>
      </c>
      <c r="AB985" s="13" t="s">
        <v>269</v>
      </c>
    </row>
    <row r="986" spans="1:28" hidden="1">
      <c r="A986" s="117"/>
      <c r="B986" s="138"/>
      <c r="C986" s="117"/>
      <c r="D986" s="117"/>
      <c r="E986" s="117"/>
      <c r="F986" s="117"/>
      <c r="G986" s="117"/>
      <c r="H986" s="117"/>
      <c r="I986"/>
      <c r="J986"/>
      <c r="K986" s="117"/>
      <c r="L986"/>
      <c r="M986" s="117"/>
      <c r="N986" s="117"/>
      <c r="O986" s="117"/>
      <c r="P986" s="117"/>
      <c r="Q986"/>
      <c r="R986" s="117"/>
      <c r="S986" s="117"/>
      <c r="T986" s="117"/>
      <c r="U986" s="117"/>
      <c r="X986" s="67" t="e">
        <f>+VLOOKUP(Q986,COMISIONES!$C$2:$AO$33,39,0)</f>
        <v>#N/A</v>
      </c>
      <c r="Y986" s="67" t="e">
        <f t="shared" si="15"/>
        <v>#N/A</v>
      </c>
      <c r="AA986" s="13" t="e">
        <f>+VLOOKUP(Q986,COMISIONES!$C$2:$C$33,1,0)</f>
        <v>#N/A</v>
      </c>
      <c r="AB986" s="13" t="s">
        <v>269</v>
      </c>
    </row>
    <row r="987" spans="1:28" hidden="1">
      <c r="A987" s="117"/>
      <c r="B987" s="138"/>
      <c r="C987" s="117"/>
      <c r="D987" s="117"/>
      <c r="E987" s="117"/>
      <c r="F987" s="117"/>
      <c r="G987" s="117"/>
      <c r="H987" s="117"/>
      <c r="I987"/>
      <c r="J987"/>
      <c r="K987" s="117"/>
      <c r="L987"/>
      <c r="M987" s="117"/>
      <c r="N987" s="117"/>
      <c r="O987" s="117"/>
      <c r="P987" s="117"/>
      <c r="Q987"/>
      <c r="R987" s="117"/>
      <c r="S987" s="117"/>
      <c r="T987" s="117"/>
      <c r="U987" s="117"/>
      <c r="X987" s="67" t="e">
        <f>+VLOOKUP(Q987,COMISIONES!$C$2:$AO$33,39,0)</f>
        <v>#N/A</v>
      </c>
      <c r="Y987" s="67" t="e">
        <f t="shared" si="15"/>
        <v>#N/A</v>
      </c>
      <c r="AA987" s="13" t="e">
        <f>+VLOOKUP(Q987,COMISIONES!$C$2:$C$33,1,0)</f>
        <v>#N/A</v>
      </c>
      <c r="AB987" s="13" t="s">
        <v>269</v>
      </c>
    </row>
    <row r="988" spans="1:28" hidden="1">
      <c r="A988" s="117"/>
      <c r="B988" s="138"/>
      <c r="C988" s="117"/>
      <c r="D988" s="117"/>
      <c r="E988" s="117"/>
      <c r="F988" s="117"/>
      <c r="G988" s="117"/>
      <c r="H988" s="117"/>
      <c r="I988"/>
      <c r="J988"/>
      <c r="K988" s="117"/>
      <c r="L988"/>
      <c r="M988" s="117"/>
      <c r="N988" s="117"/>
      <c r="O988" s="117"/>
      <c r="P988" s="117"/>
      <c r="Q988"/>
      <c r="R988" s="117"/>
      <c r="S988" s="117"/>
      <c r="T988" s="117"/>
      <c r="U988" s="117"/>
      <c r="X988" s="67" t="e">
        <f>+VLOOKUP(Q988,COMISIONES!$C$2:$AO$33,39,0)</f>
        <v>#N/A</v>
      </c>
      <c r="Y988" s="67" t="e">
        <f t="shared" si="15"/>
        <v>#N/A</v>
      </c>
      <c r="AA988" s="13" t="e">
        <f>+VLOOKUP(Q988,COMISIONES!$C$2:$C$33,1,0)</f>
        <v>#N/A</v>
      </c>
      <c r="AB988" s="13" t="s">
        <v>269</v>
      </c>
    </row>
    <row r="989" spans="1:28" hidden="1">
      <c r="A989" s="117"/>
      <c r="B989" s="138"/>
      <c r="C989" s="117"/>
      <c r="D989" s="117"/>
      <c r="E989" s="117"/>
      <c r="F989" s="117"/>
      <c r="G989" s="117"/>
      <c r="H989" s="117"/>
      <c r="I989"/>
      <c r="J989"/>
      <c r="K989" s="117"/>
      <c r="L989"/>
      <c r="M989" s="117"/>
      <c r="N989" s="117"/>
      <c r="O989" s="117"/>
      <c r="P989" s="117"/>
      <c r="Q989"/>
      <c r="R989" s="117"/>
      <c r="S989" s="117"/>
      <c r="T989" s="117"/>
      <c r="U989" s="117"/>
      <c r="X989" s="67" t="e">
        <f>+VLOOKUP(Q989,COMISIONES!$C$2:$AO$33,39,0)</f>
        <v>#N/A</v>
      </c>
      <c r="Y989" s="67" t="e">
        <f t="shared" si="15"/>
        <v>#N/A</v>
      </c>
      <c r="AA989" s="13" t="e">
        <f>+VLOOKUP(Q989,COMISIONES!$C$2:$C$33,1,0)</f>
        <v>#N/A</v>
      </c>
      <c r="AB989" s="13" t="s">
        <v>269</v>
      </c>
    </row>
    <row r="990" spans="1:28" hidden="1">
      <c r="A990" s="117"/>
      <c r="B990" s="138"/>
      <c r="C990" s="117"/>
      <c r="D990" s="117"/>
      <c r="E990" s="117"/>
      <c r="F990" s="117"/>
      <c r="G990" s="117"/>
      <c r="H990" s="117"/>
      <c r="I990"/>
      <c r="J990"/>
      <c r="K990" s="117"/>
      <c r="L990"/>
      <c r="M990" s="117"/>
      <c r="N990" s="117"/>
      <c r="O990" s="117"/>
      <c r="P990" s="117"/>
      <c r="Q990"/>
      <c r="R990" s="117"/>
      <c r="S990" s="117"/>
      <c r="T990" s="117"/>
      <c r="U990" s="117"/>
      <c r="X990" s="67" t="e">
        <f>+VLOOKUP(Q990,COMISIONES!$C$2:$AO$33,39,0)</f>
        <v>#N/A</v>
      </c>
      <c r="Y990" s="67" t="e">
        <f t="shared" si="15"/>
        <v>#N/A</v>
      </c>
      <c r="AA990" s="13" t="e">
        <f>+VLOOKUP(Q990,COMISIONES!$C$2:$C$33,1,0)</f>
        <v>#N/A</v>
      </c>
      <c r="AB990" s="13" t="s">
        <v>269</v>
      </c>
    </row>
    <row r="991" spans="1:28" hidden="1">
      <c r="A991" s="117"/>
      <c r="B991" s="138"/>
      <c r="C991" s="117"/>
      <c r="D991" s="117"/>
      <c r="E991" s="117"/>
      <c r="F991" s="117"/>
      <c r="G991" s="117"/>
      <c r="H991" s="117"/>
      <c r="I991"/>
      <c r="J991"/>
      <c r="K991" s="117"/>
      <c r="L991"/>
      <c r="M991" s="117"/>
      <c r="N991" s="117"/>
      <c r="O991" s="117"/>
      <c r="P991" s="117"/>
      <c r="Q991"/>
      <c r="R991" s="117"/>
      <c r="S991" s="117"/>
      <c r="T991" s="117"/>
      <c r="U991" s="117"/>
      <c r="X991" s="67" t="e">
        <f>+VLOOKUP(Q991,COMISIONES!$C$2:$AO$33,39,0)</f>
        <v>#N/A</v>
      </c>
      <c r="Y991" s="67" t="e">
        <f t="shared" si="15"/>
        <v>#N/A</v>
      </c>
      <c r="AA991" s="13" t="e">
        <f>+VLOOKUP(Q991,COMISIONES!$C$2:$C$33,1,0)</f>
        <v>#N/A</v>
      </c>
      <c r="AB991" s="13" t="s">
        <v>269</v>
      </c>
    </row>
    <row r="992" spans="1:28" hidden="1">
      <c r="A992" s="117"/>
      <c r="B992" s="138"/>
      <c r="C992" s="117"/>
      <c r="D992" s="117"/>
      <c r="E992" s="117"/>
      <c r="F992" s="117"/>
      <c r="G992" s="117"/>
      <c r="H992" s="117"/>
      <c r="I992"/>
      <c r="J992"/>
      <c r="K992" s="117"/>
      <c r="L992"/>
      <c r="M992" s="117"/>
      <c r="N992" s="117"/>
      <c r="O992" s="117"/>
      <c r="P992" s="117"/>
      <c r="Q992"/>
      <c r="R992" s="117"/>
      <c r="S992" s="117"/>
      <c r="T992" s="117"/>
      <c r="U992" s="117"/>
      <c r="X992" s="67" t="e">
        <f>+VLOOKUP(Q992,COMISIONES!$C$2:$AO$33,39,0)</f>
        <v>#N/A</v>
      </c>
      <c r="Y992" s="67" t="e">
        <f t="shared" si="15"/>
        <v>#N/A</v>
      </c>
      <c r="AA992" s="13" t="e">
        <f>+VLOOKUP(Q992,COMISIONES!$C$2:$C$33,1,0)</f>
        <v>#N/A</v>
      </c>
      <c r="AB992" s="13" t="s">
        <v>269</v>
      </c>
    </row>
    <row r="993" spans="1:28" hidden="1">
      <c r="A993" s="117"/>
      <c r="B993" s="138"/>
      <c r="C993" s="117"/>
      <c r="D993" s="117"/>
      <c r="E993" s="117"/>
      <c r="F993" s="117"/>
      <c r="G993" s="117"/>
      <c r="H993" s="117"/>
      <c r="I993"/>
      <c r="J993"/>
      <c r="K993" s="117"/>
      <c r="L993"/>
      <c r="M993" s="117"/>
      <c r="N993" s="117"/>
      <c r="O993" s="117"/>
      <c r="P993" s="117"/>
      <c r="Q993"/>
      <c r="R993" s="117"/>
      <c r="S993" s="117"/>
      <c r="T993" s="117"/>
      <c r="U993" s="117"/>
      <c r="X993" s="67" t="e">
        <f>+VLOOKUP(Q993,COMISIONES!$C$2:$AO$33,39,0)</f>
        <v>#N/A</v>
      </c>
      <c r="Y993" s="67" t="e">
        <f t="shared" si="15"/>
        <v>#N/A</v>
      </c>
      <c r="AA993" s="13" t="e">
        <f>+VLOOKUP(Q993,COMISIONES!$C$2:$C$33,1,0)</f>
        <v>#N/A</v>
      </c>
      <c r="AB993" s="13" t="s">
        <v>269</v>
      </c>
    </row>
    <row r="994" spans="1:28" hidden="1">
      <c r="A994" s="117"/>
      <c r="B994" s="138"/>
      <c r="C994" s="117"/>
      <c r="D994" s="117"/>
      <c r="E994" s="117"/>
      <c r="F994" s="117"/>
      <c r="G994" s="117"/>
      <c r="H994" s="117"/>
      <c r="I994"/>
      <c r="J994"/>
      <c r="K994" s="117"/>
      <c r="L994"/>
      <c r="M994" s="117"/>
      <c r="N994" s="117"/>
      <c r="O994" s="117"/>
      <c r="P994" s="117"/>
      <c r="Q994"/>
      <c r="R994" s="117"/>
      <c r="S994" s="117"/>
      <c r="T994" s="117"/>
      <c r="U994" s="117"/>
      <c r="X994" s="67" t="e">
        <f>+VLOOKUP(Q994,COMISIONES!$C$2:$AO$33,39,0)</f>
        <v>#N/A</v>
      </c>
      <c r="Y994" s="67" t="e">
        <f t="shared" si="15"/>
        <v>#N/A</v>
      </c>
      <c r="AA994" s="13" t="e">
        <f>+VLOOKUP(Q994,COMISIONES!$C$2:$C$33,1,0)</f>
        <v>#N/A</v>
      </c>
      <c r="AB994" s="13" t="s">
        <v>269</v>
      </c>
    </row>
    <row r="995" spans="1:28" hidden="1">
      <c r="A995" s="117"/>
      <c r="B995" s="138"/>
      <c r="C995" s="117"/>
      <c r="D995" s="117"/>
      <c r="E995" s="117"/>
      <c r="F995" s="117"/>
      <c r="G995" s="117"/>
      <c r="H995" s="117"/>
      <c r="I995"/>
      <c r="J995"/>
      <c r="K995" s="117"/>
      <c r="L995"/>
      <c r="M995" s="117"/>
      <c r="N995" s="117"/>
      <c r="O995" s="117"/>
      <c r="P995" s="117"/>
      <c r="Q995"/>
      <c r="R995" s="117"/>
      <c r="S995" s="117"/>
      <c r="T995" s="117"/>
      <c r="U995" s="117"/>
      <c r="X995" s="67" t="e">
        <f>+VLOOKUP(Q995,COMISIONES!$C$2:$AO$33,39,0)</f>
        <v>#N/A</v>
      </c>
      <c r="Y995" s="67" t="e">
        <f t="shared" si="15"/>
        <v>#N/A</v>
      </c>
      <c r="AA995" s="13" t="e">
        <f>+VLOOKUP(Q995,COMISIONES!$C$2:$C$33,1,0)</f>
        <v>#N/A</v>
      </c>
      <c r="AB995" s="13" t="s">
        <v>269</v>
      </c>
    </row>
    <row r="996" spans="1:28" hidden="1">
      <c r="A996" s="117"/>
      <c r="B996" s="138"/>
      <c r="C996" s="117"/>
      <c r="D996" s="117"/>
      <c r="E996" s="117"/>
      <c r="F996" s="117"/>
      <c r="G996" s="117"/>
      <c r="H996" s="117"/>
      <c r="I996"/>
      <c r="J996"/>
      <c r="K996" s="117"/>
      <c r="L996"/>
      <c r="M996" s="117"/>
      <c r="N996" s="117"/>
      <c r="O996" s="117"/>
      <c r="P996" s="117"/>
      <c r="Q996"/>
      <c r="R996" s="117"/>
      <c r="S996" s="117"/>
      <c r="T996" s="117"/>
      <c r="U996" s="117"/>
      <c r="X996" s="67" t="e">
        <f>+VLOOKUP(Q996,COMISIONES!$C$2:$AO$33,39,0)</f>
        <v>#N/A</v>
      </c>
      <c r="Y996" s="67" t="e">
        <f t="shared" si="15"/>
        <v>#N/A</v>
      </c>
      <c r="AA996" s="13" t="e">
        <f>+VLOOKUP(Q996,COMISIONES!$C$2:$C$33,1,0)</f>
        <v>#N/A</v>
      </c>
      <c r="AB996" s="13" t="s">
        <v>269</v>
      </c>
    </row>
    <row r="997" spans="1:28" hidden="1">
      <c r="A997" s="117"/>
      <c r="B997" s="138"/>
      <c r="C997" s="117"/>
      <c r="D997" s="117"/>
      <c r="E997" s="117"/>
      <c r="F997" s="117"/>
      <c r="G997" s="117"/>
      <c r="H997" s="117"/>
      <c r="I997"/>
      <c r="J997"/>
      <c r="K997" s="117"/>
      <c r="L997"/>
      <c r="M997" s="117"/>
      <c r="N997" s="117"/>
      <c r="O997" s="117"/>
      <c r="P997" s="117"/>
      <c r="Q997"/>
      <c r="R997" s="117"/>
      <c r="S997" s="117"/>
      <c r="T997" s="117"/>
      <c r="U997" s="117"/>
      <c r="X997" s="67" t="e">
        <f>+VLOOKUP(Q997,COMISIONES!$C$2:$AO$33,39,0)</f>
        <v>#N/A</v>
      </c>
      <c r="Y997" s="67" t="e">
        <f t="shared" si="15"/>
        <v>#N/A</v>
      </c>
      <c r="AA997" s="13" t="e">
        <f>+VLOOKUP(Q997,COMISIONES!$C$2:$C$33,1,0)</f>
        <v>#N/A</v>
      </c>
      <c r="AB997" s="13" t="s">
        <v>269</v>
      </c>
    </row>
    <row r="998" spans="1:28" hidden="1">
      <c r="A998" s="117"/>
      <c r="B998" s="138"/>
      <c r="C998" s="117"/>
      <c r="D998" s="117"/>
      <c r="E998" s="117"/>
      <c r="F998" s="117"/>
      <c r="G998" s="117"/>
      <c r="H998" s="117"/>
      <c r="I998"/>
      <c r="J998"/>
      <c r="K998" s="117"/>
      <c r="L998"/>
      <c r="M998" s="117"/>
      <c r="N998" s="117"/>
      <c r="O998" s="117"/>
      <c r="P998" s="117"/>
      <c r="Q998"/>
      <c r="R998" s="117"/>
      <c r="S998" s="117"/>
      <c r="T998" s="117"/>
      <c r="U998" s="117"/>
      <c r="X998" s="67" t="e">
        <f>+VLOOKUP(Q998,COMISIONES!$C$2:$AO$33,39,0)</f>
        <v>#N/A</v>
      </c>
      <c r="Y998" s="67" t="e">
        <f t="shared" si="15"/>
        <v>#N/A</v>
      </c>
      <c r="AA998" s="13" t="e">
        <f>+VLOOKUP(Q998,COMISIONES!$C$2:$C$33,1,0)</f>
        <v>#N/A</v>
      </c>
      <c r="AB998" s="13" t="s">
        <v>269</v>
      </c>
    </row>
    <row r="999" spans="1:28" hidden="1">
      <c r="A999" s="117"/>
      <c r="B999" s="138"/>
      <c r="C999" s="117"/>
      <c r="D999" s="117"/>
      <c r="E999" s="117"/>
      <c r="F999" s="117"/>
      <c r="G999" s="117"/>
      <c r="H999" s="117"/>
      <c r="I999"/>
      <c r="J999"/>
      <c r="K999" s="117"/>
      <c r="L999"/>
      <c r="M999" s="117"/>
      <c r="N999" s="117"/>
      <c r="O999" s="117"/>
      <c r="P999" s="117"/>
      <c r="Q999"/>
      <c r="R999" s="117"/>
      <c r="S999" s="117"/>
      <c r="T999" s="117"/>
      <c r="U999" s="117"/>
      <c r="X999" s="67" t="e">
        <f>+VLOOKUP(Q999,COMISIONES!$C$2:$AO$33,39,0)</f>
        <v>#N/A</v>
      </c>
      <c r="Y999" s="67" t="e">
        <f t="shared" si="15"/>
        <v>#N/A</v>
      </c>
      <c r="AA999" s="13" t="e">
        <f>+VLOOKUP(Q999,COMISIONES!$C$2:$C$33,1,0)</f>
        <v>#N/A</v>
      </c>
      <c r="AB999" s="13" t="s">
        <v>269</v>
      </c>
    </row>
    <row r="1000" spans="1:28" hidden="1">
      <c r="A1000" s="117"/>
      <c r="B1000" s="138"/>
      <c r="C1000" s="117"/>
      <c r="D1000" s="117"/>
      <c r="E1000" s="117"/>
      <c r="F1000" s="117"/>
      <c r="G1000" s="117"/>
      <c r="H1000" s="117"/>
      <c r="I1000"/>
      <c r="J1000"/>
      <c r="K1000" s="117"/>
      <c r="L1000"/>
      <c r="M1000" s="117"/>
      <c r="N1000" s="117"/>
      <c r="O1000" s="117"/>
      <c r="P1000" s="117"/>
      <c r="Q1000"/>
      <c r="R1000" s="117"/>
      <c r="S1000" s="117"/>
      <c r="T1000" s="117"/>
      <c r="U1000" s="117"/>
      <c r="X1000" s="67" t="e">
        <f>+VLOOKUP(Q1000,COMISIONES!$C$2:$AO$33,39,0)</f>
        <v>#N/A</v>
      </c>
      <c r="Y1000" s="67" t="e">
        <f t="shared" si="15"/>
        <v>#N/A</v>
      </c>
      <c r="AA1000" s="13" t="e">
        <f>+VLOOKUP(Q1000,COMISIONES!$C$2:$C$33,1,0)</f>
        <v>#N/A</v>
      </c>
      <c r="AB1000" s="13" t="s">
        <v>269</v>
      </c>
    </row>
    <row r="1001" spans="1:28" hidden="1">
      <c r="A1001" s="117"/>
      <c r="B1001" s="138"/>
      <c r="C1001" s="117"/>
      <c r="D1001" s="117"/>
      <c r="E1001" s="117"/>
      <c r="F1001" s="117"/>
      <c r="G1001" s="117"/>
      <c r="H1001" s="117"/>
      <c r="I1001"/>
      <c r="J1001"/>
      <c r="K1001" s="117"/>
      <c r="L1001"/>
      <c r="M1001" s="117"/>
      <c r="N1001" s="117"/>
      <c r="O1001" s="117"/>
      <c r="P1001" s="117"/>
      <c r="Q1001"/>
      <c r="R1001" s="117"/>
      <c r="S1001" s="117"/>
      <c r="T1001" s="117"/>
      <c r="U1001" s="117"/>
      <c r="X1001" s="67" t="e">
        <f>+VLOOKUP(Q1001,COMISIONES!$C$2:$AO$33,39,0)</f>
        <v>#N/A</v>
      </c>
      <c r="Y1001" s="67" t="e">
        <f t="shared" si="15"/>
        <v>#N/A</v>
      </c>
      <c r="AA1001" s="13" t="e">
        <f>+VLOOKUP(Q1001,COMISIONES!$C$2:$C$33,1,0)</f>
        <v>#N/A</v>
      </c>
      <c r="AB1001" s="13" t="s">
        <v>269</v>
      </c>
    </row>
    <row r="1002" spans="1:28" hidden="1">
      <c r="A1002" s="117"/>
      <c r="B1002" s="138"/>
      <c r="C1002" s="117"/>
      <c r="D1002" s="117"/>
      <c r="E1002" s="117"/>
      <c r="F1002" s="117"/>
      <c r="G1002" s="117"/>
      <c r="H1002" s="117"/>
      <c r="I1002"/>
      <c r="J1002"/>
      <c r="K1002" s="117"/>
      <c r="L1002"/>
      <c r="M1002" s="117"/>
      <c r="N1002" s="117"/>
      <c r="O1002" s="117"/>
      <c r="P1002" s="117"/>
      <c r="Q1002"/>
      <c r="R1002" s="117"/>
      <c r="S1002" s="117"/>
      <c r="T1002" s="117"/>
      <c r="U1002" s="117"/>
      <c r="X1002" s="67" t="e">
        <f>+VLOOKUP(Q1002,COMISIONES!$C$2:$AO$33,39,0)</f>
        <v>#N/A</v>
      </c>
      <c r="Y1002" s="67" t="e">
        <f t="shared" si="15"/>
        <v>#N/A</v>
      </c>
      <c r="AA1002" s="13" t="e">
        <f>+VLOOKUP(Q1002,COMISIONES!$C$2:$C$33,1,0)</f>
        <v>#N/A</v>
      </c>
      <c r="AB1002" s="13" t="s">
        <v>269</v>
      </c>
    </row>
    <row r="1003" spans="1:28" hidden="1">
      <c r="A1003" s="117"/>
      <c r="B1003" s="138"/>
      <c r="C1003" s="117"/>
      <c r="D1003" s="117"/>
      <c r="E1003" s="117"/>
      <c r="F1003" s="117"/>
      <c r="G1003" s="117"/>
      <c r="H1003" s="117"/>
      <c r="I1003"/>
      <c r="J1003"/>
      <c r="K1003" s="117"/>
      <c r="L1003"/>
      <c r="M1003" s="117"/>
      <c r="N1003" s="117"/>
      <c r="O1003" s="117"/>
      <c r="P1003" s="117"/>
      <c r="Q1003"/>
      <c r="R1003" s="117"/>
      <c r="S1003" s="117"/>
      <c r="T1003" s="117"/>
      <c r="U1003" s="117"/>
      <c r="X1003" s="67" t="e">
        <f>+VLOOKUP(Q1003,COMISIONES!$C$2:$AO$33,39,0)</f>
        <v>#N/A</v>
      </c>
      <c r="Y1003" s="67" t="e">
        <f t="shared" ref="Y1003:Y1008" si="16">X1003*W1003</f>
        <v>#N/A</v>
      </c>
      <c r="AA1003" s="13" t="e">
        <f>+VLOOKUP(Q1003,COMISIONES!$C$2:$C$33,1,0)</f>
        <v>#N/A</v>
      </c>
      <c r="AB1003" s="13" t="s">
        <v>269</v>
      </c>
    </row>
    <row r="1004" spans="1:28" hidden="1">
      <c r="A1004" s="117"/>
      <c r="B1004" s="138"/>
      <c r="C1004" s="117"/>
      <c r="D1004" s="117"/>
      <c r="E1004" s="117"/>
      <c r="F1004" s="117"/>
      <c r="G1004" s="117"/>
      <c r="H1004" s="117"/>
      <c r="I1004"/>
      <c r="J1004"/>
      <c r="K1004" s="117"/>
      <c r="L1004"/>
      <c r="M1004" s="117"/>
      <c r="N1004" s="117"/>
      <c r="O1004" s="117"/>
      <c r="P1004" s="117"/>
      <c r="Q1004"/>
      <c r="R1004" s="117"/>
      <c r="S1004" s="117"/>
      <c r="T1004" s="117"/>
      <c r="U1004" s="117"/>
      <c r="X1004" s="67" t="e">
        <f>+VLOOKUP(Q1004,COMISIONES!$C$2:$AO$33,39,0)</f>
        <v>#N/A</v>
      </c>
      <c r="Y1004" s="67" t="e">
        <f t="shared" si="16"/>
        <v>#N/A</v>
      </c>
      <c r="AA1004" s="13" t="e">
        <f>+VLOOKUP(Q1004,COMISIONES!$C$2:$C$33,1,0)</f>
        <v>#N/A</v>
      </c>
      <c r="AB1004" s="13" t="s">
        <v>269</v>
      </c>
    </row>
    <row r="1005" spans="1:28" hidden="1">
      <c r="A1005" s="117"/>
      <c r="B1005" s="138"/>
      <c r="C1005" s="117"/>
      <c r="D1005" s="117"/>
      <c r="E1005" s="117"/>
      <c r="F1005" s="117"/>
      <c r="G1005" s="117"/>
      <c r="H1005" s="117"/>
      <c r="I1005"/>
      <c r="J1005"/>
      <c r="K1005" s="117"/>
      <c r="L1005"/>
      <c r="M1005" s="117"/>
      <c r="N1005" s="117"/>
      <c r="O1005" s="117"/>
      <c r="P1005" s="117"/>
      <c r="Q1005"/>
      <c r="R1005" s="117"/>
      <c r="S1005" s="117"/>
      <c r="T1005" s="117"/>
      <c r="U1005" s="117"/>
      <c r="X1005" s="67" t="e">
        <f>+VLOOKUP(Q1005,COMISIONES!$C$2:$AO$33,39,0)</f>
        <v>#N/A</v>
      </c>
      <c r="Y1005" s="67" t="e">
        <f t="shared" si="16"/>
        <v>#N/A</v>
      </c>
      <c r="AA1005" s="13" t="e">
        <f>+VLOOKUP(Q1005,COMISIONES!$C$2:$C$33,1,0)</f>
        <v>#N/A</v>
      </c>
      <c r="AB1005" s="13" t="s">
        <v>269</v>
      </c>
    </row>
    <row r="1006" spans="1:28" hidden="1">
      <c r="A1006" s="117"/>
      <c r="B1006" s="138"/>
      <c r="C1006" s="117"/>
      <c r="D1006" s="117"/>
      <c r="E1006" s="117"/>
      <c r="F1006" s="117"/>
      <c r="G1006" s="117"/>
      <c r="H1006" s="117"/>
      <c r="I1006"/>
      <c r="J1006"/>
      <c r="K1006" s="117"/>
      <c r="L1006"/>
      <c r="M1006" s="117"/>
      <c r="N1006" s="117"/>
      <c r="O1006" s="117"/>
      <c r="P1006" s="117"/>
      <c r="Q1006"/>
      <c r="R1006" s="117"/>
      <c r="S1006" s="117"/>
      <c r="T1006" s="117"/>
      <c r="U1006" s="117"/>
      <c r="V1006" s="12"/>
      <c r="W1006" s="12"/>
      <c r="X1006" s="67" t="e">
        <f>+VLOOKUP(Q1006,COMISIONES!$C$2:$AO$33,39,0)</f>
        <v>#N/A</v>
      </c>
      <c r="Y1006" s="67" t="e">
        <f t="shared" si="16"/>
        <v>#N/A</v>
      </c>
      <c r="AA1006" s="13" t="e">
        <f>+VLOOKUP(Q1006,COMISIONES!$C$2:$C$33,1,0)</f>
        <v>#N/A</v>
      </c>
      <c r="AB1006" s="13" t="s">
        <v>269</v>
      </c>
    </row>
    <row r="1007" spans="1:28" hidden="1">
      <c r="A1007" s="117"/>
      <c r="B1007" s="138"/>
      <c r="C1007" s="117"/>
      <c r="D1007" s="117"/>
      <c r="E1007" s="117"/>
      <c r="F1007" s="117"/>
      <c r="G1007" s="117"/>
      <c r="H1007" s="117"/>
      <c r="I1007"/>
      <c r="J1007"/>
      <c r="K1007" s="117"/>
      <c r="L1007"/>
      <c r="M1007" s="117"/>
      <c r="N1007" s="117"/>
      <c r="O1007" s="117"/>
      <c r="P1007" s="117"/>
      <c r="Q1007"/>
      <c r="R1007" s="117"/>
      <c r="S1007" s="117"/>
      <c r="T1007" s="117"/>
      <c r="U1007" s="117"/>
      <c r="V1007" s="12"/>
      <c r="W1007" s="12"/>
      <c r="X1007" s="67" t="e">
        <f>+VLOOKUP(Q1007,COMISIONES!$C$2:$AO$33,39,0)</f>
        <v>#N/A</v>
      </c>
      <c r="Y1007" s="67" t="e">
        <f t="shared" si="16"/>
        <v>#N/A</v>
      </c>
      <c r="AA1007" s="13" t="e">
        <f>+VLOOKUP(Q1007,COMISIONES!$C$2:$C$33,1,0)</f>
        <v>#N/A</v>
      </c>
      <c r="AB1007" s="13" t="s">
        <v>269</v>
      </c>
    </row>
    <row r="1008" spans="1:28" hidden="1">
      <c r="A1008" s="117"/>
      <c r="B1008" s="138"/>
      <c r="C1008" s="117"/>
      <c r="D1008" s="117"/>
      <c r="E1008" s="117"/>
      <c r="F1008" s="117"/>
      <c r="G1008" s="117"/>
      <c r="H1008" s="117"/>
      <c r="I1008"/>
      <c r="J1008"/>
      <c r="K1008" s="117"/>
      <c r="L1008"/>
      <c r="M1008" s="117"/>
      <c r="N1008" s="117"/>
      <c r="O1008" s="117"/>
      <c r="P1008" s="117"/>
      <c r="Q1008"/>
      <c r="R1008" s="117"/>
      <c r="S1008" s="117"/>
      <c r="T1008" s="117"/>
      <c r="U1008" s="117"/>
      <c r="X1008" s="67" t="e">
        <f>+VLOOKUP(Q1008,COMISIONES!$C$2:$AO$33,39,0)</f>
        <v>#N/A</v>
      </c>
      <c r="Y1008" s="67" t="e">
        <f t="shared" si="16"/>
        <v>#N/A</v>
      </c>
      <c r="AA1008" s="13" t="e">
        <f>+VLOOKUP(Q1008,COMISIONES!$C$2:$C$33,1,0)</f>
        <v>#N/A</v>
      </c>
      <c r="AB1008" s="13" t="s">
        <v>269</v>
      </c>
    </row>
    <row r="1009" spans="1:28" hidden="1">
      <c r="A1009" s="117"/>
      <c r="B1009" s="138"/>
      <c r="C1009" s="117"/>
      <c r="D1009" s="117"/>
      <c r="E1009" s="117"/>
      <c r="F1009" s="117"/>
      <c r="G1009" s="117"/>
      <c r="H1009" s="117"/>
      <c r="I1009"/>
      <c r="J1009"/>
      <c r="K1009" s="117"/>
      <c r="L1009"/>
      <c r="M1009" s="117"/>
      <c r="N1009" s="117"/>
      <c r="O1009" s="117"/>
      <c r="P1009" s="117"/>
      <c r="Q1009"/>
      <c r="R1009" s="117"/>
      <c r="S1009" s="117"/>
      <c r="T1009" s="117"/>
      <c r="U1009" s="117"/>
      <c r="V1009" s="12"/>
      <c r="W1009" s="12"/>
      <c r="X1009" s="67" t="e">
        <f>+VLOOKUP(Q1009,COMISIONES!$C$2:$AO$33,39,0)</f>
        <v>#N/A</v>
      </c>
      <c r="Y1009" s="67" t="e">
        <f t="shared" ref="Y1009" si="17">X1009*W1009</f>
        <v>#N/A</v>
      </c>
      <c r="AA1009" s="13" t="e">
        <f>+VLOOKUP(Q1009,COMISIONES!$C$2:$C$33,1,0)</f>
        <v>#N/A</v>
      </c>
      <c r="AB1009" s="13" t="s">
        <v>269</v>
      </c>
    </row>
    <row r="1010" spans="1:28">
      <c r="A1010" s="117"/>
      <c r="B1010" s="138"/>
      <c r="C1010" s="117"/>
      <c r="D1010" s="117"/>
      <c r="E1010" s="117"/>
      <c r="F1010" s="117"/>
      <c r="G1010" s="117"/>
      <c r="H1010" s="117"/>
      <c r="I1010"/>
      <c r="J1010"/>
      <c r="K1010" s="117"/>
      <c r="L1010"/>
      <c r="M1010" s="117"/>
      <c r="N1010" s="117"/>
      <c r="O1010" s="117"/>
      <c r="P1010" s="117"/>
      <c r="Q1010"/>
      <c r="R1010" s="117"/>
      <c r="S1010" s="117"/>
      <c r="T1010" s="117"/>
      <c r="U1010" s="117"/>
    </row>
    <row r="1011" spans="1:28">
      <c r="A1011" s="117"/>
      <c r="B1011" s="138"/>
      <c r="C1011" s="117"/>
      <c r="D1011" s="117"/>
      <c r="E1011" s="117"/>
      <c r="F1011" s="117"/>
      <c r="G1011" s="117"/>
      <c r="H1011" s="117"/>
      <c r="I1011"/>
      <c r="J1011"/>
      <c r="K1011" s="117"/>
      <c r="L1011"/>
      <c r="M1011" s="117"/>
      <c r="N1011" s="117"/>
      <c r="O1011" s="117"/>
      <c r="P1011" s="117"/>
      <c r="Q1011"/>
      <c r="R1011" s="117"/>
      <c r="S1011" s="117"/>
      <c r="T1011" s="117"/>
      <c r="U1011" s="117"/>
    </row>
    <row r="1012" spans="1:28">
      <c r="A1012" s="117"/>
      <c r="B1012" s="138"/>
      <c r="C1012" s="117"/>
      <c r="D1012" s="117"/>
      <c r="E1012" s="117"/>
      <c r="F1012" s="117"/>
      <c r="G1012" s="117"/>
      <c r="H1012" s="117"/>
      <c r="I1012"/>
      <c r="J1012"/>
      <c r="K1012" s="117"/>
      <c r="L1012"/>
      <c r="M1012" s="117"/>
      <c r="N1012" s="117"/>
      <c r="O1012" s="117"/>
      <c r="P1012" s="117"/>
      <c r="Q1012"/>
      <c r="R1012" s="117"/>
      <c r="S1012" s="117"/>
      <c r="T1012" s="117"/>
      <c r="U1012" s="117"/>
    </row>
    <row r="1013" spans="1:28">
      <c r="A1013" s="117"/>
      <c r="B1013" s="138"/>
      <c r="C1013" s="117"/>
      <c r="D1013" s="117"/>
      <c r="E1013" s="117"/>
      <c r="F1013" s="117"/>
      <c r="G1013" s="117"/>
      <c r="H1013" s="117"/>
      <c r="I1013"/>
      <c r="J1013"/>
      <c r="K1013" s="117"/>
      <c r="L1013"/>
      <c r="M1013" s="117"/>
      <c r="N1013" s="117"/>
      <c r="O1013" s="117"/>
      <c r="P1013" s="117"/>
      <c r="Q1013"/>
      <c r="R1013" s="117"/>
      <c r="S1013" s="117"/>
      <c r="T1013" s="117"/>
      <c r="U1013" s="117"/>
    </row>
    <row r="1014" spans="1:28">
      <c r="A1014" s="117"/>
      <c r="B1014" s="138"/>
      <c r="C1014" s="117"/>
      <c r="D1014" s="117"/>
      <c r="E1014" s="117"/>
      <c r="F1014" s="117"/>
      <c r="G1014" s="117"/>
      <c r="H1014" s="117"/>
      <c r="I1014"/>
      <c r="J1014"/>
      <c r="K1014" s="117"/>
      <c r="L1014"/>
      <c r="M1014" s="117"/>
      <c r="N1014" s="117"/>
      <c r="O1014" s="117"/>
      <c r="P1014" s="117"/>
      <c r="Q1014"/>
      <c r="R1014" s="117"/>
      <c r="S1014" s="117"/>
      <c r="T1014" s="117"/>
      <c r="U1014" s="117"/>
    </row>
    <row r="1015" spans="1:28">
      <c r="A1015" s="117"/>
      <c r="B1015" s="138"/>
      <c r="C1015" s="117"/>
      <c r="D1015" s="117"/>
      <c r="E1015" s="117"/>
      <c r="F1015" s="117"/>
      <c r="G1015" s="117"/>
      <c r="H1015" s="117"/>
      <c r="I1015"/>
      <c r="J1015"/>
      <c r="K1015" s="117"/>
      <c r="L1015"/>
      <c r="M1015" s="117"/>
      <c r="N1015" s="117"/>
      <c r="O1015" s="117"/>
      <c r="P1015" s="117"/>
      <c r="Q1015"/>
      <c r="R1015" s="117"/>
      <c r="S1015" s="117"/>
      <c r="T1015" s="117"/>
      <c r="U1015" s="117"/>
    </row>
    <row r="1016" spans="1:28">
      <c r="A1016" s="117"/>
      <c r="B1016" s="138"/>
      <c r="C1016" s="117"/>
      <c r="D1016" s="117"/>
      <c r="E1016" s="117"/>
      <c r="F1016" s="117"/>
      <c r="G1016" s="117"/>
      <c r="H1016" s="117"/>
      <c r="I1016"/>
      <c r="J1016"/>
      <c r="K1016" s="117"/>
      <c r="L1016"/>
      <c r="M1016" s="117"/>
      <c r="N1016" s="117"/>
      <c r="O1016" s="117"/>
      <c r="P1016" s="117"/>
      <c r="Q1016"/>
      <c r="R1016" s="117"/>
      <c r="S1016" s="117"/>
      <c r="T1016" s="117"/>
      <c r="U1016" s="117"/>
    </row>
    <row r="1017" spans="1:28">
      <c r="A1017" s="117"/>
      <c r="B1017" s="138"/>
      <c r="C1017" s="117"/>
      <c r="D1017" s="117"/>
      <c r="E1017" s="117"/>
      <c r="F1017" s="117"/>
      <c r="G1017" s="117"/>
      <c r="H1017" s="117"/>
      <c r="I1017"/>
      <c r="J1017"/>
      <c r="K1017" s="117"/>
      <c r="L1017"/>
      <c r="M1017" s="117"/>
      <c r="N1017" s="117"/>
      <c r="O1017" s="117"/>
      <c r="P1017" s="117"/>
      <c r="Q1017"/>
      <c r="R1017" s="117"/>
      <c r="S1017" s="117"/>
      <c r="T1017" s="117"/>
      <c r="U1017" s="117"/>
    </row>
    <row r="1018" spans="1:28">
      <c r="A1018" s="117"/>
      <c r="B1018" s="138"/>
      <c r="C1018" s="117"/>
      <c r="D1018" s="117"/>
      <c r="E1018" s="117"/>
      <c r="F1018" s="117"/>
      <c r="G1018" s="117"/>
      <c r="H1018" s="117"/>
      <c r="I1018"/>
      <c r="J1018"/>
      <c r="K1018" s="117"/>
      <c r="L1018"/>
      <c r="M1018" s="117"/>
      <c r="N1018" s="117"/>
      <c r="O1018" s="117"/>
      <c r="P1018" s="117"/>
      <c r="Q1018"/>
      <c r="R1018" s="117"/>
      <c r="S1018" s="117"/>
      <c r="T1018" s="117"/>
      <c r="U1018" s="117"/>
    </row>
    <row r="1019" spans="1:28">
      <c r="A1019" s="117"/>
      <c r="B1019" s="138"/>
      <c r="C1019" s="117"/>
      <c r="D1019" s="117"/>
      <c r="E1019" s="117"/>
      <c r="F1019" s="117"/>
      <c r="G1019" s="117"/>
      <c r="H1019" s="117"/>
      <c r="I1019"/>
      <c r="J1019"/>
      <c r="K1019" s="117"/>
      <c r="L1019"/>
      <c r="M1019" s="117"/>
      <c r="N1019" s="117"/>
      <c r="O1019" s="117"/>
      <c r="P1019" s="117"/>
      <c r="Q1019"/>
      <c r="R1019" s="117"/>
      <c r="S1019" s="117"/>
      <c r="T1019" s="117"/>
      <c r="U1019" s="117"/>
    </row>
    <row r="1020" spans="1:28">
      <c r="A1020" s="117"/>
      <c r="B1020" s="138"/>
      <c r="C1020" s="117"/>
      <c r="D1020" s="117"/>
      <c r="E1020" s="117"/>
      <c r="F1020" s="117"/>
      <c r="G1020" s="117"/>
      <c r="H1020" s="117"/>
      <c r="I1020"/>
      <c r="J1020"/>
      <c r="K1020" s="117"/>
      <c r="L1020"/>
      <c r="M1020" s="117"/>
      <c r="N1020" s="117"/>
      <c r="O1020" s="117"/>
      <c r="P1020" s="117"/>
      <c r="Q1020"/>
      <c r="R1020" s="117"/>
      <c r="S1020" s="117"/>
      <c r="T1020" s="117"/>
      <c r="U1020" s="117"/>
    </row>
    <row r="1021" spans="1:28">
      <c r="A1021" s="117"/>
      <c r="B1021" s="138"/>
      <c r="C1021" s="117"/>
      <c r="D1021" s="117"/>
      <c r="E1021" s="117"/>
      <c r="F1021" s="117"/>
      <c r="G1021" s="117"/>
      <c r="H1021" s="117"/>
      <c r="I1021"/>
      <c r="J1021"/>
      <c r="K1021" s="117"/>
      <c r="L1021"/>
      <c r="M1021" s="117"/>
      <c r="N1021" s="117"/>
      <c r="O1021" s="117"/>
      <c r="P1021" s="117"/>
      <c r="Q1021"/>
      <c r="R1021" s="117"/>
      <c r="S1021" s="117"/>
      <c r="T1021" s="117"/>
      <c r="U1021" s="117"/>
    </row>
    <row r="1022" spans="1:28">
      <c r="A1022" s="117"/>
      <c r="B1022" s="138"/>
      <c r="C1022" s="117"/>
      <c r="D1022" s="117"/>
      <c r="E1022" s="117"/>
      <c r="F1022" s="117"/>
      <c r="G1022" s="117"/>
      <c r="H1022" s="117"/>
      <c r="I1022"/>
      <c r="J1022"/>
      <c r="K1022" s="117"/>
      <c r="L1022"/>
      <c r="M1022" s="117"/>
      <c r="N1022" s="117"/>
      <c r="O1022" s="117"/>
      <c r="P1022" s="117"/>
      <c r="Q1022"/>
      <c r="R1022" s="117"/>
      <c r="S1022" s="117"/>
      <c r="T1022" s="117"/>
      <c r="U1022" s="117"/>
    </row>
    <row r="1023" spans="1:28">
      <c r="A1023" s="117"/>
      <c r="B1023" s="138"/>
      <c r="C1023" s="117"/>
      <c r="D1023" s="117"/>
      <c r="E1023" s="117"/>
      <c r="F1023" s="117"/>
      <c r="G1023" s="117"/>
      <c r="H1023" s="117"/>
      <c r="I1023"/>
      <c r="J1023"/>
      <c r="K1023" s="117"/>
      <c r="L1023"/>
      <c r="M1023" s="117"/>
      <c r="N1023" s="117"/>
      <c r="O1023" s="117"/>
      <c r="P1023" s="117"/>
      <c r="Q1023"/>
      <c r="R1023" s="117"/>
      <c r="S1023" s="117"/>
      <c r="T1023" s="117"/>
      <c r="U1023" s="117"/>
    </row>
    <row r="1024" spans="1:28">
      <c r="A1024" s="117"/>
      <c r="B1024" s="138"/>
      <c r="C1024" s="117"/>
      <c r="D1024" s="117"/>
      <c r="E1024" s="117"/>
      <c r="F1024" s="117"/>
      <c r="G1024" s="117"/>
      <c r="H1024" s="117"/>
      <c r="I1024"/>
      <c r="J1024"/>
      <c r="K1024" s="117"/>
      <c r="L1024"/>
      <c r="M1024" s="117"/>
      <c r="N1024" s="117"/>
      <c r="O1024" s="117"/>
      <c r="P1024" s="117"/>
      <c r="Q1024"/>
      <c r="R1024" s="117"/>
      <c r="S1024" s="117"/>
      <c r="T1024" s="117"/>
      <c r="U1024" s="117"/>
    </row>
  </sheetData>
  <autoFilter ref="A1:AB1009" xr:uid="{00000000-0001-0000-0A00-000000000000}">
    <filterColumn colId="7">
      <filters>
        <filter val="Segunda"/>
      </filters>
    </filterColumn>
  </autoFilter>
  <phoneticPr fontId="38" type="noConversion"/>
  <conditionalFormatting sqref="C780">
    <cfRule type="duplicateValues" dxfId="125" priority="43"/>
  </conditionalFormatting>
  <conditionalFormatting sqref="C878">
    <cfRule type="duplicateValues" dxfId="124" priority="36"/>
  </conditionalFormatting>
  <conditionalFormatting sqref="D2:D720">
    <cfRule type="duplicateValues" dxfId="123" priority="8325"/>
  </conditionalFormatting>
  <conditionalFormatting sqref="D2:D732">
    <cfRule type="duplicateValues" dxfId="122" priority="8327"/>
  </conditionalFormatting>
  <conditionalFormatting sqref="D780">
    <cfRule type="duplicateValues" dxfId="121" priority="37"/>
    <cfRule type="duplicateValues" dxfId="120" priority="39"/>
  </conditionalFormatting>
  <conditionalFormatting sqref="D781:D794 D736:D749 D757:D779">
    <cfRule type="duplicateValues" dxfId="119" priority="59"/>
  </conditionalFormatting>
  <conditionalFormatting sqref="D795:D811 D1 D1010:D1048576 D815:D1005">
    <cfRule type="duplicateValues" dxfId="118" priority="51"/>
  </conditionalFormatting>
  <conditionalFormatting sqref="E1">
    <cfRule type="duplicateValues" dxfId="117" priority="52"/>
    <cfRule type="duplicateValues" dxfId="116" priority="53"/>
    <cfRule type="duplicateValues" dxfId="115" priority="54"/>
  </conditionalFormatting>
  <conditionalFormatting sqref="E2:E720">
    <cfRule type="duplicateValues" dxfId="114" priority="8329"/>
  </conditionalFormatting>
  <conditionalFormatting sqref="E2:E732">
    <cfRule type="duplicateValues" dxfId="113" priority="8331"/>
    <cfRule type="duplicateValues" dxfId="112" priority="8332"/>
    <cfRule type="duplicateValues" dxfId="111" priority="8333"/>
    <cfRule type="duplicateValues" dxfId="110" priority="8334"/>
  </conditionalFormatting>
  <conditionalFormatting sqref="E615:E653 E479:E613 E2:E477">
    <cfRule type="duplicateValues" dxfId="109" priority="6329"/>
  </conditionalFormatting>
  <conditionalFormatting sqref="E669:E670">
    <cfRule type="duplicateValues" dxfId="108" priority="21"/>
  </conditionalFormatting>
  <conditionalFormatting sqref="E671:E732 E654:E668">
    <cfRule type="duplicateValues" dxfId="107" priority="6074"/>
    <cfRule type="duplicateValues" dxfId="106" priority="6075"/>
    <cfRule type="duplicateValues" dxfId="105" priority="6076"/>
    <cfRule type="duplicateValues" dxfId="104" priority="6077"/>
  </conditionalFormatting>
  <conditionalFormatting sqref="E736:E744 E746:E749 E781:E794 E757:E779">
    <cfRule type="duplicateValues" dxfId="103" priority="60"/>
    <cfRule type="duplicateValues" dxfId="102" priority="64"/>
    <cfRule type="duplicateValues" dxfId="101" priority="65"/>
    <cfRule type="duplicateValues" dxfId="100" priority="66"/>
  </conditionalFormatting>
  <conditionalFormatting sqref="E736:E749 E757:E794">
    <cfRule type="duplicateValues" dxfId="99" priority="71"/>
  </conditionalFormatting>
  <conditionalFormatting sqref="E780">
    <cfRule type="duplicateValues" dxfId="98" priority="38"/>
    <cfRule type="duplicateValues" dxfId="97" priority="40"/>
    <cfRule type="duplicateValues" dxfId="96" priority="41"/>
    <cfRule type="duplicateValues" dxfId="95" priority="42"/>
  </conditionalFormatting>
  <conditionalFormatting sqref="E781:E794 E736:E749 E757:E779">
    <cfRule type="duplicateValues" dxfId="94" priority="61"/>
    <cfRule type="duplicateValues" dxfId="93" priority="62"/>
    <cfRule type="duplicateValues" dxfId="92" priority="63"/>
  </conditionalFormatting>
  <conditionalFormatting sqref="E795:E811 E1 E1010:E1048576 E815:E1006">
    <cfRule type="duplicateValues" dxfId="91" priority="55"/>
    <cfRule type="duplicateValues" dxfId="90" priority="56"/>
    <cfRule type="duplicateValues" dxfId="89" priority="57"/>
    <cfRule type="duplicateValues" dxfId="88" priority="58"/>
  </conditionalFormatting>
  <conditionalFormatting sqref="E795:E811 E815:E872">
    <cfRule type="duplicateValues" dxfId="87" priority="68"/>
    <cfRule type="duplicateValues" dxfId="86" priority="69"/>
    <cfRule type="duplicateValues" dxfId="85" priority="70"/>
  </conditionalFormatting>
  <conditionalFormatting sqref="N399 Q399 N430 Q430 N462 Q462 N614 N634 N670">
    <cfRule type="expression" dxfId="84" priority="5" stopIfTrue="1">
      <formula>AND(COUNTIF($A:$B, N399)+COUNTIF($D:$D, N399)&gt;1,NOT(ISBLANK(N399)))</formula>
    </cfRule>
  </conditionalFormatting>
  <conditionalFormatting sqref="N596 N558 N546 N541 N525 N523 N511 N502 N499 N483 N434 N432 N426 N410 N401 N288 N177 N153 N142:N144">
    <cfRule type="duplicateValues" dxfId="83" priority="20" stopIfTrue="1"/>
  </conditionalFormatting>
  <conditionalFormatting sqref="N770">
    <cfRule type="duplicateValues" dxfId="82" priority="44" stopIfTrue="1"/>
  </conditionalFormatting>
  <conditionalFormatting sqref="Q336">
    <cfRule type="duplicateValues" dxfId="81" priority="24" stopIfTrue="1"/>
    <cfRule type="duplicateValues" dxfId="80" priority="25"/>
  </conditionalFormatting>
  <conditionalFormatting sqref="Q399">
    <cfRule type="duplicateValues" dxfId="79" priority="19" stopIfTrue="1"/>
  </conditionalFormatting>
  <conditionalFormatting sqref="Q430">
    <cfRule type="duplicateValues" dxfId="78" priority="17" stopIfTrue="1"/>
  </conditionalFormatting>
  <conditionalFormatting sqref="Q462">
    <cfRule type="duplicateValues" dxfId="77" priority="15" stopIfTrue="1"/>
  </conditionalFormatting>
  <conditionalFormatting sqref="Q596 Q558 Q546 Q541 Q525 Q523 Q511 Q502 Q499 Q483 Q434 Q432 Q426 Q410 Q288 Q177 Q153 Q142:Q144">
    <cfRule type="duplicateValues" dxfId="76" priority="22" stopIfTrue="1"/>
    <cfRule type="duplicateValues" dxfId="75" priority="23"/>
  </conditionalFormatting>
  <conditionalFormatting sqref="Q614">
    <cfRule type="expression" dxfId="74" priority="12" stopIfTrue="1">
      <formula>AND(COUNTIF($A:$B, Q614)+COUNTIF($D:$D, Q614)&gt;1,NOT(ISBLANK(Q614)))</formula>
    </cfRule>
    <cfRule type="duplicateValues" dxfId="73" priority="13" stopIfTrue="1"/>
  </conditionalFormatting>
  <conditionalFormatting sqref="Q634">
    <cfRule type="expression" dxfId="72" priority="10" stopIfTrue="1">
      <formula>AND(COUNTIF($A:$B, Q634)+COUNTIF($D:$D, Q634)&gt;1,NOT(ISBLANK(Q634)))</formula>
    </cfRule>
    <cfRule type="duplicateValues" dxfId="71" priority="11" stopIfTrue="1"/>
  </conditionalFormatting>
  <conditionalFormatting sqref="Q670">
    <cfRule type="expression" dxfId="70" priority="8" stopIfTrue="1">
      <formula>AND(COUNTIF($A:$B, Q670)+COUNTIF($D:$D, Q670)&gt;1,NOT(ISBLANK(Q670)))</formula>
    </cfRule>
    <cfRule type="duplicateValues" dxfId="69" priority="9" stopIfTrue="1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L466"/>
  <sheetViews>
    <sheetView showGridLines="0" zoomScale="70" zoomScaleNormal="70" workbookViewId="0">
      <pane ySplit="1" topLeftCell="A92" activePane="bottomLeft" state="frozen"/>
      <selection activeCell="L3" sqref="L3"/>
      <selection pane="bottomLeft" activeCell="G98" sqref="G98"/>
    </sheetView>
  </sheetViews>
  <sheetFormatPr baseColWidth="10" defaultColWidth="24.28515625" defaultRowHeight="15"/>
  <cols>
    <col min="1" max="1" width="11.140625" style="13" bestFit="1" customWidth="1"/>
    <col min="2" max="2" width="14.85546875" style="14" bestFit="1" customWidth="1"/>
    <col min="3" max="3" width="23.85546875" style="14" customWidth="1"/>
    <col min="4" max="4" width="31.7109375" style="14" bestFit="1" customWidth="1"/>
    <col min="5" max="5" width="15.5703125" style="14" bestFit="1" customWidth="1"/>
    <col min="6" max="6" width="21.42578125" style="47" customWidth="1"/>
    <col min="7" max="7" width="12" style="13" customWidth="1"/>
    <col min="8" max="8" width="42" style="13" bestFit="1" customWidth="1"/>
    <col min="9" max="9" width="27.7109375" style="13" bestFit="1" customWidth="1"/>
    <col min="10" max="10" width="11.42578125" style="13" bestFit="1" customWidth="1"/>
    <col min="11" max="11" width="11.7109375" style="53" bestFit="1" customWidth="1"/>
    <col min="12" max="16384" width="24.28515625" style="13"/>
  </cols>
  <sheetData>
    <row r="1" spans="1:12" ht="30">
      <c r="A1" s="62" t="s">
        <v>133</v>
      </c>
      <c r="B1" s="62" t="s">
        <v>134</v>
      </c>
      <c r="C1" s="62" t="s">
        <v>135</v>
      </c>
      <c r="D1" s="63" t="s">
        <v>136</v>
      </c>
      <c r="E1" s="62" t="s">
        <v>137</v>
      </c>
      <c r="F1" s="64" t="s">
        <v>138</v>
      </c>
      <c r="G1" s="62" t="s">
        <v>140</v>
      </c>
      <c r="H1" s="62" t="s">
        <v>141</v>
      </c>
      <c r="I1" s="62" t="s">
        <v>103</v>
      </c>
      <c r="J1" s="62" t="s">
        <v>60</v>
      </c>
      <c r="K1" s="65" t="s">
        <v>142</v>
      </c>
      <c r="L1" s="13" t="s">
        <v>244</v>
      </c>
    </row>
    <row r="2" spans="1:12">
      <c r="A2" s="98">
        <v>20008439</v>
      </c>
      <c r="B2" s="133" t="s">
        <v>54</v>
      </c>
      <c r="C2" s="98">
        <v>380540</v>
      </c>
      <c r="D2" s="213">
        <v>45139</v>
      </c>
      <c r="E2" s="98" t="s">
        <v>3050</v>
      </c>
      <c r="F2" s="98" t="s">
        <v>3051</v>
      </c>
      <c r="G2" s="98">
        <v>98049</v>
      </c>
      <c r="H2" s="98" t="s">
        <v>50</v>
      </c>
      <c r="I2" s="98" t="s">
        <v>80</v>
      </c>
      <c r="J2" s="98" t="s">
        <v>40</v>
      </c>
      <c r="K2" s="53">
        <f>+VLOOKUP(A2,COMISIONES!$C$2:$AP$33,40,0)</f>
        <v>30</v>
      </c>
      <c r="L2" s="13">
        <f>+VLOOKUP(A2,COMISIONES!$C$2:$C$33,1,0)</f>
        <v>20008439</v>
      </c>
    </row>
    <row r="3" spans="1:12">
      <c r="A3" s="98">
        <v>20007352</v>
      </c>
      <c r="B3" s="133" t="s">
        <v>54</v>
      </c>
      <c r="C3" s="98">
        <v>381085</v>
      </c>
      <c r="D3" s="213">
        <v>45139</v>
      </c>
      <c r="E3" s="98" t="s">
        <v>3052</v>
      </c>
      <c r="F3" s="98" t="s">
        <v>3053</v>
      </c>
      <c r="G3" s="98">
        <v>98034</v>
      </c>
      <c r="H3" s="98" t="s">
        <v>52</v>
      </c>
      <c r="I3" s="98" t="s">
        <v>80</v>
      </c>
      <c r="J3" s="98" t="s">
        <v>40</v>
      </c>
      <c r="K3" s="53">
        <f>+VLOOKUP(A3,COMISIONES!$C$2:$AP$33,40,0)</f>
        <v>30</v>
      </c>
      <c r="L3" s="13">
        <f>+VLOOKUP(A3,COMISIONES!$C$2:$C$33,1,0)</f>
        <v>20007352</v>
      </c>
    </row>
    <row r="4" spans="1:12">
      <c r="A4" s="98">
        <v>20001487</v>
      </c>
      <c r="B4" s="133" t="s">
        <v>54</v>
      </c>
      <c r="C4" s="98">
        <v>381043</v>
      </c>
      <c r="D4" s="213">
        <v>45139</v>
      </c>
      <c r="E4" s="98" t="s">
        <v>948</v>
      </c>
      <c r="F4" s="98" t="s">
        <v>949</v>
      </c>
      <c r="G4" s="98">
        <v>98003</v>
      </c>
      <c r="H4" s="98" t="s">
        <v>51</v>
      </c>
      <c r="I4" s="98" t="s">
        <v>80</v>
      </c>
      <c r="J4" s="98" t="s">
        <v>40</v>
      </c>
      <c r="K4" s="53">
        <f>+VLOOKUP(A4,COMISIONES!$C$2:$AP$33,40,0)</f>
        <v>60</v>
      </c>
      <c r="L4" s="13">
        <f>+VLOOKUP(A4,COMISIONES!$C$2:$C$33,1,0)</f>
        <v>20001487</v>
      </c>
    </row>
    <row r="5" spans="1:12">
      <c r="A5" s="98">
        <v>20001487</v>
      </c>
      <c r="B5" s="133" t="s">
        <v>54</v>
      </c>
      <c r="C5" s="98">
        <v>381037</v>
      </c>
      <c r="D5" s="213">
        <v>45139</v>
      </c>
      <c r="E5" s="98" t="s">
        <v>3054</v>
      </c>
      <c r="F5" s="98" t="s">
        <v>3055</v>
      </c>
      <c r="G5" s="98">
        <v>98003</v>
      </c>
      <c r="H5" s="98" t="s">
        <v>51</v>
      </c>
      <c r="I5" s="98" t="s">
        <v>80</v>
      </c>
      <c r="J5" s="98" t="s">
        <v>40</v>
      </c>
      <c r="K5" s="53">
        <f>+VLOOKUP(A5,COMISIONES!$C$2:$AP$33,40,0)</f>
        <v>60</v>
      </c>
      <c r="L5" s="13">
        <f>+VLOOKUP(A5,COMISIONES!$C$2:$C$33,1,0)</f>
        <v>20001487</v>
      </c>
    </row>
    <row r="6" spans="1:12">
      <c r="A6" s="98">
        <v>20001487</v>
      </c>
      <c r="B6" s="133" t="s">
        <v>54</v>
      </c>
      <c r="C6" s="98">
        <v>380987</v>
      </c>
      <c r="D6" s="213">
        <v>45139</v>
      </c>
      <c r="E6" s="98" t="s">
        <v>3056</v>
      </c>
      <c r="F6" s="98" t="s">
        <v>3057</v>
      </c>
      <c r="G6" s="98">
        <v>98003</v>
      </c>
      <c r="H6" s="98" t="s">
        <v>51</v>
      </c>
      <c r="I6" s="98" t="s">
        <v>80</v>
      </c>
      <c r="J6" s="98" t="s">
        <v>40</v>
      </c>
      <c r="K6" s="53">
        <f>+VLOOKUP(A6,COMISIONES!$C$2:$AP$33,40,0)</f>
        <v>60</v>
      </c>
      <c r="L6" s="13">
        <f>+VLOOKUP(A6,COMISIONES!$C$2:$C$33,1,0)</f>
        <v>20001487</v>
      </c>
    </row>
    <row r="7" spans="1:12">
      <c r="A7" s="98">
        <v>20001487</v>
      </c>
      <c r="B7" s="133" t="s">
        <v>54</v>
      </c>
      <c r="C7" s="98">
        <v>380933</v>
      </c>
      <c r="D7" s="213">
        <v>45139</v>
      </c>
      <c r="E7" s="98" t="s">
        <v>3058</v>
      </c>
      <c r="F7" s="98" t="s">
        <v>3059</v>
      </c>
      <c r="G7" s="98">
        <v>98003</v>
      </c>
      <c r="H7" s="98" t="s">
        <v>51</v>
      </c>
      <c r="I7" s="98" t="s">
        <v>80</v>
      </c>
      <c r="J7" s="98" t="s">
        <v>40</v>
      </c>
      <c r="K7" s="53">
        <f>+VLOOKUP(A7,COMISIONES!$C$2:$AP$33,40,0)</f>
        <v>60</v>
      </c>
      <c r="L7" s="13">
        <f>+VLOOKUP(A7,COMISIONES!$C$2:$C$33,1,0)</f>
        <v>20001487</v>
      </c>
    </row>
    <row r="8" spans="1:12">
      <c r="A8" s="98">
        <v>20007020</v>
      </c>
      <c r="B8" s="133" t="s">
        <v>54</v>
      </c>
      <c r="C8" s="98">
        <v>381494</v>
      </c>
      <c r="D8" s="213">
        <v>45139</v>
      </c>
      <c r="E8" s="98" t="s">
        <v>3060</v>
      </c>
      <c r="F8" s="98" t="s">
        <v>3061</v>
      </c>
      <c r="G8" s="98">
        <v>98047</v>
      </c>
      <c r="H8" s="98" t="s">
        <v>50</v>
      </c>
      <c r="I8" s="98" t="s">
        <v>80</v>
      </c>
      <c r="J8" s="98" t="s">
        <v>40</v>
      </c>
      <c r="K8" s="53">
        <f>+VLOOKUP(A8,COMISIONES!$C$2:$AP$33,40,0)</f>
        <v>20</v>
      </c>
      <c r="L8" s="13">
        <f>+VLOOKUP(A8,COMISIONES!$C$2:$C$33,1,0)</f>
        <v>20007020</v>
      </c>
    </row>
    <row r="9" spans="1:12">
      <c r="A9" s="98">
        <v>20008700</v>
      </c>
      <c r="B9" s="133" t="s">
        <v>54</v>
      </c>
      <c r="C9" s="98">
        <v>381652</v>
      </c>
      <c r="D9" s="213">
        <v>45139</v>
      </c>
      <c r="E9" s="98" t="s">
        <v>3062</v>
      </c>
      <c r="F9" s="98" t="s">
        <v>3063</v>
      </c>
      <c r="G9" s="98">
        <v>98056</v>
      </c>
      <c r="H9" s="98" t="s">
        <v>50</v>
      </c>
      <c r="I9" s="98" t="s">
        <v>80</v>
      </c>
      <c r="J9" s="98" t="s">
        <v>40</v>
      </c>
      <c r="K9" s="53">
        <f>+VLOOKUP(A9,COMISIONES!$C$2:$AP$33,40,0)</f>
        <v>20</v>
      </c>
      <c r="L9" s="13">
        <f>+VLOOKUP(A9,COMISIONES!$C$2:$C$33,1,0)</f>
        <v>20008700</v>
      </c>
    </row>
    <row r="10" spans="1:12">
      <c r="A10" s="98">
        <v>20006360</v>
      </c>
      <c r="B10" s="133" t="s">
        <v>54</v>
      </c>
      <c r="C10" s="98">
        <v>381636</v>
      </c>
      <c r="D10" s="213">
        <v>45139</v>
      </c>
      <c r="E10" s="98" t="s">
        <v>1009</v>
      </c>
      <c r="F10" s="98" t="s">
        <v>1010</v>
      </c>
      <c r="G10" s="98">
        <v>98012</v>
      </c>
      <c r="H10" s="98" t="s">
        <v>50</v>
      </c>
      <c r="I10" s="98" t="s">
        <v>80</v>
      </c>
      <c r="J10" s="98" t="s">
        <v>40</v>
      </c>
      <c r="K10" s="53">
        <f>+VLOOKUP(A10,COMISIONES!$C$2:$AP$33,40,0)</f>
        <v>20</v>
      </c>
      <c r="L10" s="13">
        <f>+VLOOKUP(A10,COMISIONES!$C$2:$C$33,1,0)</f>
        <v>20006360</v>
      </c>
    </row>
    <row r="11" spans="1:12">
      <c r="A11" s="98">
        <v>20007020</v>
      </c>
      <c r="B11" s="133" t="s">
        <v>54</v>
      </c>
      <c r="C11" s="98">
        <v>381484</v>
      </c>
      <c r="D11" s="213">
        <v>45139</v>
      </c>
      <c r="E11" s="98" t="s">
        <v>3064</v>
      </c>
      <c r="F11" s="98" t="s">
        <v>3065</v>
      </c>
      <c r="G11" s="98">
        <v>98047</v>
      </c>
      <c r="H11" s="98" t="s">
        <v>50</v>
      </c>
      <c r="I11" s="98" t="s">
        <v>80</v>
      </c>
      <c r="J11" s="98" t="s">
        <v>40</v>
      </c>
      <c r="K11" s="53">
        <f>+VLOOKUP(A11,COMISIONES!$C$2:$AP$33,40,0)</f>
        <v>20</v>
      </c>
      <c r="L11" s="13">
        <f>+VLOOKUP(A11,COMISIONES!$C$2:$C$33,1,0)</f>
        <v>20007020</v>
      </c>
    </row>
    <row r="12" spans="1:12">
      <c r="A12" s="98">
        <v>20004161</v>
      </c>
      <c r="B12" s="133" t="s">
        <v>54</v>
      </c>
      <c r="C12" s="98">
        <v>381585</v>
      </c>
      <c r="D12" s="213">
        <v>45139</v>
      </c>
      <c r="E12" s="98" t="s">
        <v>1015</v>
      </c>
      <c r="F12" s="98" t="s">
        <v>1016</v>
      </c>
      <c r="G12" s="98">
        <v>98019</v>
      </c>
      <c r="H12" s="98" t="s">
        <v>49</v>
      </c>
      <c r="I12" s="98" t="s">
        <v>80</v>
      </c>
      <c r="J12" s="98" t="s">
        <v>40</v>
      </c>
      <c r="K12" s="53">
        <f>+VLOOKUP(A12,COMISIONES!$C$2:$AP$33,40,0)</f>
        <v>65</v>
      </c>
      <c r="L12" s="13">
        <f>+VLOOKUP(A12,COMISIONES!$C$2:$C$33,1,0)</f>
        <v>20004161</v>
      </c>
    </row>
    <row r="13" spans="1:12">
      <c r="A13" s="98">
        <v>20008711</v>
      </c>
      <c r="B13" s="133" t="s">
        <v>54</v>
      </c>
      <c r="C13" s="98">
        <v>381956</v>
      </c>
      <c r="D13" s="213">
        <v>45139</v>
      </c>
      <c r="E13" s="98" t="s">
        <v>3066</v>
      </c>
      <c r="F13" s="98" t="s">
        <v>3067</v>
      </c>
      <c r="G13" s="98">
        <v>98055</v>
      </c>
      <c r="H13" s="98" t="s">
        <v>50</v>
      </c>
      <c r="I13" s="98" t="s">
        <v>80</v>
      </c>
      <c r="J13" s="98" t="s">
        <v>40</v>
      </c>
      <c r="K13" s="53">
        <f>+VLOOKUP(A13,COMISIONES!$C$2:$AP$33,40,0)</f>
        <v>30</v>
      </c>
      <c r="L13" s="13">
        <f>+VLOOKUP(A13,COMISIONES!$C$2:$C$33,1,0)</f>
        <v>20008711</v>
      </c>
    </row>
    <row r="14" spans="1:12">
      <c r="A14" s="98">
        <v>20009269</v>
      </c>
      <c r="B14" s="133" t="s">
        <v>54</v>
      </c>
      <c r="C14" s="98">
        <v>381952</v>
      </c>
      <c r="D14" s="213">
        <v>45139</v>
      </c>
      <c r="E14" s="98" t="s">
        <v>1055</v>
      </c>
      <c r="F14" s="98" t="s">
        <v>1056</v>
      </c>
      <c r="G14" s="98">
        <v>98065</v>
      </c>
      <c r="H14" s="98" t="s">
        <v>49</v>
      </c>
      <c r="I14" s="98" t="s">
        <v>80</v>
      </c>
      <c r="J14" s="98" t="s">
        <v>40</v>
      </c>
      <c r="K14" s="53">
        <f>+VLOOKUP(A14,COMISIONES!$C$2:$AP$33,40,0)</f>
        <v>60</v>
      </c>
      <c r="L14" s="13">
        <f>+VLOOKUP(A14,COMISIONES!$C$2:$C$33,1,0)</f>
        <v>20009269</v>
      </c>
    </row>
    <row r="15" spans="1:12">
      <c r="A15" s="98">
        <v>20009269</v>
      </c>
      <c r="B15" s="133" t="s">
        <v>54</v>
      </c>
      <c r="C15" s="98">
        <v>381937</v>
      </c>
      <c r="D15" s="213">
        <v>45139</v>
      </c>
      <c r="E15" s="98" t="s">
        <v>1067</v>
      </c>
      <c r="F15" s="98" t="s">
        <v>1068</v>
      </c>
      <c r="G15" s="98">
        <v>98065</v>
      </c>
      <c r="H15" s="98" t="s">
        <v>49</v>
      </c>
      <c r="I15" s="98" t="s">
        <v>80</v>
      </c>
      <c r="J15" s="98" t="s">
        <v>40</v>
      </c>
      <c r="K15" s="53">
        <f>+VLOOKUP(A15,COMISIONES!$C$2:$AP$33,40,0)</f>
        <v>60</v>
      </c>
      <c r="L15" s="13">
        <f>+VLOOKUP(A15,COMISIONES!$C$2:$C$33,1,0)</f>
        <v>20009269</v>
      </c>
    </row>
    <row r="16" spans="1:12">
      <c r="A16" s="98">
        <v>20004235</v>
      </c>
      <c r="B16" s="133" t="s">
        <v>54</v>
      </c>
      <c r="C16" s="98">
        <v>382037</v>
      </c>
      <c r="D16" s="213">
        <v>45139</v>
      </c>
      <c r="E16" s="98" t="s">
        <v>3068</v>
      </c>
      <c r="F16" s="98" t="s">
        <v>3069</v>
      </c>
      <c r="G16" s="98">
        <v>98002</v>
      </c>
      <c r="H16" s="98" t="s">
        <v>49</v>
      </c>
      <c r="I16" s="98" t="s">
        <v>80</v>
      </c>
      <c r="J16" s="98" t="s">
        <v>40</v>
      </c>
      <c r="K16" s="53">
        <f>+VLOOKUP(A16,COMISIONES!$C$2:$AP$33,40,0)</f>
        <v>30</v>
      </c>
      <c r="L16" s="13">
        <f>+VLOOKUP(A16,COMISIONES!$C$2:$C$33,1,0)</f>
        <v>20004235</v>
      </c>
    </row>
    <row r="17" spans="1:12">
      <c r="A17" s="98">
        <v>20004566</v>
      </c>
      <c r="B17" s="133" t="s">
        <v>54</v>
      </c>
      <c r="C17" s="98">
        <v>382321</v>
      </c>
      <c r="D17" s="213">
        <v>45139</v>
      </c>
      <c r="E17" s="98" t="s">
        <v>1234</v>
      </c>
      <c r="F17" s="98" t="s">
        <v>1235</v>
      </c>
      <c r="G17" s="98">
        <v>98023</v>
      </c>
      <c r="H17" s="98" t="s">
        <v>50</v>
      </c>
      <c r="I17" s="98" t="s">
        <v>80</v>
      </c>
      <c r="J17" s="98" t="s">
        <v>40</v>
      </c>
      <c r="K17" s="53">
        <f>+VLOOKUP(A17,COMISIONES!$C$2:$AP$33,40,0)</f>
        <v>40</v>
      </c>
      <c r="L17" s="13">
        <f>+VLOOKUP(A17,COMISIONES!$C$2:$C$33,1,0)</f>
        <v>20004566</v>
      </c>
    </row>
    <row r="18" spans="1:12">
      <c r="A18" s="98">
        <v>20004566</v>
      </c>
      <c r="B18" s="133" t="s">
        <v>54</v>
      </c>
      <c r="C18" s="98">
        <v>382312</v>
      </c>
      <c r="D18" s="213">
        <v>45139</v>
      </c>
      <c r="E18" s="98" t="s">
        <v>900</v>
      </c>
      <c r="F18" s="98" t="s">
        <v>901</v>
      </c>
      <c r="G18" s="98">
        <v>98023</v>
      </c>
      <c r="H18" s="98" t="s">
        <v>50</v>
      </c>
      <c r="I18" s="98" t="s">
        <v>80</v>
      </c>
      <c r="J18" s="98" t="s">
        <v>40</v>
      </c>
      <c r="K18" s="53">
        <f>+VLOOKUP(A18,COMISIONES!$C$2:$AP$33,40,0)</f>
        <v>40</v>
      </c>
      <c r="L18" s="13">
        <f>+VLOOKUP(A18,COMISIONES!$C$2:$C$33,1,0)</f>
        <v>20004566</v>
      </c>
    </row>
    <row r="19" spans="1:12">
      <c r="A19" s="98">
        <v>20009269</v>
      </c>
      <c r="B19" s="133" t="s">
        <v>54</v>
      </c>
      <c r="C19" s="98">
        <v>382311</v>
      </c>
      <c r="D19" s="213">
        <v>45139</v>
      </c>
      <c r="E19" s="98" t="s">
        <v>449</v>
      </c>
      <c r="F19" s="98" t="s">
        <v>450</v>
      </c>
      <c r="G19" s="98">
        <v>98065</v>
      </c>
      <c r="H19" s="98" t="s">
        <v>49</v>
      </c>
      <c r="I19" s="98" t="s">
        <v>80</v>
      </c>
      <c r="J19" s="98" t="s">
        <v>40</v>
      </c>
      <c r="K19" s="53">
        <f>+VLOOKUP(A19,COMISIONES!$C$2:$AP$33,40,0)</f>
        <v>60</v>
      </c>
      <c r="L19" s="13">
        <f>+VLOOKUP(A19,COMISIONES!$C$2:$C$33,1,0)</f>
        <v>20009269</v>
      </c>
    </row>
    <row r="20" spans="1:12">
      <c r="A20" s="98">
        <v>20007726</v>
      </c>
      <c r="B20" s="133" t="s">
        <v>54</v>
      </c>
      <c r="C20" s="98">
        <v>382306</v>
      </c>
      <c r="D20" s="213">
        <v>45139</v>
      </c>
      <c r="E20" s="98" t="s">
        <v>3070</v>
      </c>
      <c r="F20" s="98" t="s">
        <v>3071</v>
      </c>
      <c r="G20" s="98">
        <v>98051</v>
      </c>
      <c r="H20" s="98" t="s">
        <v>49</v>
      </c>
      <c r="I20" s="98" t="s">
        <v>80</v>
      </c>
      <c r="J20" s="98" t="s">
        <v>40</v>
      </c>
      <c r="K20" s="53">
        <f>+VLOOKUP(A20,COMISIONES!$C$2:$AP$33,40,0)</f>
        <v>60</v>
      </c>
      <c r="L20" s="13">
        <f>+VLOOKUP(A20,COMISIONES!$C$2:$C$33,1,0)</f>
        <v>20007726</v>
      </c>
    </row>
    <row r="21" spans="1:12">
      <c r="A21" s="98">
        <v>20004235</v>
      </c>
      <c r="B21" s="133" t="s">
        <v>54</v>
      </c>
      <c r="C21" s="98">
        <v>382192</v>
      </c>
      <c r="D21" s="213">
        <v>45139</v>
      </c>
      <c r="E21" s="98" t="s">
        <v>1154</v>
      </c>
      <c r="F21" s="98" t="s">
        <v>1155</v>
      </c>
      <c r="G21" s="98">
        <v>98002</v>
      </c>
      <c r="H21" s="98" t="s">
        <v>49</v>
      </c>
      <c r="I21" s="98" t="s">
        <v>80</v>
      </c>
      <c r="J21" s="98" t="s">
        <v>40</v>
      </c>
      <c r="K21" s="53">
        <f>+VLOOKUP(A21,COMISIONES!$C$2:$AP$33,40,0)</f>
        <v>30</v>
      </c>
      <c r="L21" s="13">
        <f>+VLOOKUP(A21,COMISIONES!$C$2:$C$33,1,0)</f>
        <v>20004235</v>
      </c>
    </row>
    <row r="22" spans="1:12">
      <c r="A22" s="98">
        <v>20008711</v>
      </c>
      <c r="B22" s="133" t="s">
        <v>54</v>
      </c>
      <c r="C22" s="98">
        <v>382721</v>
      </c>
      <c r="D22" s="213">
        <v>45139</v>
      </c>
      <c r="E22" s="98" t="s">
        <v>979</v>
      </c>
      <c r="F22" s="98" t="s">
        <v>980</v>
      </c>
      <c r="G22" s="98">
        <v>98055</v>
      </c>
      <c r="H22" s="98" t="s">
        <v>50</v>
      </c>
      <c r="I22" s="98" t="s">
        <v>80</v>
      </c>
      <c r="J22" s="98" t="s">
        <v>40</v>
      </c>
      <c r="K22" s="53">
        <f>+VLOOKUP(A22,COMISIONES!$C$2:$AP$33,40,0)</f>
        <v>30</v>
      </c>
      <c r="L22" s="13">
        <f>+VLOOKUP(A22,COMISIONES!$C$2:$C$33,1,0)</f>
        <v>20008711</v>
      </c>
    </row>
    <row r="23" spans="1:12">
      <c r="A23" s="98">
        <v>20001487</v>
      </c>
      <c r="B23" s="133" t="s">
        <v>54</v>
      </c>
      <c r="C23" s="98">
        <v>382713</v>
      </c>
      <c r="D23" s="213">
        <v>45139</v>
      </c>
      <c r="E23" s="98" t="s">
        <v>3072</v>
      </c>
      <c r="F23" s="98" t="s">
        <v>3073</v>
      </c>
      <c r="G23" s="98">
        <v>98003</v>
      </c>
      <c r="H23" s="98" t="s">
        <v>51</v>
      </c>
      <c r="I23" s="98" t="s">
        <v>80</v>
      </c>
      <c r="J23" s="98" t="s">
        <v>40</v>
      </c>
      <c r="K23" s="53">
        <f>+VLOOKUP(A23,COMISIONES!$C$2:$AP$33,40,0)</f>
        <v>60</v>
      </c>
      <c r="L23" s="13">
        <f>+VLOOKUP(A23,COMISIONES!$C$2:$C$33,1,0)</f>
        <v>20001487</v>
      </c>
    </row>
    <row r="24" spans="1:12">
      <c r="A24" s="98">
        <v>20004235</v>
      </c>
      <c r="B24" s="133" t="s">
        <v>54</v>
      </c>
      <c r="C24" s="98">
        <v>382708</v>
      </c>
      <c r="D24" s="213">
        <v>45139</v>
      </c>
      <c r="E24" s="98" t="s">
        <v>3074</v>
      </c>
      <c r="F24" s="98" t="s">
        <v>3075</v>
      </c>
      <c r="G24" s="98">
        <v>98002</v>
      </c>
      <c r="H24" s="98" t="s">
        <v>49</v>
      </c>
      <c r="I24" s="98" t="s">
        <v>80</v>
      </c>
      <c r="J24" s="98" t="s">
        <v>40</v>
      </c>
      <c r="K24" s="53">
        <f>+VLOOKUP(A24,COMISIONES!$C$2:$AP$33,40,0)</f>
        <v>30</v>
      </c>
      <c r="L24" s="13">
        <f>+VLOOKUP(A24,COMISIONES!$C$2:$C$33,1,0)</f>
        <v>20004235</v>
      </c>
    </row>
    <row r="25" spans="1:12">
      <c r="A25" s="98">
        <v>20007726</v>
      </c>
      <c r="B25" s="133" t="s">
        <v>54</v>
      </c>
      <c r="C25" s="98">
        <v>383263</v>
      </c>
      <c r="D25" s="213">
        <v>45139</v>
      </c>
      <c r="E25" s="98" t="s">
        <v>1298</v>
      </c>
      <c r="F25" s="98" t="s">
        <v>1299</v>
      </c>
      <c r="G25" s="98">
        <v>98051</v>
      </c>
      <c r="H25" s="98" t="s">
        <v>49</v>
      </c>
      <c r="I25" s="98" t="s">
        <v>80</v>
      </c>
      <c r="J25" s="98" t="s">
        <v>40</v>
      </c>
      <c r="K25" s="53">
        <f>+VLOOKUP(A25,COMISIONES!$C$2:$AP$33,40,0)</f>
        <v>60</v>
      </c>
      <c r="L25" s="13">
        <f>+VLOOKUP(A25,COMISIONES!$C$2:$C$33,1,0)</f>
        <v>20007726</v>
      </c>
    </row>
    <row r="26" spans="1:12">
      <c r="A26" s="98">
        <v>20008711</v>
      </c>
      <c r="B26" s="133" t="s">
        <v>54</v>
      </c>
      <c r="C26" s="98">
        <v>383666</v>
      </c>
      <c r="D26" s="213">
        <v>45139</v>
      </c>
      <c r="E26" s="98" t="s">
        <v>1384</v>
      </c>
      <c r="F26" s="98" t="s">
        <v>1385</v>
      </c>
      <c r="G26" s="98">
        <v>98055</v>
      </c>
      <c r="H26" s="98" t="s">
        <v>50</v>
      </c>
      <c r="I26" s="98" t="s">
        <v>80</v>
      </c>
      <c r="J26" s="98" t="s">
        <v>40</v>
      </c>
      <c r="K26" s="53">
        <f>+VLOOKUP(A26,COMISIONES!$C$2:$AP$33,40,0)</f>
        <v>30</v>
      </c>
      <c r="L26" s="13">
        <f>+VLOOKUP(A26,COMISIONES!$C$2:$C$33,1,0)</f>
        <v>20008711</v>
      </c>
    </row>
    <row r="27" spans="1:12">
      <c r="A27" s="98">
        <v>20009592</v>
      </c>
      <c r="B27" s="133" t="s">
        <v>54</v>
      </c>
      <c r="C27" s="98">
        <v>993211</v>
      </c>
      <c r="D27" s="213">
        <v>45139</v>
      </c>
      <c r="E27" s="98" t="s">
        <v>3076</v>
      </c>
      <c r="F27" s="98" t="s">
        <v>3077</v>
      </c>
      <c r="G27" s="98">
        <v>98076</v>
      </c>
      <c r="H27" s="98" t="s">
        <v>52</v>
      </c>
      <c r="I27" s="98" t="s">
        <v>80</v>
      </c>
      <c r="J27" s="98" t="s">
        <v>40</v>
      </c>
      <c r="K27" s="53">
        <f>+VLOOKUP(A27,COMISIONES!$C$2:$AP$33,40,0)</f>
        <v>20</v>
      </c>
      <c r="L27" s="13">
        <f>+VLOOKUP(A27,COMISIONES!$C$2:$C$33,1,0)</f>
        <v>20009592</v>
      </c>
    </row>
    <row r="28" spans="1:12">
      <c r="A28" s="98">
        <v>20002636</v>
      </c>
      <c r="B28" s="133" t="s">
        <v>54</v>
      </c>
      <c r="C28" s="98">
        <v>384191</v>
      </c>
      <c r="D28" s="213">
        <v>45139</v>
      </c>
      <c r="E28" s="98" t="s">
        <v>3078</v>
      </c>
      <c r="F28" s="98" t="s">
        <v>3079</v>
      </c>
      <c r="G28" s="98">
        <v>98007</v>
      </c>
      <c r="H28" s="98" t="s">
        <v>51</v>
      </c>
      <c r="I28" s="98" t="s">
        <v>80</v>
      </c>
      <c r="J28" s="98" t="s">
        <v>40</v>
      </c>
      <c r="K28" s="53">
        <f>+VLOOKUP(A28,COMISIONES!$C$2:$AP$33,40,0)</f>
        <v>30</v>
      </c>
      <c r="L28" s="13">
        <f>+VLOOKUP(A28,COMISIONES!$C$2:$C$33,1,0)</f>
        <v>20002636</v>
      </c>
    </row>
    <row r="29" spans="1:12">
      <c r="A29" s="98">
        <v>20004638</v>
      </c>
      <c r="B29" s="133" t="s">
        <v>54</v>
      </c>
      <c r="C29" s="98">
        <v>384146</v>
      </c>
      <c r="D29" s="213">
        <v>45139</v>
      </c>
      <c r="E29" s="98" t="s">
        <v>3080</v>
      </c>
      <c r="F29" s="98" t="s">
        <v>3081</v>
      </c>
      <c r="G29" s="98">
        <v>98009</v>
      </c>
      <c r="H29" s="98" t="s">
        <v>51</v>
      </c>
      <c r="I29" s="98" t="s">
        <v>80</v>
      </c>
      <c r="J29" s="98" t="s">
        <v>40</v>
      </c>
      <c r="K29" s="53">
        <f>+VLOOKUP(A29,COMISIONES!$C$2:$AP$33,40,0)</f>
        <v>20</v>
      </c>
      <c r="L29" s="13">
        <f>+VLOOKUP(A29,COMISIONES!$C$2:$C$33,1,0)</f>
        <v>20004638</v>
      </c>
    </row>
    <row r="30" spans="1:12">
      <c r="A30" s="98">
        <v>20010101</v>
      </c>
      <c r="B30" s="133" t="s">
        <v>54</v>
      </c>
      <c r="C30" s="98">
        <v>384051</v>
      </c>
      <c r="D30" s="213">
        <v>45139</v>
      </c>
      <c r="E30" s="98" t="s">
        <v>3082</v>
      </c>
      <c r="F30" s="98" t="s">
        <v>3083</v>
      </c>
      <c r="G30" s="98">
        <v>98072</v>
      </c>
      <c r="H30" s="98" t="s">
        <v>49</v>
      </c>
      <c r="I30" s="98" t="s">
        <v>80</v>
      </c>
      <c r="J30" s="98" t="s">
        <v>40</v>
      </c>
      <c r="K30" s="53">
        <f>+VLOOKUP(A30,COMISIONES!$C$2:$AP$33,40,0)</f>
        <v>60</v>
      </c>
      <c r="L30" s="13">
        <f>+VLOOKUP(A30,COMISIONES!$C$2:$C$33,1,0)</f>
        <v>20010101</v>
      </c>
    </row>
    <row r="31" spans="1:12">
      <c r="A31" s="98">
        <v>20009688</v>
      </c>
      <c r="B31" s="133" t="s">
        <v>54</v>
      </c>
      <c r="C31" s="98">
        <v>384047</v>
      </c>
      <c r="D31" s="213">
        <v>45139</v>
      </c>
      <c r="E31" s="98" t="s">
        <v>1043</v>
      </c>
      <c r="F31" s="98" t="s">
        <v>1044</v>
      </c>
      <c r="G31" s="98">
        <v>98075</v>
      </c>
      <c r="H31" s="98" t="s">
        <v>52</v>
      </c>
      <c r="I31" s="98" t="s">
        <v>80</v>
      </c>
      <c r="J31" s="98" t="s">
        <v>40</v>
      </c>
      <c r="K31" s="53">
        <f>+VLOOKUP(A31,COMISIONES!$C$2:$AP$33,40,0)</f>
        <v>30</v>
      </c>
      <c r="L31" s="13">
        <f>+VLOOKUP(A31,COMISIONES!$C$2:$C$33,1,0)</f>
        <v>20009688</v>
      </c>
    </row>
    <row r="32" spans="1:12">
      <c r="A32" s="98">
        <v>20002636</v>
      </c>
      <c r="B32" s="133" t="s">
        <v>54</v>
      </c>
      <c r="C32" s="98">
        <v>10270</v>
      </c>
      <c r="D32" s="213">
        <v>45139</v>
      </c>
      <c r="E32" s="98" t="s">
        <v>3078</v>
      </c>
      <c r="F32" s="98" t="s">
        <v>3084</v>
      </c>
      <c r="G32" s="98">
        <v>98007</v>
      </c>
      <c r="H32" s="98" t="s">
        <v>51</v>
      </c>
      <c r="I32" s="98" t="s">
        <v>80</v>
      </c>
      <c r="J32" s="98" t="s">
        <v>40</v>
      </c>
      <c r="K32" s="53">
        <f>+VLOOKUP(A32,COMISIONES!$C$2:$AP$33,40,0)</f>
        <v>30</v>
      </c>
      <c r="L32" s="13">
        <f>+VLOOKUP(A32,COMISIONES!$C$2:$C$33,1,0)</f>
        <v>20002636</v>
      </c>
    </row>
    <row r="33" spans="1:12">
      <c r="A33" s="98">
        <v>20004638</v>
      </c>
      <c r="B33" s="133" t="s">
        <v>54</v>
      </c>
      <c r="C33" s="98">
        <v>997532</v>
      </c>
      <c r="D33" s="213">
        <v>45139</v>
      </c>
      <c r="E33" s="98" t="s">
        <v>3080</v>
      </c>
      <c r="F33" s="98" t="s">
        <v>3085</v>
      </c>
      <c r="G33" s="98">
        <v>98009</v>
      </c>
      <c r="H33" s="98" t="s">
        <v>51</v>
      </c>
      <c r="I33" s="98" t="s">
        <v>80</v>
      </c>
      <c r="J33" s="98" t="s">
        <v>40</v>
      </c>
      <c r="K33" s="53">
        <f>+VLOOKUP(A33,COMISIONES!$C$2:$AP$33,40,0)</f>
        <v>20</v>
      </c>
      <c r="L33" s="13">
        <f>+VLOOKUP(A33,COMISIONES!$C$2:$C$33,1,0)</f>
        <v>20004638</v>
      </c>
    </row>
    <row r="34" spans="1:12">
      <c r="A34" s="98">
        <v>20009688</v>
      </c>
      <c r="B34" s="133" t="s">
        <v>54</v>
      </c>
      <c r="C34" s="98">
        <v>384041</v>
      </c>
      <c r="D34" s="213">
        <v>45139</v>
      </c>
      <c r="E34" s="98" t="s">
        <v>1151</v>
      </c>
      <c r="F34" s="98" t="s">
        <v>1152</v>
      </c>
      <c r="G34" s="98">
        <v>98075</v>
      </c>
      <c r="H34" s="98" t="s">
        <v>52</v>
      </c>
      <c r="I34" s="98" t="s">
        <v>80</v>
      </c>
      <c r="J34" s="98" t="s">
        <v>40</v>
      </c>
      <c r="K34" s="53">
        <f>+VLOOKUP(A34,COMISIONES!$C$2:$AP$33,40,0)</f>
        <v>30</v>
      </c>
      <c r="L34" s="13">
        <f>+VLOOKUP(A34,COMISIONES!$C$2:$C$33,1,0)</f>
        <v>20009688</v>
      </c>
    </row>
    <row r="35" spans="1:12">
      <c r="A35" s="98">
        <v>20000661</v>
      </c>
      <c r="B35" s="133" t="s">
        <v>54</v>
      </c>
      <c r="C35" s="98">
        <v>998092</v>
      </c>
      <c r="D35" s="213">
        <v>45139</v>
      </c>
      <c r="E35" s="98" t="s">
        <v>3086</v>
      </c>
      <c r="F35" s="98" t="s">
        <v>3087</v>
      </c>
      <c r="G35" s="98">
        <v>98013</v>
      </c>
      <c r="H35" s="98" t="s">
        <v>51</v>
      </c>
      <c r="I35" s="98" t="s">
        <v>80</v>
      </c>
      <c r="J35" s="98" t="s">
        <v>40</v>
      </c>
      <c r="K35" s="53">
        <f>+VLOOKUP(A35,COMISIONES!$C$2:$AP$33,40,0)</f>
        <v>30</v>
      </c>
      <c r="L35" s="13">
        <f>+VLOOKUP(A35,COMISIONES!$C$2:$C$33,1,0)</f>
        <v>20000661</v>
      </c>
    </row>
    <row r="36" spans="1:12">
      <c r="A36" s="98">
        <v>20007943</v>
      </c>
      <c r="B36" s="133" t="s">
        <v>54</v>
      </c>
      <c r="C36" s="98">
        <v>384361</v>
      </c>
      <c r="D36" s="213">
        <v>45139</v>
      </c>
      <c r="E36" s="98" t="s">
        <v>1443</v>
      </c>
      <c r="F36" s="98" t="s">
        <v>1444</v>
      </c>
      <c r="G36" s="98">
        <v>98077</v>
      </c>
      <c r="H36" s="98" t="s">
        <v>51</v>
      </c>
      <c r="I36" s="98" t="s">
        <v>80</v>
      </c>
      <c r="J36" s="98" t="s">
        <v>40</v>
      </c>
      <c r="K36" s="53">
        <f>+VLOOKUP(A36,COMISIONES!$C$2:$AP$33,40,0)</f>
        <v>20</v>
      </c>
      <c r="L36" s="13">
        <f>+VLOOKUP(A36,COMISIONES!$C$2:$C$33,1,0)</f>
        <v>20007943</v>
      </c>
    </row>
    <row r="37" spans="1:12">
      <c r="A37" s="98">
        <v>20010262</v>
      </c>
      <c r="B37" s="133" t="s">
        <v>54</v>
      </c>
      <c r="C37" s="98">
        <v>19580</v>
      </c>
      <c r="D37" s="213">
        <v>45139</v>
      </c>
      <c r="E37" s="98" t="s">
        <v>1404</v>
      </c>
      <c r="F37" s="98" t="s">
        <v>1405</v>
      </c>
      <c r="G37" s="98">
        <v>98073</v>
      </c>
      <c r="H37" s="98" t="s">
        <v>52</v>
      </c>
      <c r="I37" s="98" t="s">
        <v>80</v>
      </c>
      <c r="J37" s="98" t="s">
        <v>40</v>
      </c>
      <c r="K37" s="53">
        <f>+VLOOKUP(A37,COMISIONES!$C$2:$AP$33,40,0)</f>
        <v>30</v>
      </c>
      <c r="L37" s="13">
        <f>+VLOOKUP(A37,COMISIONES!$C$2:$C$33,1,0)</f>
        <v>20010262</v>
      </c>
    </row>
    <row r="38" spans="1:12">
      <c r="A38" s="98">
        <v>20008700</v>
      </c>
      <c r="B38" s="133" t="s">
        <v>54</v>
      </c>
      <c r="C38" s="98">
        <v>384524</v>
      </c>
      <c r="D38" s="213">
        <v>45139</v>
      </c>
      <c r="E38" s="98" t="s">
        <v>1030</v>
      </c>
      <c r="F38" s="98" t="s">
        <v>1031</v>
      </c>
      <c r="G38" s="98">
        <v>98056</v>
      </c>
      <c r="H38" s="98" t="s">
        <v>50</v>
      </c>
      <c r="I38" s="98" t="s">
        <v>80</v>
      </c>
      <c r="J38" s="98" t="s">
        <v>40</v>
      </c>
      <c r="K38" s="53">
        <f>+VLOOKUP(A38,COMISIONES!$C$2:$AP$33,40,0)</f>
        <v>20</v>
      </c>
      <c r="L38" s="13">
        <f>+VLOOKUP(A38,COMISIONES!$C$2:$C$33,1,0)</f>
        <v>20008700</v>
      </c>
    </row>
    <row r="39" spans="1:12">
      <c r="A39" s="98">
        <v>20006162</v>
      </c>
      <c r="B39" s="133" t="s">
        <v>54</v>
      </c>
      <c r="C39" s="98">
        <v>384375</v>
      </c>
      <c r="D39" s="213">
        <v>45139</v>
      </c>
      <c r="E39" s="98" t="s">
        <v>3088</v>
      </c>
      <c r="F39" s="98" t="s">
        <v>3089</v>
      </c>
      <c r="G39" s="98">
        <v>98069</v>
      </c>
      <c r="H39" s="98" t="s">
        <v>50</v>
      </c>
      <c r="I39" s="98" t="s">
        <v>80</v>
      </c>
      <c r="J39" s="98" t="s">
        <v>40</v>
      </c>
      <c r="K39" s="53">
        <f>+VLOOKUP(A39,COMISIONES!$C$2:$AP$33,40,0)</f>
        <v>40</v>
      </c>
      <c r="L39" s="13">
        <f>+VLOOKUP(A39,COMISIONES!$C$2:$C$33,1,0)</f>
        <v>20006162</v>
      </c>
    </row>
    <row r="40" spans="1:12">
      <c r="A40" s="98">
        <v>20007726</v>
      </c>
      <c r="B40" s="133" t="s">
        <v>54</v>
      </c>
      <c r="C40" s="98">
        <v>384468</v>
      </c>
      <c r="D40" s="213">
        <v>45139</v>
      </c>
      <c r="E40" s="98" t="s">
        <v>1467</v>
      </c>
      <c r="F40" s="98" t="s">
        <v>1468</v>
      </c>
      <c r="G40" s="98">
        <v>98051</v>
      </c>
      <c r="H40" s="98" t="s">
        <v>49</v>
      </c>
      <c r="I40" s="98" t="s">
        <v>80</v>
      </c>
      <c r="J40" s="98" t="s">
        <v>40</v>
      </c>
      <c r="K40" s="53">
        <f>+VLOOKUP(A40,COMISIONES!$C$2:$AP$33,40,0)</f>
        <v>60</v>
      </c>
      <c r="L40" s="13">
        <f>+VLOOKUP(A40,COMISIONES!$C$2:$C$33,1,0)</f>
        <v>20007726</v>
      </c>
    </row>
    <row r="41" spans="1:12">
      <c r="A41" s="98">
        <v>20009174</v>
      </c>
      <c r="B41" s="133" t="s">
        <v>54</v>
      </c>
      <c r="C41" s="98">
        <v>384419</v>
      </c>
      <c r="D41" s="213">
        <v>45139</v>
      </c>
      <c r="E41" s="98" t="s">
        <v>1431</v>
      </c>
      <c r="F41" s="98" t="s">
        <v>1432</v>
      </c>
      <c r="G41" s="98">
        <v>98064</v>
      </c>
      <c r="H41" s="98" t="s">
        <v>52</v>
      </c>
      <c r="I41" s="98" t="s">
        <v>80</v>
      </c>
      <c r="J41" s="98" t="s">
        <v>40</v>
      </c>
      <c r="K41" s="53">
        <f>+VLOOKUP(A41,COMISIONES!$C$2:$AP$33,40,0)</f>
        <v>40</v>
      </c>
      <c r="L41" s="13">
        <f>+VLOOKUP(A41,COMISIONES!$C$2:$C$33,1,0)</f>
        <v>20009174</v>
      </c>
    </row>
    <row r="42" spans="1:12">
      <c r="A42" s="98">
        <v>20009174</v>
      </c>
      <c r="B42" s="133" t="s">
        <v>54</v>
      </c>
      <c r="C42" s="98">
        <v>384843</v>
      </c>
      <c r="D42" s="213">
        <v>45139</v>
      </c>
      <c r="E42" s="98" t="s">
        <v>1516</v>
      </c>
      <c r="F42" s="98" t="s">
        <v>1517</v>
      </c>
      <c r="G42" s="98">
        <v>98064</v>
      </c>
      <c r="H42" s="98" t="s">
        <v>52</v>
      </c>
      <c r="I42" s="98" t="s">
        <v>80</v>
      </c>
      <c r="J42" s="98" t="s">
        <v>40</v>
      </c>
      <c r="K42" s="53">
        <f>+VLOOKUP(A42,COMISIONES!$C$2:$AP$33,40,0)</f>
        <v>40</v>
      </c>
      <c r="L42" s="13">
        <f>+VLOOKUP(A42,COMISIONES!$C$2:$C$33,1,0)</f>
        <v>20009174</v>
      </c>
    </row>
    <row r="43" spans="1:12">
      <c r="A43" s="98">
        <v>20004161</v>
      </c>
      <c r="B43" s="133" t="s">
        <v>54</v>
      </c>
      <c r="C43" s="98">
        <v>384734</v>
      </c>
      <c r="D43" s="213">
        <v>45139</v>
      </c>
      <c r="E43" s="98" t="s">
        <v>1486</v>
      </c>
      <c r="F43" s="98" t="s">
        <v>1487</v>
      </c>
      <c r="G43" s="98">
        <v>98019</v>
      </c>
      <c r="H43" s="98" t="s">
        <v>49</v>
      </c>
      <c r="I43" s="98" t="s">
        <v>80</v>
      </c>
      <c r="J43" s="98" t="s">
        <v>40</v>
      </c>
      <c r="K43" s="53">
        <f>+VLOOKUP(A43,COMISIONES!$C$2:$AP$33,40,0)</f>
        <v>65</v>
      </c>
      <c r="L43" s="13">
        <f>+VLOOKUP(A43,COMISIONES!$C$2:$C$33,1,0)</f>
        <v>20004161</v>
      </c>
    </row>
    <row r="44" spans="1:12">
      <c r="A44" s="98">
        <v>20009174</v>
      </c>
      <c r="B44" s="133" t="s">
        <v>54</v>
      </c>
      <c r="C44" s="98">
        <v>35373</v>
      </c>
      <c r="D44" s="213">
        <v>45139</v>
      </c>
      <c r="E44" s="98" t="s">
        <v>1516</v>
      </c>
      <c r="F44" s="98" t="s">
        <v>3090</v>
      </c>
      <c r="G44" s="98">
        <v>98064</v>
      </c>
      <c r="H44" s="98" t="s">
        <v>52</v>
      </c>
      <c r="I44" s="98" t="s">
        <v>80</v>
      </c>
      <c r="J44" s="98" t="s">
        <v>40</v>
      </c>
      <c r="K44" s="53">
        <f>+VLOOKUP(A44,COMISIONES!$C$2:$AP$33,40,0)</f>
        <v>40</v>
      </c>
      <c r="L44" s="13">
        <f>+VLOOKUP(A44,COMISIONES!$C$2:$C$33,1,0)</f>
        <v>20009174</v>
      </c>
    </row>
    <row r="45" spans="1:12">
      <c r="A45" s="98">
        <v>20006360</v>
      </c>
      <c r="B45" s="133" t="s">
        <v>54</v>
      </c>
      <c r="C45" s="98">
        <v>385097</v>
      </c>
      <c r="D45" s="213">
        <v>45139</v>
      </c>
      <c r="E45" s="98" t="s">
        <v>1576</v>
      </c>
      <c r="F45" s="98" t="s">
        <v>1577</v>
      </c>
      <c r="G45" s="98">
        <v>98012</v>
      </c>
      <c r="H45" s="98" t="s">
        <v>50</v>
      </c>
      <c r="I45" s="98" t="s">
        <v>80</v>
      </c>
      <c r="J45" s="98" t="s">
        <v>40</v>
      </c>
      <c r="K45" s="53">
        <f>+VLOOKUP(A45,COMISIONES!$C$2:$AP$33,40,0)</f>
        <v>20</v>
      </c>
      <c r="L45" s="13">
        <f>+VLOOKUP(A45,COMISIONES!$C$2:$C$33,1,0)</f>
        <v>20006360</v>
      </c>
    </row>
    <row r="46" spans="1:12">
      <c r="A46" s="98">
        <v>20008439</v>
      </c>
      <c r="B46" s="133" t="s">
        <v>54</v>
      </c>
      <c r="C46" s="98">
        <v>385175</v>
      </c>
      <c r="D46" s="213">
        <v>45139</v>
      </c>
      <c r="E46" s="98" t="s">
        <v>1609</v>
      </c>
      <c r="F46" s="98" t="s">
        <v>1610</v>
      </c>
      <c r="G46" s="98">
        <v>98049</v>
      </c>
      <c r="H46" s="98" t="s">
        <v>50</v>
      </c>
      <c r="I46" s="98" t="s">
        <v>80</v>
      </c>
      <c r="J46" s="98" t="s">
        <v>40</v>
      </c>
      <c r="K46" s="53">
        <f>+VLOOKUP(A46,COMISIONES!$C$2:$AP$33,40,0)</f>
        <v>30</v>
      </c>
      <c r="L46" s="13">
        <f>+VLOOKUP(A46,COMISIONES!$C$2:$C$33,1,0)</f>
        <v>20008439</v>
      </c>
    </row>
    <row r="47" spans="1:12">
      <c r="A47" s="98">
        <v>20007726</v>
      </c>
      <c r="B47" s="133" t="s">
        <v>54</v>
      </c>
      <c r="C47" s="98">
        <v>385061</v>
      </c>
      <c r="D47" s="213">
        <v>45139</v>
      </c>
      <c r="E47" s="98" t="s">
        <v>1513</v>
      </c>
      <c r="F47" s="98" t="s">
        <v>1514</v>
      </c>
      <c r="G47" s="98">
        <v>98051</v>
      </c>
      <c r="H47" s="98" t="s">
        <v>49</v>
      </c>
      <c r="I47" s="98" t="s">
        <v>80</v>
      </c>
      <c r="J47" s="98" t="s">
        <v>40</v>
      </c>
      <c r="K47" s="53">
        <f>+VLOOKUP(A47,COMISIONES!$C$2:$AP$33,40,0)</f>
        <v>60</v>
      </c>
      <c r="L47" s="13">
        <f>+VLOOKUP(A47,COMISIONES!$C$2:$C$33,1,0)</f>
        <v>20007726</v>
      </c>
    </row>
    <row r="48" spans="1:12">
      <c r="A48" s="98">
        <v>20010262</v>
      </c>
      <c r="B48" s="133" t="s">
        <v>54</v>
      </c>
      <c r="C48" s="98">
        <v>385012</v>
      </c>
      <c r="D48" s="213">
        <v>45139</v>
      </c>
      <c r="E48" s="98" t="s">
        <v>1537</v>
      </c>
      <c r="F48" s="98" t="s">
        <v>1538</v>
      </c>
      <c r="G48" s="98">
        <v>98073</v>
      </c>
      <c r="H48" s="98" t="s">
        <v>52</v>
      </c>
      <c r="I48" s="98" t="s">
        <v>80</v>
      </c>
      <c r="J48" s="98" t="s">
        <v>40</v>
      </c>
      <c r="K48" s="53">
        <f>+VLOOKUP(A48,COMISIONES!$C$2:$AP$33,40,0)</f>
        <v>30</v>
      </c>
      <c r="L48" s="13">
        <f>+VLOOKUP(A48,COMISIONES!$C$2:$C$33,1,0)</f>
        <v>20010262</v>
      </c>
    </row>
    <row r="49" spans="1:12">
      <c r="A49" s="98">
        <v>20004566</v>
      </c>
      <c r="B49" s="133" t="s">
        <v>54</v>
      </c>
      <c r="C49" s="98">
        <v>385549</v>
      </c>
      <c r="D49" s="213">
        <v>45139</v>
      </c>
      <c r="E49" s="98" t="s">
        <v>3091</v>
      </c>
      <c r="F49" s="98" t="s">
        <v>3092</v>
      </c>
      <c r="G49" s="98">
        <v>98023</v>
      </c>
      <c r="H49" s="98" t="s">
        <v>50</v>
      </c>
      <c r="I49" s="98" t="s">
        <v>80</v>
      </c>
      <c r="J49" s="98" t="s">
        <v>40</v>
      </c>
      <c r="K49" s="53">
        <f>+VLOOKUP(A49,COMISIONES!$C$2:$AP$33,40,0)</f>
        <v>40</v>
      </c>
      <c r="L49" s="13">
        <f>+VLOOKUP(A49,COMISIONES!$C$2:$C$33,1,0)</f>
        <v>20004566</v>
      </c>
    </row>
    <row r="50" spans="1:12">
      <c r="A50" s="98">
        <v>20006162</v>
      </c>
      <c r="B50" s="133" t="s">
        <v>54</v>
      </c>
      <c r="C50" s="98">
        <v>385499</v>
      </c>
      <c r="D50" s="213">
        <v>45139</v>
      </c>
      <c r="E50" s="98" t="s">
        <v>3093</v>
      </c>
      <c r="F50" s="98" t="s">
        <v>3094</v>
      </c>
      <c r="G50" s="98">
        <v>98069</v>
      </c>
      <c r="H50" s="98" t="s">
        <v>50</v>
      </c>
      <c r="I50" s="98" t="s">
        <v>80</v>
      </c>
      <c r="J50" s="98" t="s">
        <v>40</v>
      </c>
      <c r="K50" s="53">
        <f>+VLOOKUP(A50,COMISIONES!$C$2:$AP$33,40,0)</f>
        <v>40</v>
      </c>
      <c r="L50" s="13">
        <f>+VLOOKUP(A50,COMISIONES!$C$2:$C$33,1,0)</f>
        <v>20006162</v>
      </c>
    </row>
    <row r="51" spans="1:12">
      <c r="A51" s="98">
        <v>20009688</v>
      </c>
      <c r="B51" s="133" t="s">
        <v>54</v>
      </c>
      <c r="C51" s="98">
        <v>385809</v>
      </c>
      <c r="D51" s="213">
        <v>45139</v>
      </c>
      <c r="E51" s="98" t="s">
        <v>1755</v>
      </c>
      <c r="F51" s="98" t="s">
        <v>1756</v>
      </c>
      <c r="G51" s="98">
        <v>98075</v>
      </c>
      <c r="H51" s="98" t="s">
        <v>52</v>
      </c>
      <c r="I51" s="98" t="s">
        <v>80</v>
      </c>
      <c r="J51" s="98" t="s">
        <v>40</v>
      </c>
      <c r="K51" s="53">
        <f>+VLOOKUP(A51,COMISIONES!$C$2:$AP$33,40,0)</f>
        <v>30</v>
      </c>
      <c r="L51" s="13">
        <f>+VLOOKUP(A51,COMISIONES!$C$2:$C$33,1,0)</f>
        <v>20009688</v>
      </c>
    </row>
    <row r="52" spans="1:12">
      <c r="A52" s="98">
        <v>20009688</v>
      </c>
      <c r="B52" s="133" t="s">
        <v>54</v>
      </c>
      <c r="C52" s="98">
        <v>70022</v>
      </c>
      <c r="D52" s="213">
        <v>45139</v>
      </c>
      <c r="E52" s="98" t="s">
        <v>1259</v>
      </c>
      <c r="F52" s="98" t="s">
        <v>1260</v>
      </c>
      <c r="G52" s="98">
        <v>98075</v>
      </c>
      <c r="H52" s="98" t="s">
        <v>52</v>
      </c>
      <c r="I52" s="98" t="s">
        <v>80</v>
      </c>
      <c r="J52" s="98" t="s">
        <v>40</v>
      </c>
      <c r="K52" s="53">
        <f>+VLOOKUP(A52,COMISIONES!$C$2:$AP$33,40,0)</f>
        <v>30</v>
      </c>
      <c r="L52" s="13">
        <f>+VLOOKUP(A52,COMISIONES!$C$2:$C$33,1,0)</f>
        <v>20009688</v>
      </c>
    </row>
    <row r="53" spans="1:12">
      <c r="A53" s="98">
        <v>20004161</v>
      </c>
      <c r="B53" s="133" t="s">
        <v>54</v>
      </c>
      <c r="C53" s="98">
        <v>385717</v>
      </c>
      <c r="D53" s="213">
        <v>45139</v>
      </c>
      <c r="E53" s="98" t="s">
        <v>1734</v>
      </c>
      <c r="F53" s="98" t="s">
        <v>1735</v>
      </c>
      <c r="G53" s="98">
        <v>98019</v>
      </c>
      <c r="H53" s="98" t="s">
        <v>49</v>
      </c>
      <c r="I53" s="98" t="s">
        <v>80</v>
      </c>
      <c r="J53" s="98" t="s">
        <v>40</v>
      </c>
      <c r="K53" s="53">
        <f>+VLOOKUP(A53,COMISIONES!$C$2:$AP$33,40,0)</f>
        <v>65</v>
      </c>
      <c r="L53" s="13">
        <f>+VLOOKUP(A53,COMISIONES!$C$2:$C$33,1,0)</f>
        <v>20004161</v>
      </c>
    </row>
    <row r="54" spans="1:12">
      <c r="A54" s="98">
        <v>20007352</v>
      </c>
      <c r="B54" s="133" t="s">
        <v>54</v>
      </c>
      <c r="C54" s="98">
        <v>385681</v>
      </c>
      <c r="D54" s="213">
        <v>45139</v>
      </c>
      <c r="E54" s="98" t="s">
        <v>3095</v>
      </c>
      <c r="F54" s="98" t="s">
        <v>3096</v>
      </c>
      <c r="G54" s="98">
        <v>98034</v>
      </c>
      <c r="H54" s="98" t="s">
        <v>52</v>
      </c>
      <c r="I54" s="98" t="s">
        <v>80</v>
      </c>
      <c r="J54" s="98" t="s">
        <v>40</v>
      </c>
      <c r="K54" s="53">
        <f>+VLOOKUP(A54,COMISIONES!$C$2:$AP$33,40,0)</f>
        <v>30</v>
      </c>
      <c r="L54" s="13">
        <f>+VLOOKUP(A54,COMISIONES!$C$2:$C$33,1,0)</f>
        <v>20007352</v>
      </c>
    </row>
    <row r="55" spans="1:12">
      <c r="A55" s="98">
        <v>20004235</v>
      </c>
      <c r="B55" s="133" t="s">
        <v>54</v>
      </c>
      <c r="C55" s="98">
        <v>386136</v>
      </c>
      <c r="D55" s="213">
        <v>45139</v>
      </c>
      <c r="E55" s="98" t="s">
        <v>1740</v>
      </c>
      <c r="F55" s="98" t="s">
        <v>1741</v>
      </c>
      <c r="G55" s="98">
        <v>98002</v>
      </c>
      <c r="H55" s="98" t="s">
        <v>49</v>
      </c>
      <c r="I55" s="98" t="s">
        <v>80</v>
      </c>
      <c r="J55" s="98" t="s">
        <v>40</v>
      </c>
      <c r="K55" s="53">
        <f>+VLOOKUP(A55,COMISIONES!$C$2:$AP$33,40,0)</f>
        <v>30</v>
      </c>
      <c r="L55" s="13">
        <f>+VLOOKUP(A55,COMISIONES!$C$2:$C$33,1,0)</f>
        <v>20004235</v>
      </c>
    </row>
    <row r="56" spans="1:12">
      <c r="A56" s="98">
        <v>20007726</v>
      </c>
      <c r="B56" s="133" t="s">
        <v>54</v>
      </c>
      <c r="C56" s="98">
        <v>385977</v>
      </c>
      <c r="D56" s="213">
        <v>45139</v>
      </c>
      <c r="E56" s="98" t="s">
        <v>1803</v>
      </c>
      <c r="F56" s="98" t="s">
        <v>1804</v>
      </c>
      <c r="G56" s="98">
        <v>98051</v>
      </c>
      <c r="H56" s="98" t="s">
        <v>49</v>
      </c>
      <c r="I56" s="98" t="s">
        <v>80</v>
      </c>
      <c r="J56" s="98" t="s">
        <v>40</v>
      </c>
      <c r="K56" s="53">
        <f>+VLOOKUP(A56,COMISIONES!$C$2:$AP$33,40,0)</f>
        <v>60</v>
      </c>
      <c r="L56" s="13">
        <f>+VLOOKUP(A56,COMISIONES!$C$2:$C$33,1,0)</f>
        <v>20007726</v>
      </c>
    </row>
    <row r="57" spans="1:12">
      <c r="A57" s="98">
        <v>20002708</v>
      </c>
      <c r="B57" s="133" t="s">
        <v>54</v>
      </c>
      <c r="C57" s="98">
        <v>386198</v>
      </c>
      <c r="D57" s="213">
        <v>45139</v>
      </c>
      <c r="E57" s="98" t="s">
        <v>1818</v>
      </c>
      <c r="F57" s="98" t="s">
        <v>1819</v>
      </c>
      <c r="G57" s="98">
        <v>98021</v>
      </c>
      <c r="H57" s="98" t="s">
        <v>49</v>
      </c>
      <c r="I57" s="98" t="s">
        <v>80</v>
      </c>
      <c r="J57" s="98" t="s">
        <v>40</v>
      </c>
      <c r="K57" s="53">
        <f>+VLOOKUP(A57,COMISIONES!$C$2:$AP$33,40,0)</f>
        <v>30</v>
      </c>
      <c r="L57" s="13">
        <f>+VLOOKUP(A57,COMISIONES!$C$2:$C$33,1,0)</f>
        <v>20002708</v>
      </c>
    </row>
    <row r="58" spans="1:12">
      <c r="A58" s="98">
        <v>20009269</v>
      </c>
      <c r="B58" s="133" t="s">
        <v>54</v>
      </c>
      <c r="C58" s="98">
        <v>386137</v>
      </c>
      <c r="D58" s="213">
        <v>45139</v>
      </c>
      <c r="E58" s="98" t="s">
        <v>1854</v>
      </c>
      <c r="F58" s="98" t="s">
        <v>1855</v>
      </c>
      <c r="G58" s="98">
        <v>98065</v>
      </c>
      <c r="H58" s="98" t="s">
        <v>49</v>
      </c>
      <c r="I58" s="98" t="s">
        <v>80</v>
      </c>
      <c r="J58" s="98" t="s">
        <v>40</v>
      </c>
      <c r="K58" s="53">
        <f>+VLOOKUP(A58,COMISIONES!$C$2:$AP$33,40,0)</f>
        <v>60</v>
      </c>
      <c r="L58" s="13">
        <f>+VLOOKUP(A58,COMISIONES!$C$2:$C$33,1,0)</f>
        <v>20009269</v>
      </c>
    </row>
    <row r="59" spans="1:12">
      <c r="A59" s="98">
        <v>20009688</v>
      </c>
      <c r="B59" s="133" t="s">
        <v>54</v>
      </c>
      <c r="C59" s="98">
        <v>386020</v>
      </c>
      <c r="D59" s="213">
        <v>45139</v>
      </c>
      <c r="E59" s="98" t="s">
        <v>1731</v>
      </c>
      <c r="F59" s="98" t="s">
        <v>1732</v>
      </c>
      <c r="G59" s="98">
        <v>98075</v>
      </c>
      <c r="H59" s="98" t="s">
        <v>52</v>
      </c>
      <c r="I59" s="98" t="s">
        <v>80</v>
      </c>
      <c r="J59" s="98" t="s">
        <v>40</v>
      </c>
      <c r="K59" s="53">
        <f>+VLOOKUP(A59,COMISIONES!$C$2:$AP$33,40,0)</f>
        <v>30</v>
      </c>
      <c r="L59" s="13">
        <f>+VLOOKUP(A59,COMISIONES!$C$2:$C$33,1,0)</f>
        <v>20009688</v>
      </c>
    </row>
    <row r="60" spans="1:12">
      <c r="A60" s="98">
        <v>20010101</v>
      </c>
      <c r="B60" s="133" t="s">
        <v>54</v>
      </c>
      <c r="C60" s="98">
        <v>386006</v>
      </c>
      <c r="D60" s="213">
        <v>45139</v>
      </c>
      <c r="E60" s="98" t="s">
        <v>1812</v>
      </c>
      <c r="F60" s="98" t="s">
        <v>1813</v>
      </c>
      <c r="G60" s="98">
        <v>98072</v>
      </c>
      <c r="H60" s="98" t="s">
        <v>49</v>
      </c>
      <c r="I60" s="98" t="s">
        <v>80</v>
      </c>
      <c r="J60" s="98" t="s">
        <v>40</v>
      </c>
      <c r="K60" s="53">
        <f>+VLOOKUP(A60,COMISIONES!$C$2:$AP$33,40,0)</f>
        <v>60</v>
      </c>
      <c r="L60" s="13">
        <f>+VLOOKUP(A60,COMISIONES!$C$2:$C$33,1,0)</f>
        <v>20010101</v>
      </c>
    </row>
    <row r="61" spans="1:12">
      <c r="A61" s="98">
        <v>20007726</v>
      </c>
      <c r="B61" s="133" t="s">
        <v>54</v>
      </c>
      <c r="C61" s="98">
        <v>385986</v>
      </c>
      <c r="D61" s="213">
        <v>45139</v>
      </c>
      <c r="E61" s="98" t="s">
        <v>1773</v>
      </c>
      <c r="F61" s="98" t="s">
        <v>1774</v>
      </c>
      <c r="G61" s="98">
        <v>98051</v>
      </c>
      <c r="H61" s="98" t="s">
        <v>49</v>
      </c>
      <c r="I61" s="98" t="s">
        <v>80</v>
      </c>
      <c r="J61" s="98" t="s">
        <v>40</v>
      </c>
      <c r="K61" s="53">
        <f>+VLOOKUP(A61,COMISIONES!$C$2:$AP$33,40,0)</f>
        <v>60</v>
      </c>
      <c r="L61" s="13">
        <f>+VLOOKUP(A61,COMISIONES!$C$2:$C$33,1,0)</f>
        <v>20007726</v>
      </c>
    </row>
    <row r="62" spans="1:12">
      <c r="A62" s="98">
        <v>20000661</v>
      </c>
      <c r="B62" s="133" t="s">
        <v>54</v>
      </c>
      <c r="C62" s="98">
        <v>386207</v>
      </c>
      <c r="D62" s="213">
        <v>45139</v>
      </c>
      <c r="E62" s="98" t="s">
        <v>1881</v>
      </c>
      <c r="F62" s="98" t="s">
        <v>1882</v>
      </c>
      <c r="G62" s="98">
        <v>98013</v>
      </c>
      <c r="H62" s="98" t="s">
        <v>51</v>
      </c>
      <c r="I62" s="98" t="s">
        <v>80</v>
      </c>
      <c r="J62" s="98" t="s">
        <v>40</v>
      </c>
      <c r="K62" s="53">
        <f>+VLOOKUP(A62,COMISIONES!$C$2:$AP$33,40,0)</f>
        <v>30</v>
      </c>
      <c r="L62" s="13">
        <f>+VLOOKUP(A62,COMISIONES!$C$2:$C$33,1,0)</f>
        <v>20000661</v>
      </c>
    </row>
    <row r="63" spans="1:12">
      <c r="A63" s="98">
        <v>20005527</v>
      </c>
      <c r="B63" s="133" t="s">
        <v>54</v>
      </c>
      <c r="C63" s="98">
        <v>386195</v>
      </c>
      <c r="D63" s="213">
        <v>45139</v>
      </c>
      <c r="E63" s="98" t="s">
        <v>3097</v>
      </c>
      <c r="F63" s="98" t="s">
        <v>3098</v>
      </c>
      <c r="G63" s="98">
        <v>98041</v>
      </c>
      <c r="H63" s="98" t="s">
        <v>52</v>
      </c>
      <c r="I63" s="98" t="s">
        <v>80</v>
      </c>
      <c r="J63" s="98" t="s">
        <v>40</v>
      </c>
      <c r="K63" s="53">
        <f>+VLOOKUP(A63,COMISIONES!$C$2:$AP$33,40,0)</f>
        <v>20</v>
      </c>
      <c r="L63" s="13">
        <f>+VLOOKUP(A63,COMISIONES!$C$2:$C$33,1,0)</f>
        <v>20005527</v>
      </c>
    </row>
    <row r="64" spans="1:12">
      <c r="A64" s="98">
        <v>20009690</v>
      </c>
      <c r="B64" s="133" t="s">
        <v>54</v>
      </c>
      <c r="C64" s="98">
        <v>386473</v>
      </c>
      <c r="D64" s="213">
        <v>45139</v>
      </c>
      <c r="E64" s="98" t="s">
        <v>1923</v>
      </c>
      <c r="F64" s="98" t="s">
        <v>1924</v>
      </c>
      <c r="G64" s="98">
        <v>98068</v>
      </c>
      <c r="H64" s="98" t="s">
        <v>49</v>
      </c>
      <c r="I64" s="98" t="s">
        <v>80</v>
      </c>
      <c r="J64" s="98" t="s">
        <v>40</v>
      </c>
      <c r="K64" s="53">
        <f>+VLOOKUP(A64,COMISIONES!$C$2:$AP$33,40,0)</f>
        <v>60</v>
      </c>
      <c r="L64" s="13">
        <f>+VLOOKUP(A64,COMISIONES!$C$2:$C$33,1,0)</f>
        <v>20009690</v>
      </c>
    </row>
    <row r="65" spans="1:12">
      <c r="A65" s="98">
        <v>20001487</v>
      </c>
      <c r="B65" s="133" t="s">
        <v>54</v>
      </c>
      <c r="C65" s="98">
        <v>386403</v>
      </c>
      <c r="D65" s="213">
        <v>45139</v>
      </c>
      <c r="E65" s="98" t="s">
        <v>3099</v>
      </c>
      <c r="F65" s="98" t="s">
        <v>3100</v>
      </c>
      <c r="G65" s="98">
        <v>98003</v>
      </c>
      <c r="H65" s="98" t="s">
        <v>51</v>
      </c>
      <c r="I65" s="98" t="s">
        <v>80</v>
      </c>
      <c r="J65" s="98" t="s">
        <v>40</v>
      </c>
      <c r="K65" s="53">
        <f>+VLOOKUP(A65,COMISIONES!$C$2:$AP$33,40,0)</f>
        <v>60</v>
      </c>
      <c r="L65" s="13">
        <f>+VLOOKUP(A65,COMISIONES!$C$2:$C$33,1,0)</f>
        <v>20001487</v>
      </c>
    </row>
    <row r="66" spans="1:12">
      <c r="A66" s="98">
        <v>20006893</v>
      </c>
      <c r="B66" s="133" t="s">
        <v>54</v>
      </c>
      <c r="C66" s="98">
        <v>386529</v>
      </c>
      <c r="D66" s="213">
        <v>45139</v>
      </c>
      <c r="E66" s="98" t="s">
        <v>1955</v>
      </c>
      <c r="F66" s="98" t="s">
        <v>1956</v>
      </c>
      <c r="G66" s="98">
        <v>98071</v>
      </c>
      <c r="H66" s="98" t="s">
        <v>51</v>
      </c>
      <c r="I66" s="98" t="s">
        <v>80</v>
      </c>
      <c r="J66" s="98" t="s">
        <v>40</v>
      </c>
      <c r="K66" s="53">
        <f>+VLOOKUP(A66,COMISIONES!$C$2:$AP$33,40,0)</f>
        <v>30</v>
      </c>
      <c r="L66" s="13">
        <f>+VLOOKUP(A66,COMISIONES!$C$2:$C$33,1,0)</f>
        <v>20006893</v>
      </c>
    </row>
    <row r="67" spans="1:12">
      <c r="A67" s="98">
        <v>20009174</v>
      </c>
      <c r="B67" s="133" t="s">
        <v>54</v>
      </c>
      <c r="C67" s="98">
        <v>386527</v>
      </c>
      <c r="D67" s="213">
        <v>45139</v>
      </c>
      <c r="E67" s="98" t="s">
        <v>1932</v>
      </c>
      <c r="F67" s="98" t="s">
        <v>1933</v>
      </c>
      <c r="G67" s="98">
        <v>98064</v>
      </c>
      <c r="H67" s="98" t="s">
        <v>52</v>
      </c>
      <c r="I67" s="98" t="s">
        <v>80</v>
      </c>
      <c r="J67" s="98" t="s">
        <v>40</v>
      </c>
      <c r="K67" s="53">
        <f>+VLOOKUP(A67,COMISIONES!$C$2:$AP$33,40,0)</f>
        <v>40</v>
      </c>
      <c r="L67" s="13">
        <f>+VLOOKUP(A67,COMISIONES!$C$2:$C$33,1,0)</f>
        <v>20009174</v>
      </c>
    </row>
    <row r="68" spans="1:12">
      <c r="A68" s="98">
        <v>20009690</v>
      </c>
      <c r="B68" s="133" t="s">
        <v>54</v>
      </c>
      <c r="C68" s="98">
        <v>386483</v>
      </c>
      <c r="D68" s="213">
        <v>45139</v>
      </c>
      <c r="E68" s="98" t="s">
        <v>1926</v>
      </c>
      <c r="F68" s="98" t="s">
        <v>1927</v>
      </c>
      <c r="G68" s="98">
        <v>98068</v>
      </c>
      <c r="H68" s="98" t="s">
        <v>49</v>
      </c>
      <c r="I68" s="98" t="s">
        <v>80</v>
      </c>
      <c r="J68" s="98" t="s">
        <v>40</v>
      </c>
      <c r="K68" s="53">
        <f>+VLOOKUP(A68,COMISIONES!$C$2:$AP$33,40,0)</f>
        <v>60</v>
      </c>
      <c r="L68" s="13">
        <f>+VLOOKUP(A68,COMISIONES!$C$2:$C$33,1,0)</f>
        <v>20009690</v>
      </c>
    </row>
    <row r="69" spans="1:12">
      <c r="A69" s="98">
        <v>20008700</v>
      </c>
      <c r="B69" s="133" t="s">
        <v>54</v>
      </c>
      <c r="C69" s="98">
        <v>386348</v>
      </c>
      <c r="D69" s="213">
        <v>45139</v>
      </c>
      <c r="E69" s="98" t="s">
        <v>3101</v>
      </c>
      <c r="F69" s="98" t="s">
        <v>3102</v>
      </c>
      <c r="G69" s="98">
        <v>98056</v>
      </c>
      <c r="H69" s="98" t="s">
        <v>50</v>
      </c>
      <c r="I69" s="98" t="s">
        <v>80</v>
      </c>
      <c r="J69" s="98" t="s">
        <v>40</v>
      </c>
      <c r="K69" s="53">
        <f>+VLOOKUP(A69,COMISIONES!$C$2:$AP$33,40,0)</f>
        <v>20</v>
      </c>
      <c r="L69" s="13">
        <f>+VLOOKUP(A69,COMISIONES!$C$2:$C$33,1,0)</f>
        <v>20008700</v>
      </c>
    </row>
    <row r="70" spans="1:12">
      <c r="A70" s="98">
        <v>20010766</v>
      </c>
      <c r="B70" s="133" t="s">
        <v>54</v>
      </c>
      <c r="C70" s="98">
        <v>386785</v>
      </c>
      <c r="D70" s="213">
        <v>45139</v>
      </c>
      <c r="E70" s="98" t="s">
        <v>1979</v>
      </c>
      <c r="F70" s="98" t="s">
        <v>1980</v>
      </c>
      <c r="G70" s="98">
        <v>98080</v>
      </c>
      <c r="H70" s="98" t="s">
        <v>51</v>
      </c>
      <c r="I70" s="98" t="s">
        <v>80</v>
      </c>
      <c r="J70" s="98" t="s">
        <v>40</v>
      </c>
      <c r="K70" s="53">
        <f>+VLOOKUP(A70,COMISIONES!$C$2:$AP$33,40,0)</f>
        <v>20</v>
      </c>
      <c r="L70" s="13">
        <f>+VLOOKUP(A70,COMISIONES!$C$2:$C$33,1,0)</f>
        <v>20010766</v>
      </c>
    </row>
    <row r="71" spans="1:12">
      <c r="A71" s="98">
        <v>20004161</v>
      </c>
      <c r="B71" s="133" t="s">
        <v>54</v>
      </c>
      <c r="C71" s="98">
        <v>386773</v>
      </c>
      <c r="D71" s="213">
        <v>45139</v>
      </c>
      <c r="E71" s="98" t="s">
        <v>1224</v>
      </c>
      <c r="F71" s="98" t="s">
        <v>1226</v>
      </c>
      <c r="G71" s="98">
        <v>98019</v>
      </c>
      <c r="H71" s="98" t="s">
        <v>49</v>
      </c>
      <c r="I71" s="98" t="s">
        <v>80</v>
      </c>
      <c r="J71" s="98" t="s">
        <v>40</v>
      </c>
      <c r="K71" s="53">
        <f>+VLOOKUP(A71,COMISIONES!$C$2:$AP$33,40,0)</f>
        <v>65</v>
      </c>
      <c r="L71" s="13">
        <f>+VLOOKUP(A71,COMISIONES!$C$2:$C$33,1,0)</f>
        <v>20004161</v>
      </c>
    </row>
    <row r="72" spans="1:12">
      <c r="A72" s="98">
        <v>20001487</v>
      </c>
      <c r="B72" s="133" t="s">
        <v>54</v>
      </c>
      <c r="C72" s="98">
        <v>387131</v>
      </c>
      <c r="D72" s="213">
        <v>45139</v>
      </c>
      <c r="E72" s="98" t="s">
        <v>3103</v>
      </c>
      <c r="F72" s="98" t="s">
        <v>3104</v>
      </c>
      <c r="G72" s="98">
        <v>98003</v>
      </c>
      <c r="H72" s="98" t="s">
        <v>51</v>
      </c>
      <c r="I72" s="98" t="s">
        <v>80</v>
      </c>
      <c r="J72" s="98" t="s">
        <v>40</v>
      </c>
      <c r="K72" s="53">
        <f>+VLOOKUP(A72,COMISIONES!$C$2:$AP$33,40,0)</f>
        <v>60</v>
      </c>
      <c r="L72" s="13">
        <f>+VLOOKUP(A72,COMISIONES!$C$2:$C$33,1,0)</f>
        <v>20001487</v>
      </c>
    </row>
    <row r="73" spans="1:12">
      <c r="A73" s="98">
        <v>20009174</v>
      </c>
      <c r="B73" s="133" t="s">
        <v>54</v>
      </c>
      <c r="C73" s="98">
        <v>387186</v>
      </c>
      <c r="D73" s="213">
        <v>45139</v>
      </c>
      <c r="E73" s="98" t="s">
        <v>2111</v>
      </c>
      <c r="F73" s="98" t="s">
        <v>2112</v>
      </c>
      <c r="G73" s="98">
        <v>98064</v>
      </c>
      <c r="H73" s="98" t="s">
        <v>52</v>
      </c>
      <c r="I73" s="98" t="s">
        <v>80</v>
      </c>
      <c r="J73" s="98" t="s">
        <v>40</v>
      </c>
      <c r="K73" s="53">
        <f>+VLOOKUP(A73,COMISIONES!$C$2:$AP$33,40,0)</f>
        <v>40</v>
      </c>
      <c r="L73" s="13">
        <f>+VLOOKUP(A73,COMISIONES!$C$2:$C$33,1,0)</f>
        <v>20009174</v>
      </c>
    </row>
    <row r="74" spans="1:12">
      <c r="A74" s="98">
        <v>20009174</v>
      </c>
      <c r="B74" s="133" t="s">
        <v>54</v>
      </c>
      <c r="C74" s="98">
        <v>134648</v>
      </c>
      <c r="D74" s="213">
        <v>45139</v>
      </c>
      <c r="E74" s="98" t="s">
        <v>2111</v>
      </c>
      <c r="F74" s="98" t="s">
        <v>3105</v>
      </c>
      <c r="G74" s="98">
        <v>98064</v>
      </c>
      <c r="H74" s="98" t="s">
        <v>52</v>
      </c>
      <c r="I74" s="98" t="s">
        <v>80</v>
      </c>
      <c r="J74" s="98" t="s">
        <v>40</v>
      </c>
      <c r="K74" s="53">
        <f>+VLOOKUP(A74,COMISIONES!$C$2:$AP$33,40,0)</f>
        <v>40</v>
      </c>
      <c r="L74" s="13">
        <f>+VLOOKUP(A74,COMISIONES!$C$2:$C$33,1,0)</f>
        <v>20009174</v>
      </c>
    </row>
    <row r="75" spans="1:12">
      <c r="A75" s="98">
        <v>20008711</v>
      </c>
      <c r="B75" s="133" t="s">
        <v>54</v>
      </c>
      <c r="C75" s="98">
        <v>387451</v>
      </c>
      <c r="D75" s="213">
        <v>45139</v>
      </c>
      <c r="E75" s="98" t="s">
        <v>2057</v>
      </c>
      <c r="F75" s="98" t="s">
        <v>2058</v>
      </c>
      <c r="G75" s="98">
        <v>98055</v>
      </c>
      <c r="H75" s="98" t="s">
        <v>50</v>
      </c>
      <c r="I75" s="98" t="s">
        <v>80</v>
      </c>
      <c r="J75" s="98" t="s">
        <v>40</v>
      </c>
      <c r="K75" s="53">
        <f>+VLOOKUP(A75,COMISIONES!$C$2:$AP$33,40,0)</f>
        <v>30</v>
      </c>
      <c r="L75" s="13">
        <f>+VLOOKUP(A75,COMISIONES!$C$2:$C$33,1,0)</f>
        <v>20008711</v>
      </c>
    </row>
    <row r="76" spans="1:12">
      <c r="A76" s="98">
        <v>20009269</v>
      </c>
      <c r="B76" s="133" t="s">
        <v>54</v>
      </c>
      <c r="C76" s="98">
        <v>387438</v>
      </c>
      <c r="D76" s="213">
        <v>45139</v>
      </c>
      <c r="E76" s="98" t="s">
        <v>2183</v>
      </c>
      <c r="F76" s="98" t="s">
        <v>2184</v>
      </c>
      <c r="G76" s="98">
        <v>98065</v>
      </c>
      <c r="H76" s="98" t="s">
        <v>49</v>
      </c>
      <c r="I76" s="98" t="s">
        <v>80</v>
      </c>
      <c r="J76" s="98" t="s">
        <v>40</v>
      </c>
      <c r="K76" s="53">
        <f>+VLOOKUP(A76,COMISIONES!$C$2:$AP$33,40,0)</f>
        <v>60</v>
      </c>
      <c r="L76" s="13">
        <f>+VLOOKUP(A76,COMISIONES!$C$2:$C$33,1,0)</f>
        <v>20009269</v>
      </c>
    </row>
    <row r="77" spans="1:12">
      <c r="A77" s="98">
        <v>20006162</v>
      </c>
      <c r="B77" s="133" t="s">
        <v>54</v>
      </c>
      <c r="C77" s="98">
        <v>387683</v>
      </c>
      <c r="D77" s="213">
        <v>45139</v>
      </c>
      <c r="E77" s="98" t="s">
        <v>2126</v>
      </c>
      <c r="F77" s="98" t="s">
        <v>2127</v>
      </c>
      <c r="G77" s="98">
        <v>98069</v>
      </c>
      <c r="H77" s="98" t="s">
        <v>50</v>
      </c>
      <c r="I77" s="98" t="s">
        <v>80</v>
      </c>
      <c r="J77" s="98" t="s">
        <v>40</v>
      </c>
      <c r="K77" s="53">
        <f>+VLOOKUP(A77,COMISIONES!$C$2:$AP$33,40,0)</f>
        <v>40</v>
      </c>
      <c r="L77" s="13">
        <f>+VLOOKUP(A77,COMISIONES!$C$2:$C$33,1,0)</f>
        <v>20006162</v>
      </c>
    </row>
    <row r="78" spans="1:12">
      <c r="A78" s="98">
        <v>20010766</v>
      </c>
      <c r="B78" s="133" t="s">
        <v>54</v>
      </c>
      <c r="C78" s="98">
        <v>387566</v>
      </c>
      <c r="D78" s="213">
        <v>45139</v>
      </c>
      <c r="E78" s="98" t="s">
        <v>2153</v>
      </c>
      <c r="F78" s="98" t="s">
        <v>2154</v>
      </c>
      <c r="G78" s="98">
        <v>98080</v>
      </c>
      <c r="H78" s="98" t="s">
        <v>51</v>
      </c>
      <c r="I78" s="98" t="s">
        <v>80</v>
      </c>
      <c r="J78" s="98" t="s">
        <v>40</v>
      </c>
      <c r="K78" s="53">
        <f>+VLOOKUP(A78,COMISIONES!$C$2:$AP$33,40,0)</f>
        <v>20</v>
      </c>
      <c r="L78" s="13">
        <f>+VLOOKUP(A78,COMISIONES!$C$2:$C$33,1,0)</f>
        <v>20010766</v>
      </c>
    </row>
    <row r="79" spans="1:12">
      <c r="A79" s="98">
        <v>20010262</v>
      </c>
      <c r="B79" s="133" t="s">
        <v>54</v>
      </c>
      <c r="C79" s="98">
        <v>387499</v>
      </c>
      <c r="D79" s="213">
        <v>45139</v>
      </c>
      <c r="E79" s="98" t="s">
        <v>2216</v>
      </c>
      <c r="F79" s="98" t="s">
        <v>2217</v>
      </c>
      <c r="G79" s="98">
        <v>98073</v>
      </c>
      <c r="H79" s="98" t="s">
        <v>52</v>
      </c>
      <c r="I79" s="98" t="s">
        <v>80</v>
      </c>
      <c r="J79" s="98" t="s">
        <v>40</v>
      </c>
      <c r="K79" s="53">
        <f>+VLOOKUP(A79,COMISIONES!$C$2:$AP$33,40,0)</f>
        <v>30</v>
      </c>
      <c r="L79" s="13">
        <f>+VLOOKUP(A79,COMISIONES!$C$2:$C$33,1,0)</f>
        <v>20010262</v>
      </c>
    </row>
    <row r="80" spans="1:12">
      <c r="A80" s="98">
        <v>20002636</v>
      </c>
      <c r="B80" s="133" t="s">
        <v>54</v>
      </c>
      <c r="C80" s="98">
        <v>387553</v>
      </c>
      <c r="D80" s="213">
        <v>45139</v>
      </c>
      <c r="E80" s="98" t="s">
        <v>3106</v>
      </c>
      <c r="F80" s="98" t="s">
        <v>3107</v>
      </c>
      <c r="G80" s="98">
        <v>98007</v>
      </c>
      <c r="H80" s="98" t="s">
        <v>51</v>
      </c>
      <c r="I80" s="98" t="s">
        <v>80</v>
      </c>
      <c r="J80" s="98" t="s">
        <v>40</v>
      </c>
      <c r="K80" s="53">
        <f>+VLOOKUP(A80,COMISIONES!$C$2:$AP$33,40,0)</f>
        <v>30</v>
      </c>
      <c r="L80" s="13">
        <f>+VLOOKUP(A80,COMISIONES!$C$2:$C$33,1,0)</f>
        <v>20002636</v>
      </c>
    </row>
    <row r="81" spans="1:12">
      <c r="A81" s="98">
        <v>20009174</v>
      </c>
      <c r="B81" s="133" t="s">
        <v>54</v>
      </c>
      <c r="C81" s="98">
        <v>388043</v>
      </c>
      <c r="D81" s="213">
        <v>45139</v>
      </c>
      <c r="E81" s="98" t="s">
        <v>3108</v>
      </c>
      <c r="F81" s="98" t="s">
        <v>3109</v>
      </c>
      <c r="G81" s="98">
        <v>98064</v>
      </c>
      <c r="H81" s="98" t="s">
        <v>52</v>
      </c>
      <c r="I81" s="98" t="s">
        <v>80</v>
      </c>
      <c r="J81" s="98" t="s">
        <v>40</v>
      </c>
      <c r="K81" s="53">
        <f>+VLOOKUP(A81,COMISIONES!$C$2:$AP$33,40,0)</f>
        <v>40</v>
      </c>
      <c r="L81" s="13">
        <f>+VLOOKUP(A81,COMISIONES!$C$2:$C$33,1,0)</f>
        <v>20009174</v>
      </c>
    </row>
    <row r="82" spans="1:12">
      <c r="A82" s="98">
        <v>20009690</v>
      </c>
      <c r="B82" s="133" t="s">
        <v>54</v>
      </c>
      <c r="C82" s="98">
        <v>387857</v>
      </c>
      <c r="D82" s="213">
        <v>45139</v>
      </c>
      <c r="E82" s="98" t="s">
        <v>3110</v>
      </c>
      <c r="F82" s="98" t="s">
        <v>3111</v>
      </c>
      <c r="G82" s="98">
        <v>98068</v>
      </c>
      <c r="H82" s="98" t="s">
        <v>49</v>
      </c>
      <c r="I82" s="98" t="s">
        <v>80</v>
      </c>
      <c r="J82" s="98" t="s">
        <v>40</v>
      </c>
      <c r="K82" s="53">
        <f>+VLOOKUP(A82,COMISIONES!$C$2:$AP$33,40,0)</f>
        <v>60</v>
      </c>
      <c r="L82" s="13">
        <f>+VLOOKUP(A82,COMISIONES!$C$2:$C$33,1,0)</f>
        <v>20009690</v>
      </c>
    </row>
    <row r="83" spans="1:12">
      <c r="A83" s="98">
        <v>20009690</v>
      </c>
      <c r="B83" s="133" t="s">
        <v>54</v>
      </c>
      <c r="C83" s="98">
        <v>387865</v>
      </c>
      <c r="D83" s="213">
        <v>45139</v>
      </c>
      <c r="E83" s="98" t="s">
        <v>3112</v>
      </c>
      <c r="F83" s="98" t="s">
        <v>3113</v>
      </c>
      <c r="G83" s="98">
        <v>98068</v>
      </c>
      <c r="H83" s="98" t="s">
        <v>49</v>
      </c>
      <c r="I83" s="98" t="s">
        <v>80</v>
      </c>
      <c r="J83" s="98" t="s">
        <v>40</v>
      </c>
      <c r="K83" s="53">
        <f>+VLOOKUP(A83,COMISIONES!$C$2:$AP$33,40,0)</f>
        <v>60</v>
      </c>
      <c r="L83" s="13">
        <f>+VLOOKUP(A83,COMISIONES!$C$2:$C$33,1,0)</f>
        <v>20009690</v>
      </c>
    </row>
    <row r="84" spans="1:12">
      <c r="A84" s="98">
        <v>20004161</v>
      </c>
      <c r="B84" s="133" t="s">
        <v>54</v>
      </c>
      <c r="C84" s="98">
        <v>387830</v>
      </c>
      <c r="D84" s="213">
        <v>45139</v>
      </c>
      <c r="E84" s="98" t="s">
        <v>1110</v>
      </c>
      <c r="F84" s="98" t="s">
        <v>1112</v>
      </c>
      <c r="G84" s="98">
        <v>98019</v>
      </c>
      <c r="H84" s="98" t="s">
        <v>49</v>
      </c>
      <c r="I84" s="98" t="s">
        <v>80</v>
      </c>
      <c r="J84" s="98" t="s">
        <v>40</v>
      </c>
      <c r="K84" s="53">
        <f>+VLOOKUP(A84,COMISIONES!$C$2:$AP$33,40,0)</f>
        <v>65</v>
      </c>
      <c r="L84" s="13">
        <f>+VLOOKUP(A84,COMISIONES!$C$2:$C$33,1,0)</f>
        <v>20004161</v>
      </c>
    </row>
    <row r="85" spans="1:12">
      <c r="A85" s="98">
        <v>20006233</v>
      </c>
      <c r="B85" s="133" t="s">
        <v>54</v>
      </c>
      <c r="C85" s="98">
        <v>383257</v>
      </c>
      <c r="D85" s="213">
        <v>45139</v>
      </c>
      <c r="E85" s="98" t="s">
        <v>454</v>
      </c>
      <c r="F85" s="98" t="s">
        <v>455</v>
      </c>
      <c r="G85" s="98">
        <v>98008</v>
      </c>
      <c r="H85" s="98" t="s">
        <v>52</v>
      </c>
      <c r="I85" s="98" t="s">
        <v>80</v>
      </c>
      <c r="J85" s="98" t="s">
        <v>40</v>
      </c>
      <c r="K85" s="53">
        <f>+VLOOKUP(A85,COMISIONES!$C$2:$AP$33,40,0)</f>
        <v>30</v>
      </c>
      <c r="L85" s="13">
        <f>+VLOOKUP(A85,COMISIONES!$C$2:$C$33,1,0)</f>
        <v>20006233</v>
      </c>
    </row>
    <row r="86" spans="1:12">
      <c r="A86" s="98">
        <v>20009174</v>
      </c>
      <c r="B86" s="133" t="s">
        <v>54</v>
      </c>
      <c r="C86" s="98">
        <v>387878</v>
      </c>
      <c r="D86" s="213">
        <v>45139</v>
      </c>
      <c r="E86" s="98" t="s">
        <v>3114</v>
      </c>
      <c r="F86" s="98" t="s">
        <v>3115</v>
      </c>
      <c r="G86" s="98">
        <v>98064</v>
      </c>
      <c r="H86" s="98" t="s">
        <v>52</v>
      </c>
      <c r="I86" s="98" t="s">
        <v>80</v>
      </c>
      <c r="J86" s="98" t="s">
        <v>40</v>
      </c>
      <c r="K86" s="53">
        <f>+VLOOKUP(A86,COMISIONES!$C$2:$AP$33,40,0)</f>
        <v>40</v>
      </c>
      <c r="L86" s="13">
        <f>+VLOOKUP(A86,COMISIONES!$C$2:$C$33,1,0)</f>
        <v>20009174</v>
      </c>
    </row>
    <row r="87" spans="1:12">
      <c r="A87" s="98">
        <v>20006233</v>
      </c>
      <c r="B87" s="133" t="s">
        <v>54</v>
      </c>
      <c r="C87" s="98">
        <v>186123</v>
      </c>
      <c r="D87" s="213">
        <v>45139</v>
      </c>
      <c r="E87" s="98" t="s">
        <v>3116</v>
      </c>
      <c r="F87" s="98" t="s">
        <v>3117</v>
      </c>
      <c r="G87" s="98">
        <v>98008</v>
      </c>
      <c r="H87" s="98" t="s">
        <v>52</v>
      </c>
      <c r="I87" s="98" t="s">
        <v>80</v>
      </c>
      <c r="J87" s="98" t="s">
        <v>40</v>
      </c>
      <c r="K87" s="53">
        <f>+VLOOKUP(A87,COMISIONES!$C$2:$AP$33,40,0)</f>
        <v>30</v>
      </c>
      <c r="L87" s="13">
        <f>+VLOOKUP(A87,COMISIONES!$C$2:$C$33,1,0)</f>
        <v>20006233</v>
      </c>
    </row>
    <row r="88" spans="1:12">
      <c r="A88" s="98">
        <v>20006233</v>
      </c>
      <c r="B88" s="133" t="s">
        <v>54</v>
      </c>
      <c r="C88" s="98">
        <v>388311</v>
      </c>
      <c r="D88" s="213">
        <v>45139</v>
      </c>
      <c r="E88" s="98" t="s">
        <v>3116</v>
      </c>
      <c r="F88" s="98" t="s">
        <v>3118</v>
      </c>
      <c r="G88" s="98">
        <v>98008</v>
      </c>
      <c r="H88" s="98" t="s">
        <v>52</v>
      </c>
      <c r="I88" s="98" t="s">
        <v>80</v>
      </c>
      <c r="J88" s="98" t="s">
        <v>40</v>
      </c>
      <c r="K88" s="53">
        <f>+VLOOKUP(A88,COMISIONES!$C$2:$AP$33,40,0)</f>
        <v>30</v>
      </c>
      <c r="L88" s="13">
        <f>+VLOOKUP(A88,COMISIONES!$C$2:$C$33,1,0)</f>
        <v>20006233</v>
      </c>
    </row>
    <row r="89" spans="1:12">
      <c r="A89" s="98">
        <v>20002708</v>
      </c>
      <c r="B89" s="133" t="s">
        <v>54</v>
      </c>
      <c r="C89" s="98">
        <v>388293</v>
      </c>
      <c r="D89" s="213">
        <v>45139</v>
      </c>
      <c r="E89" s="98" t="s">
        <v>2129</v>
      </c>
      <c r="F89" s="98" t="s">
        <v>2130</v>
      </c>
      <c r="G89" s="98">
        <v>98021</v>
      </c>
      <c r="H89" s="98" t="s">
        <v>49</v>
      </c>
      <c r="I89" s="98" t="s">
        <v>80</v>
      </c>
      <c r="J89" s="98" t="s">
        <v>40</v>
      </c>
      <c r="K89" s="53">
        <f>+VLOOKUP(A89,COMISIONES!$C$2:$AP$33,40,0)</f>
        <v>30</v>
      </c>
      <c r="L89" s="13">
        <f>+VLOOKUP(A89,COMISIONES!$C$2:$C$33,1,0)</f>
        <v>20002708</v>
      </c>
    </row>
    <row r="90" spans="1:12">
      <c r="A90" s="98">
        <v>20002636</v>
      </c>
      <c r="B90" s="133" t="s">
        <v>54</v>
      </c>
      <c r="C90" s="98">
        <v>180132</v>
      </c>
      <c r="D90" s="213">
        <v>45139</v>
      </c>
      <c r="E90" s="98" t="s">
        <v>3119</v>
      </c>
      <c r="F90" s="98" t="s">
        <v>3120</v>
      </c>
      <c r="G90" s="98">
        <v>98007</v>
      </c>
      <c r="H90" s="98" t="s">
        <v>51</v>
      </c>
      <c r="I90" s="98" t="s">
        <v>80</v>
      </c>
      <c r="J90" s="98" t="s">
        <v>40</v>
      </c>
      <c r="K90" s="53">
        <f>+VLOOKUP(A90,COMISIONES!$C$2:$AP$33,40,0)</f>
        <v>30</v>
      </c>
      <c r="L90" s="13">
        <f>+VLOOKUP(A90,COMISIONES!$C$2:$C$33,1,0)</f>
        <v>20002636</v>
      </c>
    </row>
    <row r="91" spans="1:12">
      <c r="A91" s="98">
        <v>20006233</v>
      </c>
      <c r="B91" s="133" t="s">
        <v>54</v>
      </c>
      <c r="C91" s="98">
        <v>388227</v>
      </c>
      <c r="D91" s="213">
        <v>45139</v>
      </c>
      <c r="E91" s="98" t="s">
        <v>2356</v>
      </c>
      <c r="F91" s="98" t="s">
        <v>2357</v>
      </c>
      <c r="G91" s="98">
        <v>98008</v>
      </c>
      <c r="H91" s="98" t="s">
        <v>52</v>
      </c>
      <c r="I91" s="98" t="s">
        <v>80</v>
      </c>
      <c r="J91" s="98" t="s">
        <v>40</v>
      </c>
      <c r="K91" s="53">
        <f>+VLOOKUP(A91,COMISIONES!$C$2:$AP$33,40,0)</f>
        <v>30</v>
      </c>
      <c r="L91" s="13">
        <f>+VLOOKUP(A91,COMISIONES!$C$2:$C$33,1,0)</f>
        <v>20006233</v>
      </c>
    </row>
    <row r="92" spans="1:12">
      <c r="A92" s="98">
        <v>20000033</v>
      </c>
      <c r="B92" s="133" t="s">
        <v>54</v>
      </c>
      <c r="C92" s="98">
        <v>388179</v>
      </c>
      <c r="D92" s="213">
        <v>45139</v>
      </c>
      <c r="E92" s="98" t="s">
        <v>2141</v>
      </c>
      <c r="F92" s="98" t="s">
        <v>2142</v>
      </c>
      <c r="G92" s="98">
        <v>98000</v>
      </c>
      <c r="H92" s="98" t="s">
        <v>51</v>
      </c>
      <c r="I92" s="98" t="s">
        <v>80</v>
      </c>
      <c r="J92" s="98" t="s">
        <v>40</v>
      </c>
      <c r="K92" s="53">
        <f>+VLOOKUP(A92,COMISIONES!$C$2:$AP$33,40,0)</f>
        <v>30</v>
      </c>
      <c r="L92" s="13">
        <f>+VLOOKUP(A92,COMISIONES!$C$2:$C$33,1,0)</f>
        <v>20000033</v>
      </c>
    </row>
    <row r="93" spans="1:12">
      <c r="A93" s="98">
        <v>20000033</v>
      </c>
      <c r="B93" s="133" t="s">
        <v>54</v>
      </c>
      <c r="C93" s="98">
        <v>388152</v>
      </c>
      <c r="D93" s="213">
        <v>45139</v>
      </c>
      <c r="E93" s="98" t="s">
        <v>2306</v>
      </c>
      <c r="F93" s="98" t="s">
        <v>2307</v>
      </c>
      <c r="G93" s="98">
        <v>98000</v>
      </c>
      <c r="H93" s="98" t="s">
        <v>51</v>
      </c>
      <c r="I93" s="98" t="s">
        <v>80</v>
      </c>
      <c r="J93" s="98" t="s">
        <v>40</v>
      </c>
      <c r="K93" s="53">
        <f>+VLOOKUP(A93,COMISIONES!$C$2:$AP$33,40,0)</f>
        <v>30</v>
      </c>
      <c r="L93" s="13">
        <f>+VLOOKUP(A93,COMISIONES!$C$2:$C$33,1,0)</f>
        <v>20000033</v>
      </c>
    </row>
    <row r="94" spans="1:12">
      <c r="A94" s="98">
        <v>20010101</v>
      </c>
      <c r="B94" s="133" t="s">
        <v>54</v>
      </c>
      <c r="C94" s="98">
        <v>388471</v>
      </c>
      <c r="D94" s="213">
        <v>45139</v>
      </c>
      <c r="E94" s="98" t="s">
        <v>1220</v>
      </c>
      <c r="F94" s="98" t="s">
        <v>1222</v>
      </c>
      <c r="G94" s="98">
        <v>98072</v>
      </c>
      <c r="H94" s="98" t="s">
        <v>49</v>
      </c>
      <c r="I94" s="98" t="s">
        <v>80</v>
      </c>
      <c r="J94" s="98" t="s">
        <v>40</v>
      </c>
      <c r="K94" s="53">
        <f>+VLOOKUP(A94,COMISIONES!$C$2:$AP$33,40,0)</f>
        <v>60</v>
      </c>
      <c r="L94" s="13">
        <f>+VLOOKUP(A94,COMISIONES!$C$2:$C$33,1,0)</f>
        <v>20010101</v>
      </c>
    </row>
    <row r="95" spans="1:12">
      <c r="A95" s="98">
        <v>20005527</v>
      </c>
      <c r="B95" s="133" t="s">
        <v>54</v>
      </c>
      <c r="C95" s="98">
        <v>388399</v>
      </c>
      <c r="D95" s="213">
        <v>45139</v>
      </c>
      <c r="E95" s="98" t="s">
        <v>3121</v>
      </c>
      <c r="F95" s="98" t="s">
        <v>3122</v>
      </c>
      <c r="G95" s="98">
        <v>98041</v>
      </c>
      <c r="H95" s="98" t="s">
        <v>52</v>
      </c>
      <c r="I95" s="98" t="s">
        <v>80</v>
      </c>
      <c r="J95" s="98" t="s">
        <v>40</v>
      </c>
      <c r="K95" s="53">
        <f>+VLOOKUP(A95,COMISIONES!$C$2:$AP$33,40,0)</f>
        <v>20</v>
      </c>
      <c r="L95" s="13">
        <f>+VLOOKUP(A95,COMISIONES!$C$2:$C$33,1,0)</f>
        <v>20005527</v>
      </c>
    </row>
    <row r="96" spans="1:12">
      <c r="A96" s="98">
        <v>20010262</v>
      </c>
      <c r="B96" s="133" t="s">
        <v>54</v>
      </c>
      <c r="C96" s="98">
        <v>388367</v>
      </c>
      <c r="D96" s="213">
        <v>45139</v>
      </c>
      <c r="E96" s="98" t="s">
        <v>3123</v>
      </c>
      <c r="F96" s="98" t="s">
        <v>3124</v>
      </c>
      <c r="G96" s="98">
        <v>98073</v>
      </c>
      <c r="H96" s="98" t="s">
        <v>52</v>
      </c>
      <c r="I96" s="98" t="s">
        <v>80</v>
      </c>
      <c r="J96" s="98" t="s">
        <v>40</v>
      </c>
      <c r="K96" s="53">
        <f>+VLOOKUP(A96,COMISIONES!$C$2:$AP$33,40,0)</f>
        <v>30</v>
      </c>
      <c r="L96" s="13">
        <f>+VLOOKUP(A96,COMISIONES!$C$2:$C$33,1,0)</f>
        <v>20010262</v>
      </c>
    </row>
    <row r="97" spans="1:12">
      <c r="A97" s="98">
        <v>20004566</v>
      </c>
      <c r="B97" s="133" t="s">
        <v>54</v>
      </c>
      <c r="C97" s="98">
        <v>388611</v>
      </c>
      <c r="D97" s="213">
        <v>45139</v>
      </c>
      <c r="E97" s="98" t="s">
        <v>2327</v>
      </c>
      <c r="F97" s="98" t="s">
        <v>2328</v>
      </c>
      <c r="G97" s="98">
        <v>98023</v>
      </c>
      <c r="H97" s="98" t="s">
        <v>50</v>
      </c>
      <c r="I97" s="98" t="s">
        <v>80</v>
      </c>
      <c r="J97" s="98" t="s">
        <v>40</v>
      </c>
      <c r="K97" s="53">
        <f>+VLOOKUP(A97,COMISIONES!$C$2:$AP$33,40,0)</f>
        <v>40</v>
      </c>
      <c r="L97" s="13">
        <f>+VLOOKUP(A97,COMISIONES!$C$2:$C$33,1,0)</f>
        <v>20004566</v>
      </c>
    </row>
    <row r="98" spans="1:12">
      <c r="A98" s="98">
        <v>20010262</v>
      </c>
      <c r="B98" s="133" t="s">
        <v>54</v>
      </c>
      <c r="C98" s="98">
        <v>388370</v>
      </c>
      <c r="D98" s="213">
        <v>45139</v>
      </c>
      <c r="E98" s="98" t="s">
        <v>3125</v>
      </c>
      <c r="F98" s="98" t="s">
        <v>3126</v>
      </c>
      <c r="G98" s="98">
        <v>98073</v>
      </c>
      <c r="H98" s="98" t="s">
        <v>52</v>
      </c>
      <c r="I98" s="98" t="s">
        <v>80</v>
      </c>
      <c r="J98" s="98" t="s">
        <v>40</v>
      </c>
      <c r="K98" s="53">
        <f>+VLOOKUP(A98,COMISIONES!$C$2:$AP$33,40,0)</f>
        <v>30</v>
      </c>
      <c r="L98" s="13">
        <f>+VLOOKUP(A98,COMISIONES!$C$2:$C$33,1,0)</f>
        <v>20010262</v>
      </c>
    </row>
    <row r="99" spans="1:12">
      <c r="A99" s="98">
        <v>20002708</v>
      </c>
      <c r="B99" s="133" t="s">
        <v>54</v>
      </c>
      <c r="C99" s="98">
        <v>388873</v>
      </c>
      <c r="D99" s="213">
        <v>45139</v>
      </c>
      <c r="E99" s="98" t="s">
        <v>2392</v>
      </c>
      <c r="F99" s="98" t="s">
        <v>2393</v>
      </c>
      <c r="G99" s="98">
        <v>98021</v>
      </c>
      <c r="H99" s="98" t="s">
        <v>49</v>
      </c>
      <c r="I99" s="98" t="s">
        <v>80</v>
      </c>
      <c r="J99" s="98" t="s">
        <v>40</v>
      </c>
      <c r="K99" s="53">
        <f>+VLOOKUP(A99,COMISIONES!$C$2:$AP$33,40,0)</f>
        <v>30</v>
      </c>
      <c r="L99" s="13">
        <f>+VLOOKUP(A99,COMISIONES!$C$2:$C$33,1,0)</f>
        <v>20002708</v>
      </c>
    </row>
    <row r="100" spans="1:12">
      <c r="A100" s="98">
        <v>20006360</v>
      </c>
      <c r="B100" s="133" t="s">
        <v>54</v>
      </c>
      <c r="C100" s="98">
        <v>389491</v>
      </c>
      <c r="D100" s="213">
        <v>45139</v>
      </c>
      <c r="E100" s="98" t="s">
        <v>2630</v>
      </c>
      <c r="F100" s="98" t="s">
        <v>2631</v>
      </c>
      <c r="G100" s="98">
        <v>98012</v>
      </c>
      <c r="H100" s="98" t="s">
        <v>50</v>
      </c>
      <c r="I100" s="98" t="s">
        <v>80</v>
      </c>
      <c r="J100" s="98" t="s">
        <v>40</v>
      </c>
      <c r="K100" s="53">
        <f>+VLOOKUP(A100,COMISIONES!$C$2:$AP$33,40,0)</f>
        <v>20</v>
      </c>
      <c r="L100" s="13">
        <f>+VLOOKUP(A100,COMISIONES!$C$2:$C$33,1,0)</f>
        <v>20006360</v>
      </c>
    </row>
    <row r="101" spans="1:12">
      <c r="A101" s="98">
        <v>20004638</v>
      </c>
      <c r="B101" s="133" t="s">
        <v>54</v>
      </c>
      <c r="C101" s="98">
        <v>389483</v>
      </c>
      <c r="D101" s="213">
        <v>45139</v>
      </c>
      <c r="E101" s="98" t="s">
        <v>2687</v>
      </c>
      <c r="F101" s="98" t="s">
        <v>2688</v>
      </c>
      <c r="G101" s="98">
        <v>98009</v>
      </c>
      <c r="H101" s="98" t="s">
        <v>51</v>
      </c>
      <c r="I101" s="98" t="s">
        <v>80</v>
      </c>
      <c r="J101" s="98" t="s">
        <v>40</v>
      </c>
      <c r="K101" s="53">
        <f>+VLOOKUP(A101,COMISIONES!$C$2:$AP$33,40,0)</f>
        <v>20</v>
      </c>
      <c r="L101" s="13">
        <f>+VLOOKUP(A101,COMISIONES!$C$2:$C$33,1,0)</f>
        <v>20004638</v>
      </c>
    </row>
    <row r="102" spans="1:12">
      <c r="A102" s="98">
        <v>20000033</v>
      </c>
      <c r="B102" s="133" t="s">
        <v>54</v>
      </c>
      <c r="C102" s="98">
        <v>389452</v>
      </c>
      <c r="D102" s="213">
        <v>45139</v>
      </c>
      <c r="E102" s="98" t="s">
        <v>2714</v>
      </c>
      <c r="F102" s="98" t="s">
        <v>2715</v>
      </c>
      <c r="G102" s="98">
        <v>98000</v>
      </c>
      <c r="H102" s="98" t="s">
        <v>51</v>
      </c>
      <c r="I102" s="98" t="s">
        <v>80</v>
      </c>
      <c r="J102" s="98" t="s">
        <v>40</v>
      </c>
      <c r="K102" s="53">
        <f>+VLOOKUP(A102,COMISIONES!$C$2:$AP$33,40,0)</f>
        <v>30</v>
      </c>
      <c r="L102" s="13">
        <f>+VLOOKUP(A102,COMISIONES!$C$2:$C$33,1,0)</f>
        <v>20000033</v>
      </c>
    </row>
    <row r="103" spans="1:12">
      <c r="A103" s="98">
        <v>20010101</v>
      </c>
      <c r="B103" s="133" t="s">
        <v>54</v>
      </c>
      <c r="C103" s="98">
        <v>389312</v>
      </c>
      <c r="D103" s="213">
        <v>45139</v>
      </c>
      <c r="E103" s="98" t="s">
        <v>2639</v>
      </c>
      <c r="F103" s="98" t="s">
        <v>2640</v>
      </c>
      <c r="G103" s="98">
        <v>98072</v>
      </c>
      <c r="H103" s="98" t="s">
        <v>49</v>
      </c>
      <c r="I103" s="98" t="s">
        <v>80</v>
      </c>
      <c r="J103" s="98" t="s">
        <v>40</v>
      </c>
      <c r="K103" s="53">
        <f>+VLOOKUP(A103,COMISIONES!$C$2:$AP$33,40,0)</f>
        <v>60</v>
      </c>
      <c r="L103" s="13">
        <f>+VLOOKUP(A103,COMISIONES!$C$2:$C$33,1,0)</f>
        <v>20010101</v>
      </c>
    </row>
    <row r="104" spans="1:12">
      <c r="A104" s="98">
        <v>20009688</v>
      </c>
      <c r="B104" s="133" t="s">
        <v>54</v>
      </c>
      <c r="C104" s="98">
        <v>389635</v>
      </c>
      <c r="D104" s="213">
        <v>45139</v>
      </c>
      <c r="E104" s="98" t="s">
        <v>2717</v>
      </c>
      <c r="F104" s="98" t="s">
        <v>2718</v>
      </c>
      <c r="G104" s="98">
        <v>98075</v>
      </c>
      <c r="H104" s="98" t="s">
        <v>52</v>
      </c>
      <c r="I104" s="98" t="s">
        <v>80</v>
      </c>
      <c r="J104" s="98" t="s">
        <v>40</v>
      </c>
      <c r="K104" s="53">
        <f>+VLOOKUP(A104,COMISIONES!$C$2:$AP$33,40,0)</f>
        <v>30</v>
      </c>
      <c r="L104" s="13">
        <f>+VLOOKUP(A104,COMISIONES!$C$2:$C$33,1,0)</f>
        <v>20009688</v>
      </c>
    </row>
    <row r="105" spans="1:12">
      <c r="A105" s="98">
        <v>20002708</v>
      </c>
      <c r="B105" s="133" t="s">
        <v>54</v>
      </c>
      <c r="C105" s="98">
        <v>389900</v>
      </c>
      <c r="D105" s="213">
        <v>45139</v>
      </c>
      <c r="E105" s="98" t="s">
        <v>2771</v>
      </c>
      <c r="F105" s="98" t="s">
        <v>2772</v>
      </c>
      <c r="G105" s="98">
        <v>98021</v>
      </c>
      <c r="H105" s="98" t="s">
        <v>49</v>
      </c>
      <c r="I105" s="98" t="s">
        <v>80</v>
      </c>
      <c r="J105" s="98" t="s">
        <v>40</v>
      </c>
      <c r="K105" s="53">
        <f>+VLOOKUP(A105,COMISIONES!$C$2:$AP$33,40,0)</f>
        <v>30</v>
      </c>
      <c r="L105" s="13">
        <f>+VLOOKUP(A105,COMISIONES!$C$2:$C$33,1,0)</f>
        <v>20002708</v>
      </c>
    </row>
    <row r="106" spans="1:12">
      <c r="A106" s="98">
        <v>20006233</v>
      </c>
      <c r="B106" s="133" t="s">
        <v>54</v>
      </c>
      <c r="C106" s="98">
        <v>390005</v>
      </c>
      <c r="D106" s="213">
        <v>45139</v>
      </c>
      <c r="E106" s="98" t="s">
        <v>2780</v>
      </c>
      <c r="F106" s="98" t="s">
        <v>2781</v>
      </c>
      <c r="G106" s="98">
        <v>98008</v>
      </c>
      <c r="H106" s="98" t="s">
        <v>52</v>
      </c>
      <c r="I106" s="98" t="s">
        <v>80</v>
      </c>
      <c r="J106" s="98" t="s">
        <v>40</v>
      </c>
      <c r="K106" s="53">
        <f>+VLOOKUP(A106,COMISIONES!$C$2:$AP$33,40,0)</f>
        <v>30</v>
      </c>
      <c r="L106" s="13">
        <f>+VLOOKUP(A106,COMISIONES!$C$2:$C$33,1,0)</f>
        <v>20006233</v>
      </c>
    </row>
    <row r="107" spans="1:12">
      <c r="A107" s="98">
        <v>20000661</v>
      </c>
      <c r="B107" s="133" t="s">
        <v>54</v>
      </c>
      <c r="C107" s="98">
        <v>389924</v>
      </c>
      <c r="D107" s="213">
        <v>45139</v>
      </c>
      <c r="E107" s="98" t="s">
        <v>2801</v>
      </c>
      <c r="F107" s="98" t="s">
        <v>2802</v>
      </c>
      <c r="G107" s="98">
        <v>98013</v>
      </c>
      <c r="H107" s="98" t="s">
        <v>51</v>
      </c>
      <c r="I107" s="98" t="s">
        <v>80</v>
      </c>
      <c r="J107" s="98" t="s">
        <v>40</v>
      </c>
      <c r="K107" s="53">
        <f>+VLOOKUP(A107,COMISIONES!$C$2:$AP$33,40,0)</f>
        <v>30</v>
      </c>
      <c r="L107" s="13">
        <f>+VLOOKUP(A107,COMISIONES!$C$2:$C$33,1,0)</f>
        <v>20000661</v>
      </c>
    </row>
    <row r="108" spans="1:12">
      <c r="A108" s="98">
        <v>20008625</v>
      </c>
      <c r="B108" s="133" t="s">
        <v>54</v>
      </c>
      <c r="C108" s="98">
        <v>389889</v>
      </c>
      <c r="D108" s="213">
        <v>45139</v>
      </c>
      <c r="E108" s="98" t="s">
        <v>2678</v>
      </c>
      <c r="F108" s="98" t="s">
        <v>2679</v>
      </c>
      <c r="G108" s="98">
        <v>98053</v>
      </c>
      <c r="H108" s="98" t="s">
        <v>49</v>
      </c>
      <c r="I108" s="98" t="s">
        <v>80</v>
      </c>
      <c r="J108" s="98" t="s">
        <v>40</v>
      </c>
      <c r="K108" s="53">
        <f>+VLOOKUP(A108,COMISIONES!$C$2:$AP$33,40,0)</f>
        <v>20</v>
      </c>
      <c r="L108" s="13">
        <f>+VLOOKUP(A108,COMISIONES!$C$2:$C$33,1,0)</f>
        <v>20008625</v>
      </c>
    </row>
    <row r="109" spans="1:12">
      <c r="A109" s="98">
        <v>20006162</v>
      </c>
      <c r="B109" s="133" t="s">
        <v>54</v>
      </c>
      <c r="C109" s="98">
        <v>530511</v>
      </c>
      <c r="D109" s="213">
        <v>45139</v>
      </c>
      <c r="E109" s="98" t="s">
        <v>3127</v>
      </c>
      <c r="F109" s="98" t="s">
        <v>3128</v>
      </c>
      <c r="G109" s="98">
        <v>98069</v>
      </c>
      <c r="H109" s="98" t="s">
        <v>50</v>
      </c>
      <c r="I109" s="98" t="s">
        <v>80</v>
      </c>
      <c r="J109" s="98" t="s">
        <v>40</v>
      </c>
      <c r="K109" s="53">
        <f>+VLOOKUP(A109,COMISIONES!$C$2:$AP$33,40,0)</f>
        <v>40</v>
      </c>
      <c r="L109" s="13">
        <f>+VLOOKUP(A109,COMISIONES!$C$2:$C$33,1,0)</f>
        <v>20006162</v>
      </c>
    </row>
    <row r="110" spans="1:12">
      <c r="A110" s="98">
        <v>20009690</v>
      </c>
      <c r="B110" s="133" t="s">
        <v>54</v>
      </c>
      <c r="C110" s="98">
        <v>390353</v>
      </c>
      <c r="D110" s="213">
        <v>45139</v>
      </c>
      <c r="E110" s="98" t="s">
        <v>2864</v>
      </c>
      <c r="F110" s="98" t="s">
        <v>2865</v>
      </c>
      <c r="G110" s="98">
        <v>98068</v>
      </c>
      <c r="H110" s="98" t="s">
        <v>49</v>
      </c>
      <c r="I110" s="98" t="s">
        <v>80</v>
      </c>
      <c r="J110" s="98" t="s">
        <v>40</v>
      </c>
      <c r="K110" s="53">
        <f>+VLOOKUP(A110,COMISIONES!$C$2:$AP$33,40,0)</f>
        <v>60</v>
      </c>
      <c r="L110" s="13">
        <f>+VLOOKUP(A110,COMISIONES!$C$2:$C$33,1,0)</f>
        <v>20009690</v>
      </c>
    </row>
    <row r="111" spans="1:12">
      <c r="A111" s="98">
        <v>20002636</v>
      </c>
      <c r="B111" s="133" t="s">
        <v>54</v>
      </c>
      <c r="C111" s="98">
        <v>390408</v>
      </c>
      <c r="D111" s="213">
        <v>45139</v>
      </c>
      <c r="E111" s="98" t="s">
        <v>2342</v>
      </c>
      <c r="F111" s="98" t="s">
        <v>2343</v>
      </c>
      <c r="G111" s="98">
        <v>98007</v>
      </c>
      <c r="H111" s="98" t="s">
        <v>51</v>
      </c>
      <c r="I111" s="98" t="s">
        <v>80</v>
      </c>
      <c r="J111" s="98" t="s">
        <v>40</v>
      </c>
      <c r="K111" s="53">
        <f>+VLOOKUP(A111,COMISIONES!$C$2:$AP$33,40,0)</f>
        <v>30</v>
      </c>
      <c r="L111" s="13">
        <f>+VLOOKUP(A111,COMISIONES!$C$2:$C$33,1,0)</f>
        <v>20002636</v>
      </c>
    </row>
    <row r="112" spans="1:12">
      <c r="A112" s="98">
        <v>20010101</v>
      </c>
      <c r="B112" s="133" t="s">
        <v>54</v>
      </c>
      <c r="C112" s="98">
        <v>390534</v>
      </c>
      <c r="D112" s="213">
        <v>45139</v>
      </c>
      <c r="E112" s="98" t="s">
        <v>3129</v>
      </c>
      <c r="F112" s="98" t="s">
        <v>3130</v>
      </c>
      <c r="G112" s="98">
        <v>98072</v>
      </c>
      <c r="H112" s="98" t="s">
        <v>49</v>
      </c>
      <c r="I112" s="98" t="s">
        <v>80</v>
      </c>
      <c r="J112" s="98" t="s">
        <v>40</v>
      </c>
      <c r="K112" s="53">
        <f>+VLOOKUP(A112,COMISIONES!$C$2:$AP$33,40,0)</f>
        <v>60</v>
      </c>
      <c r="L112" s="13">
        <f>+VLOOKUP(A112,COMISIONES!$C$2:$C$33,1,0)</f>
        <v>20010101</v>
      </c>
    </row>
    <row r="113" spans="1:12">
      <c r="A113" s="98">
        <v>20004566</v>
      </c>
      <c r="B113" s="133" t="s">
        <v>54</v>
      </c>
      <c r="C113" s="98">
        <v>390658</v>
      </c>
      <c r="D113" s="213">
        <v>45139</v>
      </c>
      <c r="E113" s="98" t="s">
        <v>2912</v>
      </c>
      <c r="F113" s="98" t="s">
        <v>2913</v>
      </c>
      <c r="G113" s="98">
        <v>98023</v>
      </c>
      <c r="H113" s="98" t="s">
        <v>50</v>
      </c>
      <c r="I113" s="98" t="s">
        <v>80</v>
      </c>
      <c r="J113" s="98" t="s">
        <v>40</v>
      </c>
      <c r="K113" s="53">
        <f>+VLOOKUP(A113,COMISIONES!$C$2:$AP$33,40,0)</f>
        <v>40</v>
      </c>
      <c r="L113" s="13">
        <f>+VLOOKUP(A113,COMISIONES!$C$2:$C$33,1,0)</f>
        <v>20004566</v>
      </c>
    </row>
    <row r="114" spans="1:12">
      <c r="A114" s="98">
        <v>20000661</v>
      </c>
      <c r="B114" s="133" t="s">
        <v>54</v>
      </c>
      <c r="C114" s="98">
        <v>390649</v>
      </c>
      <c r="D114" s="213">
        <v>45139</v>
      </c>
      <c r="E114" s="98" t="s">
        <v>2906</v>
      </c>
      <c r="F114" s="98" t="s">
        <v>2907</v>
      </c>
      <c r="G114" s="98">
        <v>98013</v>
      </c>
      <c r="H114" s="98" t="s">
        <v>51</v>
      </c>
      <c r="I114" s="98" t="s">
        <v>80</v>
      </c>
      <c r="J114" s="98" t="s">
        <v>40</v>
      </c>
      <c r="K114" s="53">
        <f>+VLOOKUP(A114,COMISIONES!$C$2:$AP$33,40,0)</f>
        <v>30</v>
      </c>
      <c r="L114" s="13">
        <f>+VLOOKUP(A114,COMISIONES!$C$2:$C$33,1,0)</f>
        <v>20000661</v>
      </c>
    </row>
    <row r="115" spans="1:12">
      <c r="A115" s="98">
        <v>20000033</v>
      </c>
      <c r="B115" s="133" t="s">
        <v>54</v>
      </c>
      <c r="C115" s="98">
        <v>390619</v>
      </c>
      <c r="D115" s="213">
        <v>45139</v>
      </c>
      <c r="E115" s="98" t="s">
        <v>2940</v>
      </c>
      <c r="F115" s="98" t="s">
        <v>2941</v>
      </c>
      <c r="G115" s="98">
        <v>98000</v>
      </c>
      <c r="H115" s="98" t="s">
        <v>51</v>
      </c>
      <c r="I115" s="98" t="s">
        <v>80</v>
      </c>
      <c r="J115" s="98" t="s">
        <v>40</v>
      </c>
      <c r="K115" s="53">
        <f>+VLOOKUP(A115,COMISIONES!$C$2:$AP$33,40,0)</f>
        <v>30</v>
      </c>
      <c r="L115" s="13">
        <f>+VLOOKUP(A115,COMISIONES!$C$2:$C$33,1,0)</f>
        <v>20000033</v>
      </c>
    </row>
    <row r="116" spans="1:12">
      <c r="A116" s="98">
        <v>20007943</v>
      </c>
      <c r="B116" s="133" t="s">
        <v>54</v>
      </c>
      <c r="C116" s="98">
        <v>390541</v>
      </c>
      <c r="D116" s="213">
        <v>45139</v>
      </c>
      <c r="E116" s="98" t="s">
        <v>2720</v>
      </c>
      <c r="F116" s="98" t="s">
        <v>2721</v>
      </c>
      <c r="G116" s="98">
        <v>98077</v>
      </c>
      <c r="H116" s="98" t="s">
        <v>51</v>
      </c>
      <c r="I116" s="98" t="s">
        <v>80</v>
      </c>
      <c r="J116" s="98" t="s">
        <v>40</v>
      </c>
      <c r="K116" s="53">
        <f>+VLOOKUP(A116,COMISIONES!$C$2:$AP$33,40,0)</f>
        <v>20</v>
      </c>
      <c r="L116" s="13">
        <f>+VLOOKUP(A116,COMISIONES!$C$2:$C$33,1,0)</f>
        <v>20007943</v>
      </c>
    </row>
    <row r="117" spans="1:12">
      <c r="A117" s="98">
        <v>20007352</v>
      </c>
      <c r="B117" s="133" t="s">
        <v>54</v>
      </c>
      <c r="C117" s="98">
        <v>390533</v>
      </c>
      <c r="D117" s="213">
        <v>45139</v>
      </c>
      <c r="E117" s="98" t="s">
        <v>3131</v>
      </c>
      <c r="F117" s="98" t="s">
        <v>3132</v>
      </c>
      <c r="G117" s="98">
        <v>98034</v>
      </c>
      <c r="H117" s="98" t="s">
        <v>52</v>
      </c>
      <c r="I117" s="98" t="s">
        <v>80</v>
      </c>
      <c r="J117" s="98" t="s">
        <v>40</v>
      </c>
      <c r="K117" s="53">
        <f>+VLOOKUP(A117,COMISIONES!$C$2:$AP$33,40,0)</f>
        <v>30</v>
      </c>
      <c r="L117" s="13">
        <f>+VLOOKUP(A117,COMISIONES!$C$2:$C$33,1,0)</f>
        <v>20007352</v>
      </c>
    </row>
    <row r="118" spans="1:12">
      <c r="A118" s="98">
        <v>20006233</v>
      </c>
      <c r="B118" s="133" t="s">
        <v>54</v>
      </c>
      <c r="C118" s="98">
        <v>390508</v>
      </c>
      <c r="D118" s="213">
        <v>45139</v>
      </c>
      <c r="E118" s="98" t="s">
        <v>3133</v>
      </c>
      <c r="F118" s="98" t="s">
        <v>3134</v>
      </c>
      <c r="G118" s="98">
        <v>98008</v>
      </c>
      <c r="H118" s="98" t="s">
        <v>52</v>
      </c>
      <c r="I118" s="98" t="s">
        <v>80</v>
      </c>
      <c r="J118" s="98" t="s">
        <v>40</v>
      </c>
      <c r="K118" s="53">
        <f>+VLOOKUP(A118,COMISIONES!$C$2:$AP$33,40,0)</f>
        <v>30</v>
      </c>
      <c r="L118" s="13">
        <f>+VLOOKUP(A118,COMISIONES!$C$2:$C$33,1,0)</f>
        <v>20006233</v>
      </c>
    </row>
    <row r="119" spans="1:12">
      <c r="A119" s="98">
        <v>20010262</v>
      </c>
      <c r="B119" s="133" t="s">
        <v>54</v>
      </c>
      <c r="C119" s="98">
        <v>390455</v>
      </c>
      <c r="D119" s="213">
        <v>45139</v>
      </c>
      <c r="E119" s="98" t="s">
        <v>3135</v>
      </c>
      <c r="F119" s="98" t="s">
        <v>3136</v>
      </c>
      <c r="G119" s="98">
        <v>98073</v>
      </c>
      <c r="H119" s="98" t="s">
        <v>52</v>
      </c>
      <c r="I119" s="98" t="s">
        <v>80</v>
      </c>
      <c r="J119" s="98" t="s">
        <v>40</v>
      </c>
      <c r="K119" s="53">
        <f>+VLOOKUP(A119,COMISIONES!$C$2:$AP$33,40,0)</f>
        <v>30</v>
      </c>
      <c r="L119" s="13">
        <f>+VLOOKUP(A119,COMISIONES!$C$2:$C$33,1,0)</f>
        <v>20010262</v>
      </c>
    </row>
    <row r="120" spans="1:12">
      <c r="A120" s="98">
        <v>20007352</v>
      </c>
      <c r="B120" s="133" t="s">
        <v>54</v>
      </c>
      <c r="C120" s="98">
        <v>568173</v>
      </c>
      <c r="D120" s="213">
        <v>45139</v>
      </c>
      <c r="E120" s="98" t="s">
        <v>3131</v>
      </c>
      <c r="F120" s="98" t="s">
        <v>3137</v>
      </c>
      <c r="G120" s="98">
        <v>98034</v>
      </c>
      <c r="H120" s="98" t="s">
        <v>52</v>
      </c>
      <c r="I120" s="98" t="s">
        <v>80</v>
      </c>
      <c r="J120" s="98" t="s">
        <v>40</v>
      </c>
      <c r="K120" s="53">
        <f>+VLOOKUP(A120,COMISIONES!$C$2:$AP$33,40,0)</f>
        <v>30</v>
      </c>
      <c r="L120" s="13">
        <f>+VLOOKUP(A120,COMISIONES!$C$2:$C$33,1,0)</f>
        <v>20007352</v>
      </c>
    </row>
    <row r="121" spans="1:12">
      <c r="A121" s="10"/>
      <c r="B121" s="124"/>
      <c r="C121" s="12"/>
      <c r="D121" s="212"/>
      <c r="E121" s="10"/>
      <c r="F121" s="10"/>
      <c r="G121" s="12"/>
      <c r="H121" s="12"/>
      <c r="I121" s="98"/>
      <c r="J121" s="12"/>
      <c r="K121" s="53" t="e">
        <f>+VLOOKUP(A121,COMISIONES!$C$2:$AP$33,40,0)</f>
        <v>#N/A</v>
      </c>
      <c r="L121" s="13" t="e">
        <f>+VLOOKUP(A121,COMISIONES!$C$2:$C$33,1,0)</f>
        <v>#N/A</v>
      </c>
    </row>
    <row r="122" spans="1:12">
      <c r="A122" s="10"/>
      <c r="B122" s="124"/>
      <c r="C122" s="12"/>
      <c r="D122" s="212"/>
      <c r="E122" s="10"/>
      <c r="F122" s="10"/>
      <c r="G122" s="12"/>
      <c r="H122" s="12"/>
      <c r="I122" s="98"/>
      <c r="J122" s="12"/>
      <c r="K122" s="53" t="e">
        <f>+VLOOKUP(A122,COMISIONES!$C$2:$AP$33,40,0)</f>
        <v>#N/A</v>
      </c>
    </row>
    <row r="123" spans="1:12">
      <c r="A123" s="66"/>
      <c r="B123" s="12"/>
      <c r="C123" s="12"/>
      <c r="D123" s="52"/>
      <c r="E123" s="12"/>
      <c r="F123" s="12"/>
      <c r="G123" s="12"/>
      <c r="H123" s="12"/>
      <c r="I123" s="12"/>
      <c r="J123" s="12"/>
    </row>
    <row r="124" spans="1:12">
      <c r="A124" s="66"/>
      <c r="B124" s="12"/>
      <c r="C124" s="12"/>
      <c r="D124" s="52"/>
      <c r="E124" s="12"/>
      <c r="F124" s="12"/>
      <c r="G124" s="12"/>
      <c r="H124" s="12"/>
      <c r="I124" s="12"/>
      <c r="J124" s="12"/>
    </row>
    <row r="125" spans="1:12">
      <c r="A125" s="66"/>
      <c r="B125" s="12"/>
      <c r="C125" s="12"/>
      <c r="D125" s="52"/>
      <c r="E125" s="12"/>
      <c r="F125" s="12"/>
      <c r="G125" s="12"/>
      <c r="H125" s="12"/>
      <c r="I125" s="12"/>
      <c r="J125" s="12"/>
    </row>
    <row r="126" spans="1:12">
      <c r="A126" s="66"/>
      <c r="B126" s="12"/>
      <c r="C126" s="12"/>
      <c r="D126" s="52"/>
      <c r="E126" s="12"/>
      <c r="F126" s="12"/>
      <c r="G126" s="12"/>
      <c r="H126" s="12"/>
      <c r="I126" s="12"/>
      <c r="J126" s="12"/>
    </row>
    <row r="127" spans="1:12">
      <c r="A127" s="66"/>
      <c r="B127" s="12"/>
      <c r="C127" s="12"/>
      <c r="D127" s="52"/>
      <c r="E127" s="12"/>
      <c r="F127" s="12"/>
      <c r="G127" s="12"/>
      <c r="H127" s="12"/>
      <c r="I127" s="12"/>
      <c r="J127" s="12"/>
    </row>
    <row r="128" spans="1:12">
      <c r="A128" s="66"/>
      <c r="B128" s="12"/>
      <c r="C128" s="12"/>
      <c r="D128" s="52"/>
      <c r="E128" s="12"/>
      <c r="F128" s="12"/>
      <c r="G128" s="12"/>
      <c r="H128" s="12"/>
      <c r="I128" s="12"/>
      <c r="J128" s="12"/>
    </row>
    <row r="129" spans="1:10">
      <c r="A129" s="66"/>
      <c r="B129" s="12"/>
      <c r="C129" s="12"/>
      <c r="D129" s="52"/>
      <c r="E129" s="12"/>
      <c r="F129" s="12"/>
      <c r="G129" s="12"/>
      <c r="H129" s="12"/>
      <c r="I129" s="12"/>
      <c r="J129" s="12"/>
    </row>
    <row r="130" spans="1:10">
      <c r="A130" s="66"/>
      <c r="B130" s="12"/>
      <c r="C130" s="12"/>
      <c r="D130" s="52"/>
      <c r="E130" s="12"/>
      <c r="F130" s="12"/>
      <c r="G130" s="12"/>
      <c r="H130" s="12"/>
      <c r="I130" s="12"/>
      <c r="J130" s="12"/>
    </row>
    <row r="131" spans="1:10">
      <c r="A131" s="66"/>
      <c r="B131" s="12"/>
      <c r="C131" s="12"/>
      <c r="D131" s="52"/>
      <c r="E131" s="12"/>
      <c r="F131" s="12"/>
      <c r="G131" s="12"/>
      <c r="H131" s="12"/>
      <c r="I131" s="12"/>
      <c r="J131" s="12"/>
    </row>
    <row r="132" spans="1:10">
      <c r="A132" s="66"/>
      <c r="B132" s="12"/>
      <c r="C132" s="12"/>
      <c r="D132" s="52"/>
      <c r="E132" s="12"/>
      <c r="F132" s="12"/>
      <c r="G132" s="12"/>
      <c r="H132" s="12"/>
      <c r="I132" s="12"/>
      <c r="J132" s="12"/>
    </row>
    <row r="133" spans="1:10">
      <c r="A133" s="66"/>
      <c r="B133" s="12"/>
      <c r="C133" s="12"/>
      <c r="D133" s="52"/>
      <c r="E133" s="12"/>
      <c r="F133" s="12"/>
      <c r="G133" s="12"/>
      <c r="H133" s="12"/>
      <c r="I133" s="12"/>
      <c r="J133" s="12"/>
    </row>
    <row r="134" spans="1:10">
      <c r="A134" s="66"/>
      <c r="B134" s="12"/>
      <c r="C134" s="12"/>
      <c r="D134" s="52"/>
      <c r="E134" s="12"/>
      <c r="F134" s="12"/>
      <c r="G134" s="12"/>
      <c r="H134" s="12"/>
      <c r="I134" s="12"/>
      <c r="J134" s="12"/>
    </row>
    <row r="135" spans="1:10">
      <c r="A135" s="66"/>
      <c r="B135" s="12"/>
      <c r="C135" s="12"/>
      <c r="D135" s="52"/>
      <c r="E135" s="12"/>
      <c r="F135" s="12"/>
      <c r="G135" s="12"/>
      <c r="H135" s="12"/>
      <c r="I135" s="12"/>
      <c r="J135" s="12"/>
    </row>
    <row r="136" spans="1:10">
      <c r="A136" s="66"/>
      <c r="B136" s="12"/>
      <c r="C136" s="12"/>
      <c r="D136" s="52"/>
      <c r="E136" s="12"/>
      <c r="F136" s="12"/>
      <c r="G136" s="12"/>
      <c r="H136" s="12"/>
      <c r="I136" s="12"/>
      <c r="J136" s="12"/>
    </row>
    <row r="137" spans="1:10">
      <c r="A137" s="66"/>
      <c r="B137" s="12"/>
      <c r="C137" s="12"/>
      <c r="D137" s="52"/>
      <c r="E137" s="12"/>
      <c r="F137" s="12"/>
      <c r="G137" s="12"/>
      <c r="H137" s="12"/>
      <c r="I137" s="12"/>
      <c r="J137" s="12"/>
    </row>
    <row r="138" spans="1:10">
      <c r="A138" s="66"/>
      <c r="B138" s="12"/>
      <c r="C138" s="12"/>
      <c r="D138" s="52"/>
      <c r="E138" s="12"/>
      <c r="F138" s="12"/>
      <c r="G138" s="12"/>
      <c r="H138" s="12"/>
      <c r="I138" s="12"/>
      <c r="J138" s="12"/>
    </row>
    <row r="139" spans="1:10">
      <c r="A139" s="66"/>
      <c r="B139" s="12"/>
      <c r="C139" s="12"/>
      <c r="D139" s="52"/>
      <c r="E139" s="12"/>
      <c r="F139" s="12"/>
      <c r="G139" s="12"/>
      <c r="H139" s="12"/>
      <c r="I139" s="12"/>
      <c r="J139" s="12"/>
    </row>
    <row r="140" spans="1:10">
      <c r="A140" s="66"/>
      <c r="B140" s="12"/>
      <c r="C140" s="12"/>
      <c r="D140" s="52"/>
      <c r="E140" s="12"/>
      <c r="F140" s="12"/>
      <c r="G140" s="12"/>
      <c r="H140" s="12"/>
      <c r="I140" s="12"/>
      <c r="J140" s="12"/>
    </row>
    <row r="141" spans="1:10">
      <c r="A141" s="66"/>
      <c r="B141" s="12"/>
      <c r="C141" s="12"/>
      <c r="D141" s="52"/>
      <c r="E141" s="12"/>
      <c r="F141" s="12"/>
      <c r="G141" s="12"/>
      <c r="H141" s="12"/>
      <c r="I141" s="12"/>
      <c r="J141" s="12"/>
    </row>
    <row r="142" spans="1:10">
      <c r="A142" s="66"/>
      <c r="B142" s="12"/>
      <c r="C142" s="12"/>
      <c r="D142" s="52"/>
      <c r="E142" s="12"/>
      <c r="F142" s="12"/>
      <c r="G142" s="12"/>
      <c r="H142" s="12"/>
      <c r="I142" s="12"/>
      <c r="J142" s="12"/>
    </row>
    <row r="143" spans="1:10">
      <c r="A143" s="66"/>
      <c r="B143" s="12"/>
      <c r="C143" s="12"/>
      <c r="D143" s="52"/>
      <c r="E143" s="12"/>
      <c r="F143" s="12"/>
      <c r="G143" s="12"/>
      <c r="H143" s="12"/>
      <c r="I143" s="12"/>
      <c r="J143" s="12"/>
    </row>
    <row r="144" spans="1:10">
      <c r="A144" s="66"/>
      <c r="B144" s="12"/>
      <c r="C144" s="12"/>
      <c r="D144" s="52"/>
      <c r="E144" s="12"/>
      <c r="F144" s="12"/>
      <c r="G144" s="12"/>
      <c r="H144" s="12"/>
      <c r="I144" s="12"/>
      <c r="J144" s="12"/>
    </row>
    <row r="145" spans="1:10">
      <c r="A145" s="66"/>
      <c r="B145" s="12"/>
      <c r="C145" s="12"/>
      <c r="D145" s="52"/>
      <c r="E145" s="12"/>
      <c r="F145" s="12"/>
      <c r="G145" s="12"/>
      <c r="H145" s="12"/>
      <c r="I145" s="12"/>
      <c r="J145" s="12"/>
    </row>
    <row r="146" spans="1:10">
      <c r="A146" s="66"/>
      <c r="B146" s="12"/>
      <c r="C146" s="12"/>
      <c r="D146" s="52"/>
      <c r="E146" s="12"/>
      <c r="F146" s="12"/>
      <c r="G146" s="12"/>
      <c r="H146" s="12"/>
      <c r="I146" s="12"/>
      <c r="J146" s="12"/>
    </row>
    <row r="147" spans="1:10">
      <c r="A147" s="66"/>
      <c r="B147" s="12"/>
      <c r="C147" s="12"/>
      <c r="D147" s="52"/>
      <c r="E147" s="12"/>
      <c r="F147" s="12"/>
      <c r="G147" s="12"/>
      <c r="H147" s="12"/>
      <c r="I147" s="12"/>
      <c r="J147" s="12"/>
    </row>
    <row r="148" spans="1:10">
      <c r="A148" s="66"/>
      <c r="B148" s="12"/>
      <c r="C148" s="12"/>
      <c r="D148" s="52"/>
      <c r="E148" s="12"/>
      <c r="F148" s="12"/>
      <c r="G148" s="12"/>
      <c r="H148" s="12"/>
      <c r="I148" s="12"/>
      <c r="J148" s="12"/>
    </row>
    <row r="149" spans="1:10">
      <c r="A149" s="66"/>
      <c r="B149" s="12"/>
      <c r="C149" s="12"/>
      <c r="D149" s="52"/>
      <c r="E149" s="12"/>
      <c r="F149" s="12"/>
      <c r="G149" s="12"/>
      <c r="H149" s="12"/>
      <c r="I149" s="12"/>
      <c r="J149" s="12"/>
    </row>
    <row r="150" spans="1:10">
      <c r="A150" s="66"/>
      <c r="B150" s="12"/>
      <c r="C150" s="12"/>
      <c r="D150" s="52"/>
      <c r="E150" s="12"/>
      <c r="F150" s="12"/>
      <c r="G150" s="12"/>
      <c r="H150" s="12"/>
      <c r="I150" s="12"/>
      <c r="J150" s="12"/>
    </row>
    <row r="151" spans="1:10">
      <c r="A151" s="66"/>
      <c r="B151" s="12"/>
      <c r="C151" s="12"/>
      <c r="D151" s="52"/>
      <c r="E151" s="12"/>
      <c r="F151" s="12"/>
      <c r="G151" s="12"/>
      <c r="H151" s="12"/>
      <c r="I151" s="12"/>
      <c r="J151" s="12"/>
    </row>
    <row r="152" spans="1:10">
      <c r="A152" s="66"/>
      <c r="B152" s="12"/>
      <c r="C152" s="12"/>
      <c r="D152" s="52"/>
      <c r="E152" s="12"/>
      <c r="F152" s="12"/>
      <c r="G152" s="12"/>
      <c r="H152" s="12"/>
      <c r="I152" s="12"/>
      <c r="J152" s="12"/>
    </row>
    <row r="153" spans="1:10">
      <c r="A153" s="66"/>
      <c r="B153" s="12"/>
      <c r="C153" s="12"/>
      <c r="D153" s="52"/>
      <c r="E153" s="12"/>
      <c r="F153" s="12"/>
      <c r="G153" s="12"/>
      <c r="H153" s="12"/>
      <c r="I153" s="12"/>
      <c r="J153" s="12"/>
    </row>
    <row r="154" spans="1:10">
      <c r="A154" s="66"/>
      <c r="B154" s="12"/>
      <c r="C154" s="12"/>
      <c r="D154" s="52"/>
      <c r="E154" s="12"/>
      <c r="F154" s="12"/>
      <c r="G154" s="12"/>
      <c r="H154" s="12"/>
      <c r="I154" s="12"/>
      <c r="J154" s="12"/>
    </row>
    <row r="155" spans="1:10">
      <c r="A155" s="66"/>
      <c r="B155" s="12"/>
      <c r="C155" s="12"/>
      <c r="D155" s="52"/>
      <c r="E155" s="12"/>
      <c r="F155" s="12"/>
      <c r="G155" s="12"/>
      <c r="H155" s="12"/>
      <c r="I155" s="12"/>
      <c r="J155" s="12"/>
    </row>
    <row r="156" spans="1:10">
      <c r="A156" s="66"/>
      <c r="B156" s="12"/>
      <c r="C156" s="12"/>
      <c r="D156" s="52"/>
      <c r="E156" s="12"/>
      <c r="F156" s="12"/>
      <c r="G156" s="12"/>
      <c r="H156" s="12"/>
      <c r="I156" s="12"/>
      <c r="J156" s="12"/>
    </row>
    <row r="157" spans="1:10">
      <c r="A157" s="66"/>
      <c r="B157" s="12"/>
      <c r="C157" s="12"/>
      <c r="D157" s="52"/>
      <c r="E157" s="12"/>
      <c r="F157" s="12"/>
      <c r="G157" s="12"/>
      <c r="H157" s="12"/>
      <c r="I157" s="12"/>
      <c r="J157" s="12"/>
    </row>
    <row r="158" spans="1:10">
      <c r="A158" s="66"/>
      <c r="B158" s="12"/>
      <c r="C158" s="12"/>
      <c r="D158" s="52"/>
      <c r="E158" s="12"/>
      <c r="F158" s="12"/>
      <c r="G158" s="12"/>
      <c r="H158" s="12"/>
      <c r="I158" s="12"/>
      <c r="J158" s="12"/>
    </row>
    <row r="159" spans="1:10">
      <c r="A159" s="66"/>
      <c r="B159" s="12"/>
      <c r="C159" s="12"/>
      <c r="D159" s="52"/>
      <c r="E159" s="12"/>
      <c r="F159" s="12"/>
      <c r="G159" s="12"/>
      <c r="H159" s="12"/>
      <c r="I159" s="12"/>
      <c r="J159" s="12"/>
    </row>
    <row r="160" spans="1:10">
      <c r="A160" s="66"/>
      <c r="B160" s="12"/>
      <c r="C160" s="12"/>
      <c r="D160" s="52"/>
      <c r="E160" s="12"/>
      <c r="F160" s="12"/>
      <c r="G160" s="12"/>
      <c r="H160" s="12"/>
      <c r="I160" s="12"/>
      <c r="J160" s="12"/>
    </row>
    <row r="161" spans="1:10">
      <c r="A161" s="66"/>
      <c r="B161" s="12"/>
      <c r="C161" s="12"/>
      <c r="D161" s="52"/>
      <c r="E161" s="12"/>
      <c r="F161" s="12"/>
      <c r="G161" s="12"/>
      <c r="H161" s="12"/>
      <c r="I161" s="12"/>
      <c r="J161" s="12"/>
    </row>
    <row r="162" spans="1:10">
      <c r="A162" s="66"/>
      <c r="B162" s="12"/>
      <c r="C162" s="12"/>
      <c r="D162" s="52"/>
      <c r="E162" s="12"/>
      <c r="F162" s="12"/>
      <c r="G162" s="12"/>
      <c r="H162" s="12"/>
      <c r="I162" s="12"/>
      <c r="J162" s="12"/>
    </row>
    <row r="163" spans="1:10">
      <c r="A163" s="66"/>
      <c r="B163" s="12"/>
      <c r="C163" s="12"/>
      <c r="D163" s="52"/>
      <c r="E163" s="12"/>
      <c r="F163" s="12"/>
      <c r="G163" s="12"/>
      <c r="H163" s="12"/>
      <c r="I163" s="12"/>
      <c r="J163" s="12"/>
    </row>
    <row r="164" spans="1:10">
      <c r="A164" s="66"/>
      <c r="B164" s="12"/>
      <c r="C164" s="12"/>
      <c r="D164" s="52"/>
      <c r="E164" s="12"/>
      <c r="F164" s="12"/>
      <c r="G164" s="12"/>
      <c r="H164" s="12"/>
      <c r="I164" s="12"/>
      <c r="J164" s="12"/>
    </row>
    <row r="165" spans="1:10">
      <c r="A165" s="66"/>
      <c r="B165" s="12"/>
      <c r="C165" s="12"/>
      <c r="D165" s="52"/>
      <c r="E165" s="12"/>
      <c r="F165" s="12"/>
      <c r="G165" s="12"/>
      <c r="H165" s="12"/>
      <c r="I165" s="12"/>
      <c r="J165" s="12"/>
    </row>
    <row r="166" spans="1:10">
      <c r="A166" s="66"/>
      <c r="B166" s="12"/>
      <c r="C166" s="12"/>
      <c r="D166" s="52"/>
      <c r="E166" s="12"/>
      <c r="F166" s="12"/>
      <c r="G166" s="12"/>
      <c r="H166" s="12"/>
      <c r="I166" s="12"/>
      <c r="J166" s="12"/>
    </row>
    <row r="167" spans="1:10">
      <c r="A167" s="66"/>
      <c r="B167" s="12"/>
      <c r="C167" s="12"/>
      <c r="D167" s="52"/>
      <c r="E167" s="12"/>
      <c r="F167" s="12"/>
      <c r="G167" s="12"/>
      <c r="H167" s="12"/>
      <c r="I167" s="12"/>
      <c r="J167" s="12"/>
    </row>
    <row r="168" spans="1:10">
      <c r="A168" s="66"/>
      <c r="B168" s="12"/>
      <c r="C168" s="12"/>
      <c r="D168" s="52"/>
      <c r="E168" s="12"/>
      <c r="F168" s="12"/>
      <c r="G168" s="12"/>
      <c r="H168" s="12"/>
      <c r="I168" s="12"/>
      <c r="J168" s="12"/>
    </row>
    <row r="169" spans="1:10">
      <c r="A169" s="66"/>
      <c r="B169" s="12"/>
      <c r="C169" s="12"/>
      <c r="D169" s="52"/>
      <c r="E169" s="12"/>
      <c r="F169" s="12"/>
      <c r="G169" s="12"/>
      <c r="H169" s="12"/>
      <c r="I169" s="12"/>
      <c r="J169" s="12"/>
    </row>
    <row r="170" spans="1:10">
      <c r="A170" s="66"/>
      <c r="B170" s="12"/>
      <c r="C170" s="12"/>
      <c r="D170" s="52"/>
      <c r="E170" s="12"/>
      <c r="F170" s="12"/>
      <c r="G170" s="12"/>
      <c r="H170" s="12"/>
      <c r="I170" s="12"/>
      <c r="J170" s="12"/>
    </row>
    <row r="171" spans="1:10">
      <c r="A171" s="66"/>
      <c r="B171" s="12"/>
      <c r="C171" s="12"/>
      <c r="D171" s="52"/>
      <c r="E171" s="12"/>
      <c r="F171" s="12"/>
      <c r="G171" s="12"/>
      <c r="H171" s="12"/>
      <c r="I171" s="12"/>
      <c r="J171" s="12"/>
    </row>
    <row r="172" spans="1:10">
      <c r="A172" s="66"/>
      <c r="B172" s="12"/>
      <c r="C172" s="12"/>
      <c r="D172" s="52"/>
      <c r="E172" s="12"/>
      <c r="F172" s="12"/>
      <c r="G172" s="12"/>
      <c r="H172" s="12"/>
      <c r="I172" s="12"/>
      <c r="J172" s="12"/>
    </row>
    <row r="173" spans="1:10">
      <c r="A173" s="66"/>
      <c r="B173" s="12"/>
      <c r="C173" s="12"/>
      <c r="D173" s="52"/>
      <c r="E173" s="12"/>
      <c r="F173" s="12"/>
      <c r="G173" s="12"/>
      <c r="H173" s="12"/>
      <c r="I173" s="12"/>
      <c r="J173" s="12"/>
    </row>
    <row r="174" spans="1:10">
      <c r="A174" s="66"/>
      <c r="B174" s="12"/>
      <c r="C174" s="12"/>
      <c r="D174" s="52"/>
      <c r="E174" s="12"/>
      <c r="F174" s="12"/>
      <c r="G174" s="12"/>
      <c r="H174" s="12"/>
      <c r="I174" s="12"/>
      <c r="J174" s="12"/>
    </row>
    <row r="175" spans="1:10">
      <c r="A175" s="66"/>
      <c r="B175" s="12"/>
      <c r="C175" s="12"/>
      <c r="D175" s="52"/>
      <c r="E175" s="12"/>
      <c r="F175" s="12"/>
      <c r="G175" s="12"/>
      <c r="H175" s="12"/>
      <c r="I175" s="12"/>
      <c r="J175" s="12"/>
    </row>
    <row r="176" spans="1:10">
      <c r="A176" s="66"/>
      <c r="B176" s="12"/>
      <c r="C176" s="12"/>
      <c r="D176" s="52"/>
      <c r="E176" s="12"/>
      <c r="F176" s="12"/>
      <c r="G176" s="12"/>
      <c r="H176" s="12"/>
      <c r="I176" s="12"/>
      <c r="J176" s="12"/>
    </row>
    <row r="177" spans="1:10">
      <c r="A177" s="66"/>
      <c r="B177" s="12"/>
      <c r="C177" s="12"/>
      <c r="D177" s="52"/>
      <c r="E177" s="12"/>
      <c r="F177" s="12"/>
      <c r="G177" s="12"/>
      <c r="H177" s="12"/>
      <c r="I177" s="12"/>
      <c r="J177" s="12"/>
    </row>
    <row r="178" spans="1:10">
      <c r="A178" s="66"/>
      <c r="B178" s="12"/>
      <c r="C178" s="12"/>
      <c r="D178" s="52"/>
      <c r="E178" s="12"/>
      <c r="F178" s="12"/>
      <c r="G178" s="12"/>
      <c r="H178" s="12"/>
      <c r="I178" s="12"/>
      <c r="J178" s="12"/>
    </row>
    <row r="179" spans="1:10">
      <c r="A179" s="66"/>
      <c r="B179" s="12"/>
      <c r="C179" s="12"/>
      <c r="D179" s="52"/>
      <c r="E179" s="12"/>
      <c r="F179" s="12"/>
      <c r="G179" s="12"/>
      <c r="H179" s="12"/>
      <c r="I179" s="12"/>
      <c r="J179" s="12"/>
    </row>
    <row r="180" spans="1:10">
      <c r="A180" s="66"/>
      <c r="B180" s="12"/>
      <c r="C180" s="12"/>
      <c r="D180" s="52"/>
      <c r="E180" s="12"/>
      <c r="F180" s="12"/>
      <c r="G180" s="12"/>
      <c r="H180" s="12"/>
      <c r="I180" s="12"/>
      <c r="J180" s="12"/>
    </row>
    <row r="181" spans="1:10">
      <c r="A181" s="66"/>
      <c r="B181" s="12"/>
      <c r="C181" s="12"/>
      <c r="D181" s="52"/>
      <c r="E181" s="12"/>
      <c r="F181" s="12"/>
      <c r="G181" s="12"/>
      <c r="H181" s="12"/>
      <c r="I181" s="12"/>
      <c r="J181" s="12"/>
    </row>
    <row r="182" spans="1:10">
      <c r="A182" s="66"/>
      <c r="B182" s="12"/>
      <c r="C182" s="12"/>
      <c r="D182" s="52"/>
      <c r="E182" s="12"/>
      <c r="F182" s="12"/>
      <c r="G182" s="12"/>
      <c r="H182" s="12"/>
      <c r="I182" s="12"/>
      <c r="J182" s="12"/>
    </row>
    <row r="183" spans="1:10">
      <c r="A183" s="66"/>
      <c r="B183" s="12"/>
      <c r="C183" s="12"/>
      <c r="D183" s="52"/>
      <c r="E183" s="12"/>
      <c r="F183" s="12"/>
      <c r="G183" s="12"/>
      <c r="H183" s="12"/>
      <c r="I183" s="12"/>
      <c r="J183" s="12"/>
    </row>
    <row r="184" spans="1:10">
      <c r="A184" s="66"/>
      <c r="B184" s="12"/>
      <c r="C184" s="12"/>
      <c r="D184" s="52"/>
      <c r="E184" s="12"/>
      <c r="F184" s="12"/>
      <c r="G184" s="12"/>
      <c r="H184" s="12"/>
      <c r="I184" s="12"/>
      <c r="J184" s="12"/>
    </row>
    <row r="185" spans="1:10">
      <c r="A185" s="66"/>
      <c r="B185" s="12"/>
      <c r="C185" s="12"/>
      <c r="D185" s="52"/>
      <c r="E185" s="12"/>
      <c r="F185" s="12"/>
      <c r="G185" s="12"/>
      <c r="H185" s="12"/>
      <c r="I185" s="12"/>
      <c r="J185" s="12"/>
    </row>
    <row r="186" spans="1:10">
      <c r="A186" s="66"/>
      <c r="B186" s="12"/>
      <c r="C186" s="12"/>
      <c r="D186" s="52"/>
      <c r="E186" s="12"/>
      <c r="F186" s="12"/>
      <c r="G186" s="12"/>
      <c r="H186" s="12"/>
      <c r="I186" s="12"/>
      <c r="J186" s="12"/>
    </row>
    <row r="187" spans="1:10">
      <c r="A187" s="66"/>
      <c r="B187" s="12"/>
      <c r="C187" s="12"/>
      <c r="D187" s="52"/>
      <c r="E187" s="12"/>
      <c r="F187" s="12"/>
      <c r="G187" s="12"/>
      <c r="H187" s="12"/>
      <c r="I187" s="12"/>
      <c r="J187" s="12"/>
    </row>
    <row r="188" spans="1:10">
      <c r="A188" s="66"/>
      <c r="B188" s="12"/>
      <c r="C188" s="12"/>
      <c r="D188" s="52"/>
      <c r="E188" s="12"/>
      <c r="F188" s="12"/>
      <c r="G188" s="12"/>
      <c r="H188" s="12"/>
      <c r="I188" s="12"/>
      <c r="J188" s="12"/>
    </row>
    <row r="189" spans="1:10">
      <c r="A189" s="66"/>
      <c r="B189" s="12"/>
      <c r="C189" s="12"/>
      <c r="D189" s="52"/>
      <c r="E189" s="12"/>
      <c r="F189" s="12"/>
      <c r="G189" s="12"/>
      <c r="H189" s="12"/>
      <c r="I189" s="12"/>
      <c r="J189" s="12"/>
    </row>
    <row r="190" spans="1:10">
      <c r="A190" s="66"/>
      <c r="B190" s="12"/>
      <c r="C190" s="12"/>
      <c r="D190" s="52"/>
      <c r="E190" s="12"/>
      <c r="F190" s="12"/>
      <c r="G190" s="12"/>
      <c r="H190" s="12"/>
      <c r="I190" s="12"/>
      <c r="J190" s="12"/>
    </row>
    <row r="191" spans="1:10">
      <c r="A191" s="66"/>
      <c r="B191" s="12"/>
      <c r="C191" s="12"/>
      <c r="D191" s="52"/>
      <c r="E191" s="12"/>
      <c r="F191" s="12"/>
      <c r="G191" s="12"/>
      <c r="H191" s="12"/>
      <c r="I191" s="12"/>
      <c r="J191" s="12"/>
    </row>
    <row r="192" spans="1:10">
      <c r="A192" s="66"/>
      <c r="B192" s="12"/>
      <c r="C192" s="12"/>
      <c r="D192" s="52"/>
      <c r="E192" s="12"/>
      <c r="F192" s="12"/>
      <c r="G192" s="12"/>
      <c r="H192" s="12"/>
      <c r="I192" s="12"/>
      <c r="J192" s="12"/>
    </row>
    <row r="193" spans="1:10">
      <c r="A193" s="66"/>
      <c r="B193" s="12"/>
      <c r="C193" s="12"/>
      <c r="D193" s="52"/>
      <c r="E193" s="12"/>
      <c r="F193" s="12"/>
      <c r="G193" s="12"/>
      <c r="H193" s="12"/>
      <c r="I193" s="12"/>
      <c r="J193" s="12"/>
    </row>
    <row r="194" spans="1:10">
      <c r="A194" s="66"/>
      <c r="B194" s="12"/>
      <c r="C194" s="12"/>
      <c r="D194" s="52"/>
      <c r="E194" s="12"/>
      <c r="F194" s="12"/>
      <c r="G194" s="12"/>
      <c r="H194" s="12"/>
      <c r="I194" s="12"/>
      <c r="J194" s="12"/>
    </row>
    <row r="195" spans="1:10">
      <c r="A195" s="66"/>
      <c r="B195" s="12"/>
      <c r="C195" s="12"/>
      <c r="D195" s="52"/>
      <c r="E195" s="12"/>
      <c r="F195" s="12"/>
      <c r="G195" s="12"/>
      <c r="H195" s="12"/>
      <c r="I195" s="12"/>
      <c r="J195" s="12"/>
    </row>
    <row r="196" spans="1:10">
      <c r="A196" s="66"/>
      <c r="B196" s="12"/>
      <c r="C196" s="12"/>
      <c r="D196" s="52"/>
      <c r="E196" s="12"/>
      <c r="F196" s="12"/>
      <c r="G196" s="12"/>
      <c r="H196" s="12"/>
      <c r="I196" s="12"/>
      <c r="J196" s="12"/>
    </row>
    <row r="197" spans="1:10">
      <c r="A197" s="66"/>
      <c r="B197" s="12"/>
      <c r="C197" s="12"/>
      <c r="D197" s="52"/>
      <c r="E197" s="12"/>
      <c r="F197" s="12"/>
      <c r="G197" s="12"/>
      <c r="H197" s="12"/>
      <c r="I197" s="12"/>
      <c r="J197" s="12"/>
    </row>
    <row r="198" spans="1:10">
      <c r="A198" s="66"/>
      <c r="B198" s="12"/>
      <c r="C198" s="12"/>
      <c r="D198" s="52"/>
      <c r="E198" s="12"/>
      <c r="F198" s="12"/>
      <c r="G198" s="12"/>
      <c r="H198" s="12"/>
      <c r="I198" s="12"/>
      <c r="J198" s="12"/>
    </row>
    <row r="199" spans="1:10">
      <c r="A199" s="66"/>
      <c r="B199" s="12"/>
      <c r="C199" s="12"/>
      <c r="D199" s="52"/>
      <c r="E199" s="12"/>
      <c r="F199" s="12"/>
      <c r="G199" s="12"/>
      <c r="H199" s="12"/>
      <c r="I199" s="12"/>
      <c r="J199" s="12"/>
    </row>
    <row r="200" spans="1:10">
      <c r="A200" s="66"/>
      <c r="B200" s="12"/>
      <c r="C200" s="12"/>
      <c r="D200" s="52"/>
      <c r="E200" s="12"/>
      <c r="F200" s="12"/>
      <c r="G200" s="12"/>
      <c r="H200" s="12"/>
      <c r="I200" s="12"/>
      <c r="J200" s="12"/>
    </row>
    <row r="201" spans="1:10">
      <c r="A201" s="66"/>
      <c r="B201" s="12"/>
      <c r="C201" s="12"/>
      <c r="D201" s="52"/>
      <c r="E201" s="12"/>
      <c r="F201" s="12"/>
      <c r="G201" s="12"/>
      <c r="H201" s="12"/>
      <c r="I201" s="12"/>
      <c r="J201" s="12"/>
    </row>
    <row r="202" spans="1:10">
      <c r="A202" s="66"/>
      <c r="B202" s="12"/>
      <c r="C202" s="12"/>
      <c r="D202" s="52"/>
      <c r="E202" s="12"/>
      <c r="F202" s="12"/>
      <c r="G202" s="12"/>
      <c r="H202" s="12"/>
      <c r="I202" s="12"/>
      <c r="J202" s="12"/>
    </row>
    <row r="203" spans="1:10">
      <c r="A203" s="66"/>
      <c r="B203" s="12"/>
      <c r="C203" s="12"/>
      <c r="D203" s="52"/>
      <c r="E203" s="12"/>
      <c r="F203" s="12"/>
      <c r="G203" s="12"/>
      <c r="H203" s="12"/>
      <c r="I203" s="12"/>
      <c r="J203" s="12"/>
    </row>
    <row r="204" spans="1:10">
      <c r="A204" s="66"/>
      <c r="B204" s="12"/>
      <c r="C204" s="12"/>
      <c r="D204" s="52"/>
      <c r="E204" s="12"/>
      <c r="F204" s="12"/>
      <c r="G204" s="12"/>
      <c r="H204" s="12"/>
      <c r="I204" s="12"/>
      <c r="J204" s="12"/>
    </row>
    <row r="205" spans="1:10">
      <c r="A205" s="66"/>
      <c r="B205" s="12"/>
      <c r="C205" s="12"/>
      <c r="D205" s="52"/>
      <c r="E205" s="12"/>
      <c r="F205" s="12"/>
      <c r="G205" s="12"/>
      <c r="H205" s="12"/>
      <c r="I205" s="12"/>
      <c r="J205" s="12"/>
    </row>
    <row r="206" spans="1:10">
      <c r="A206" s="66"/>
      <c r="B206" s="12"/>
      <c r="C206" s="12"/>
      <c r="D206" s="52"/>
      <c r="E206" s="12"/>
      <c r="F206" s="12"/>
      <c r="G206" s="12"/>
      <c r="H206" s="12"/>
      <c r="I206" s="12"/>
      <c r="J206" s="12"/>
    </row>
    <row r="207" spans="1:10">
      <c r="A207" s="66"/>
      <c r="B207" s="12"/>
      <c r="C207" s="12"/>
      <c r="D207" s="52"/>
      <c r="E207" s="12"/>
      <c r="F207" s="12"/>
      <c r="G207" s="12"/>
      <c r="H207" s="12"/>
      <c r="I207" s="12"/>
      <c r="J207" s="12"/>
    </row>
    <row r="208" spans="1:10">
      <c r="A208" s="66"/>
      <c r="B208" s="12"/>
      <c r="C208" s="12"/>
      <c r="D208" s="52"/>
      <c r="E208" s="12"/>
      <c r="F208" s="12"/>
      <c r="G208" s="12"/>
      <c r="H208" s="12"/>
      <c r="I208" s="12"/>
      <c r="J208" s="12"/>
    </row>
    <row r="209" spans="1:10">
      <c r="A209" s="66"/>
      <c r="B209" s="12"/>
      <c r="C209" s="12"/>
      <c r="D209" s="52"/>
      <c r="E209" s="12"/>
      <c r="F209" s="12"/>
      <c r="G209" s="12"/>
      <c r="H209" s="12"/>
      <c r="I209" s="12"/>
      <c r="J209" s="12"/>
    </row>
    <row r="210" spans="1:10">
      <c r="A210" s="66"/>
      <c r="B210" s="12"/>
      <c r="C210" s="12"/>
      <c r="D210" s="52"/>
      <c r="E210" s="12"/>
      <c r="F210" s="12"/>
      <c r="G210" s="12"/>
      <c r="H210" s="12"/>
      <c r="I210" s="12"/>
      <c r="J210" s="12"/>
    </row>
    <row r="211" spans="1:10">
      <c r="A211" s="66"/>
      <c r="B211" s="12"/>
      <c r="C211" s="12"/>
      <c r="D211" s="52"/>
      <c r="E211" s="12"/>
      <c r="F211" s="12"/>
      <c r="G211" s="12"/>
      <c r="H211" s="12"/>
      <c r="I211" s="12"/>
      <c r="J211" s="12"/>
    </row>
    <row r="212" spans="1:10">
      <c r="A212" s="66"/>
      <c r="B212" s="12"/>
      <c r="C212" s="12"/>
      <c r="D212" s="52"/>
      <c r="E212" s="12"/>
      <c r="F212" s="12"/>
      <c r="G212" s="12"/>
      <c r="H212" s="12"/>
      <c r="I212" s="12"/>
      <c r="J212" s="12"/>
    </row>
    <row r="213" spans="1:10">
      <c r="A213" s="66"/>
      <c r="B213" s="12"/>
      <c r="C213" s="12"/>
      <c r="D213" s="52"/>
      <c r="E213" s="12"/>
      <c r="F213" s="12"/>
      <c r="G213" s="12"/>
      <c r="H213" s="12"/>
      <c r="I213" s="12"/>
      <c r="J213" s="12"/>
    </row>
    <row r="214" spans="1:10">
      <c r="A214" s="66"/>
      <c r="B214" s="12"/>
      <c r="C214" s="12"/>
      <c r="D214" s="52"/>
      <c r="E214" s="12"/>
      <c r="F214" s="12"/>
      <c r="G214" s="12"/>
      <c r="H214" s="12"/>
      <c r="I214" s="12"/>
      <c r="J214" s="12"/>
    </row>
    <row r="215" spans="1:10">
      <c r="A215" s="66"/>
      <c r="B215" s="12"/>
      <c r="C215" s="12"/>
      <c r="D215" s="52"/>
      <c r="E215" s="12"/>
      <c r="F215" s="12"/>
      <c r="G215" s="12"/>
      <c r="H215" s="12"/>
      <c r="I215" s="12"/>
      <c r="J215" s="12"/>
    </row>
    <row r="216" spans="1:10">
      <c r="A216" s="66"/>
      <c r="B216" s="12"/>
      <c r="C216" s="12"/>
      <c r="D216" s="52"/>
      <c r="E216" s="12"/>
      <c r="F216" s="12"/>
      <c r="G216" s="12"/>
      <c r="H216" s="12"/>
      <c r="I216" s="12"/>
      <c r="J216" s="12"/>
    </row>
    <row r="217" spans="1:10">
      <c r="A217" s="66"/>
      <c r="B217" s="12"/>
      <c r="C217" s="12"/>
      <c r="D217" s="52"/>
      <c r="E217" s="12"/>
      <c r="F217" s="12"/>
      <c r="G217" s="12"/>
      <c r="H217" s="12"/>
      <c r="I217" s="12"/>
      <c r="J217" s="12"/>
    </row>
    <row r="218" spans="1:10">
      <c r="A218" s="66"/>
      <c r="B218" s="12"/>
      <c r="C218" s="12"/>
      <c r="D218" s="52"/>
      <c r="E218" s="12"/>
      <c r="F218" s="12"/>
      <c r="G218" s="12"/>
      <c r="H218" s="12"/>
      <c r="I218" s="12"/>
      <c r="J218" s="12"/>
    </row>
    <row r="219" spans="1:10">
      <c r="A219" s="66"/>
      <c r="B219" s="12"/>
      <c r="C219" s="12"/>
      <c r="D219" s="52"/>
      <c r="E219" s="12"/>
      <c r="F219" s="12"/>
      <c r="G219" s="12"/>
      <c r="H219" s="12"/>
      <c r="I219" s="12"/>
      <c r="J219" s="12"/>
    </row>
    <row r="220" spans="1:10">
      <c r="A220" s="66"/>
      <c r="B220" s="12"/>
      <c r="C220" s="12"/>
      <c r="D220" s="52"/>
      <c r="E220" s="12"/>
      <c r="F220" s="12"/>
      <c r="G220" s="12"/>
      <c r="H220" s="12"/>
      <c r="I220" s="12"/>
      <c r="J220" s="12"/>
    </row>
    <row r="221" spans="1:10">
      <c r="A221" s="66"/>
      <c r="B221" s="12"/>
      <c r="C221" s="12"/>
      <c r="D221" s="52"/>
      <c r="E221" s="12"/>
      <c r="F221" s="12"/>
      <c r="G221" s="12"/>
      <c r="H221" s="12"/>
      <c r="I221" s="12"/>
      <c r="J221" s="12"/>
    </row>
    <row r="222" spans="1:10">
      <c r="A222" s="66"/>
      <c r="B222" s="12"/>
      <c r="C222" s="12"/>
      <c r="D222" s="52"/>
      <c r="E222" s="12"/>
      <c r="F222" s="12"/>
      <c r="G222" s="12"/>
      <c r="H222" s="12"/>
      <c r="I222" s="12"/>
      <c r="J222" s="12"/>
    </row>
    <row r="223" spans="1:10">
      <c r="A223" s="66"/>
      <c r="B223" s="12"/>
      <c r="C223" s="12"/>
      <c r="D223" s="52"/>
      <c r="E223" s="12"/>
      <c r="F223" s="12"/>
      <c r="G223" s="12"/>
      <c r="H223" s="12"/>
      <c r="I223" s="12"/>
      <c r="J223" s="12"/>
    </row>
    <row r="224" spans="1:10">
      <c r="A224" s="66"/>
      <c r="B224" s="12"/>
      <c r="C224" s="12"/>
      <c r="D224" s="52"/>
      <c r="E224" s="12"/>
      <c r="F224" s="12"/>
      <c r="G224" s="12"/>
      <c r="H224" s="12"/>
      <c r="I224" s="12"/>
      <c r="J224" s="12"/>
    </row>
    <row r="225" spans="1:10">
      <c r="A225" s="66"/>
      <c r="B225" s="12"/>
      <c r="C225" s="12"/>
      <c r="D225" s="52"/>
      <c r="E225" s="12"/>
      <c r="F225" s="12"/>
      <c r="G225" s="12"/>
      <c r="H225" s="12"/>
      <c r="I225" s="12"/>
      <c r="J225" s="12"/>
    </row>
    <row r="226" spans="1:10">
      <c r="A226" s="66"/>
      <c r="B226" s="12"/>
      <c r="C226" s="12"/>
      <c r="D226" s="52"/>
      <c r="E226" s="12"/>
      <c r="F226" s="12"/>
      <c r="G226" s="12"/>
      <c r="H226" s="12"/>
      <c r="I226" s="12"/>
      <c r="J226" s="12"/>
    </row>
    <row r="227" spans="1:10">
      <c r="A227" s="66"/>
      <c r="B227" s="12"/>
      <c r="C227" s="12"/>
      <c r="D227" s="52"/>
      <c r="E227" s="12"/>
      <c r="F227" s="12"/>
      <c r="G227" s="12"/>
      <c r="H227" s="12"/>
      <c r="I227" s="12"/>
      <c r="J227" s="12"/>
    </row>
    <row r="228" spans="1:10">
      <c r="A228" s="66"/>
      <c r="B228" s="12"/>
      <c r="C228" s="12"/>
      <c r="D228" s="52"/>
      <c r="E228" s="12"/>
      <c r="F228" s="12"/>
      <c r="G228" s="12"/>
      <c r="H228" s="12"/>
      <c r="I228" s="12"/>
      <c r="J228" s="12"/>
    </row>
    <row r="229" spans="1:10">
      <c r="A229" s="66"/>
      <c r="B229" s="12"/>
      <c r="C229" s="12"/>
      <c r="D229" s="52"/>
      <c r="E229" s="12"/>
      <c r="F229" s="12"/>
      <c r="G229" s="12"/>
      <c r="H229" s="12"/>
      <c r="I229" s="12"/>
      <c r="J229" s="12"/>
    </row>
    <row r="230" spans="1:10">
      <c r="A230" s="66"/>
      <c r="B230" s="12"/>
      <c r="C230" s="12"/>
      <c r="D230" s="52"/>
      <c r="E230" s="12"/>
      <c r="F230" s="12"/>
      <c r="G230" s="12"/>
      <c r="H230" s="12"/>
      <c r="I230" s="12"/>
      <c r="J230" s="12"/>
    </row>
    <row r="231" spans="1:10">
      <c r="A231" s="66"/>
      <c r="B231" s="12"/>
      <c r="C231" s="12"/>
      <c r="D231" s="52"/>
      <c r="E231" s="12"/>
      <c r="F231" s="12"/>
      <c r="G231" s="12"/>
      <c r="H231" s="12"/>
      <c r="I231" s="12"/>
      <c r="J231" s="12"/>
    </row>
    <row r="232" spans="1:10">
      <c r="A232" s="66"/>
      <c r="B232" s="12"/>
      <c r="C232" s="12"/>
      <c r="D232" s="52"/>
      <c r="E232" s="12"/>
      <c r="F232" s="12"/>
      <c r="G232" s="12"/>
      <c r="H232" s="12"/>
      <c r="I232" s="12"/>
      <c r="J232" s="12"/>
    </row>
    <row r="233" spans="1:10">
      <c r="A233" s="66"/>
      <c r="B233" s="12"/>
      <c r="C233" s="12"/>
      <c r="D233" s="52"/>
      <c r="E233" s="12"/>
      <c r="F233" s="12"/>
      <c r="G233" s="12"/>
      <c r="H233" s="12"/>
      <c r="I233" s="12"/>
      <c r="J233" s="12"/>
    </row>
    <row r="234" spans="1:10">
      <c r="A234" s="66"/>
      <c r="B234" s="12"/>
      <c r="C234" s="12"/>
      <c r="D234" s="52"/>
      <c r="E234" s="12"/>
      <c r="F234" s="12"/>
      <c r="G234" s="12"/>
      <c r="H234" s="12"/>
      <c r="I234" s="12"/>
      <c r="J234" s="12"/>
    </row>
    <row r="235" spans="1:10">
      <c r="A235" s="87"/>
      <c r="B235" s="12"/>
      <c r="C235" s="89"/>
      <c r="D235" s="52"/>
      <c r="E235" s="12"/>
      <c r="F235" s="90"/>
      <c r="G235" s="12"/>
      <c r="H235" s="12"/>
      <c r="I235" s="12"/>
      <c r="J235" s="12"/>
    </row>
    <row r="236" spans="1:10">
      <c r="A236" s="92"/>
      <c r="B236" s="12"/>
      <c r="C236" s="89"/>
      <c r="D236" s="52"/>
      <c r="E236" s="12"/>
      <c r="F236" s="91"/>
      <c r="G236" s="12"/>
      <c r="H236" s="12"/>
      <c r="I236" s="12"/>
      <c r="J236" s="12"/>
    </row>
    <row r="237" spans="1:10">
      <c r="A237" s="87"/>
      <c r="B237" s="12"/>
      <c r="C237" s="89"/>
      <c r="D237" s="52"/>
      <c r="E237" s="12"/>
      <c r="F237" s="87"/>
      <c r="G237" s="12"/>
      <c r="H237" s="12"/>
      <c r="I237" s="12"/>
      <c r="J237" s="12"/>
    </row>
    <row r="238" spans="1:10">
      <c r="A238" s="87"/>
      <c r="B238" s="12"/>
      <c r="C238" s="89"/>
      <c r="D238" s="52"/>
      <c r="E238" s="12"/>
      <c r="F238" s="90"/>
      <c r="G238" s="12"/>
      <c r="H238" s="12"/>
      <c r="I238" s="12"/>
      <c r="J238" s="12"/>
    </row>
    <row r="239" spans="1:10">
      <c r="A239" s="87"/>
      <c r="B239" s="12"/>
      <c r="C239" s="89"/>
      <c r="D239" s="52"/>
      <c r="E239" s="12"/>
      <c r="F239" s="90"/>
      <c r="G239" s="12"/>
      <c r="H239" s="12"/>
      <c r="I239" s="12"/>
      <c r="J239" s="12"/>
    </row>
    <row r="240" spans="1:10">
      <c r="A240" s="87"/>
      <c r="B240" s="12"/>
      <c r="C240" s="89"/>
      <c r="D240" s="52"/>
      <c r="E240" s="12"/>
      <c r="F240" s="90"/>
      <c r="G240" s="12"/>
      <c r="H240" s="12"/>
      <c r="I240" s="12"/>
      <c r="J240" s="12"/>
    </row>
    <row r="241" spans="1:10">
      <c r="A241" s="87"/>
      <c r="B241" s="12"/>
      <c r="C241" s="89"/>
      <c r="D241" s="52"/>
      <c r="E241" s="12"/>
      <c r="F241" s="90"/>
      <c r="G241" s="12"/>
      <c r="H241" s="12"/>
      <c r="I241" s="12"/>
      <c r="J241" s="12"/>
    </row>
    <row r="242" spans="1:10">
      <c r="A242" s="87"/>
      <c r="B242" s="12"/>
      <c r="C242" s="89"/>
      <c r="D242" s="52"/>
      <c r="E242" s="12"/>
      <c r="F242" s="90"/>
      <c r="G242" s="12"/>
      <c r="H242" s="12"/>
      <c r="I242" s="12"/>
      <c r="J242" s="12"/>
    </row>
    <row r="243" spans="1:10">
      <c r="A243" s="87"/>
      <c r="B243" s="12"/>
      <c r="C243" s="89"/>
      <c r="D243" s="52"/>
      <c r="E243" s="12"/>
      <c r="F243" s="90"/>
      <c r="G243" s="12"/>
      <c r="H243" s="12"/>
      <c r="I243" s="12"/>
      <c r="J243" s="12"/>
    </row>
    <row r="244" spans="1:10">
      <c r="A244" s="87"/>
      <c r="B244" s="12"/>
      <c r="C244" s="89"/>
      <c r="D244" s="52"/>
      <c r="E244" s="9"/>
      <c r="F244" s="90"/>
      <c r="G244" s="12"/>
      <c r="H244" s="12"/>
      <c r="I244" s="12"/>
      <c r="J244" s="12"/>
    </row>
    <row r="245" spans="1:10">
      <c r="A245" s="87"/>
      <c r="B245" s="12"/>
      <c r="C245" s="89"/>
      <c r="D245" s="52"/>
      <c r="E245" s="9"/>
      <c r="F245" s="90"/>
      <c r="G245" s="12"/>
      <c r="H245" s="12"/>
      <c r="I245" s="12"/>
      <c r="J245" s="12"/>
    </row>
    <row r="246" spans="1:10">
      <c r="A246" s="87"/>
      <c r="B246" s="12"/>
      <c r="C246" s="89"/>
      <c r="D246" s="52"/>
      <c r="E246" s="9"/>
      <c r="F246" s="90"/>
      <c r="G246" s="12"/>
      <c r="H246" s="12"/>
      <c r="I246" s="12"/>
      <c r="J246" s="12"/>
    </row>
    <row r="247" spans="1:10">
      <c r="A247" s="88"/>
      <c r="B247" s="12"/>
      <c r="C247" s="88"/>
      <c r="D247" s="52"/>
      <c r="E247" s="9"/>
      <c r="F247" s="88"/>
      <c r="G247" s="12"/>
      <c r="H247" s="12"/>
      <c r="I247" s="12"/>
      <c r="J247" s="12"/>
    </row>
    <row r="248" spans="1:10">
      <c r="A248" s="88"/>
      <c r="B248" s="12"/>
      <c r="C248" s="88"/>
      <c r="D248" s="52"/>
      <c r="E248" s="9"/>
      <c r="F248" s="88"/>
      <c r="G248" s="12"/>
      <c r="H248" s="12"/>
      <c r="I248" s="12"/>
      <c r="J248" s="12"/>
    </row>
    <row r="249" spans="1:10">
      <c r="A249" s="88"/>
      <c r="B249" s="12"/>
      <c r="C249" s="88"/>
      <c r="D249" s="52"/>
      <c r="E249" s="9"/>
      <c r="F249" s="88"/>
      <c r="G249" s="12"/>
      <c r="H249" s="12"/>
      <c r="I249" s="12"/>
      <c r="J249" s="12"/>
    </row>
    <row r="250" spans="1:10">
      <c r="A250" s="88"/>
      <c r="B250" s="12"/>
      <c r="C250" s="88"/>
      <c r="D250" s="52"/>
      <c r="E250" s="9"/>
      <c r="F250" s="88"/>
      <c r="G250" s="12"/>
      <c r="H250" s="12"/>
      <c r="I250" s="12"/>
      <c r="J250" s="12"/>
    </row>
    <row r="251" spans="1:10">
      <c r="A251" s="88"/>
      <c r="B251" s="12"/>
      <c r="C251" s="88"/>
      <c r="D251" s="52"/>
      <c r="E251" s="9"/>
      <c r="F251" s="88"/>
      <c r="G251" s="12"/>
      <c r="H251" s="12"/>
      <c r="I251" s="12"/>
      <c r="J251" s="12"/>
    </row>
    <row r="252" spans="1:10">
      <c r="A252" s="88"/>
      <c r="B252" s="12"/>
      <c r="C252" s="88"/>
      <c r="D252" s="52"/>
      <c r="E252" s="9"/>
      <c r="F252" s="88"/>
      <c r="G252" s="12"/>
      <c r="H252" s="12"/>
      <c r="I252" s="12"/>
      <c r="J252" s="12"/>
    </row>
    <row r="253" spans="1:10">
      <c r="A253" s="88"/>
      <c r="B253" s="12"/>
      <c r="C253" s="88"/>
      <c r="D253" s="52"/>
      <c r="E253" s="9"/>
      <c r="F253" s="88"/>
      <c r="G253" s="12"/>
      <c r="H253" s="12"/>
      <c r="I253" s="12"/>
      <c r="J253" s="12"/>
    </row>
    <row r="254" spans="1:10">
      <c r="A254" s="88"/>
      <c r="B254" s="12"/>
      <c r="C254" s="88"/>
      <c r="D254" s="52"/>
      <c r="E254" s="9"/>
      <c r="F254" s="88"/>
      <c r="G254" s="12"/>
      <c r="H254" s="12"/>
      <c r="I254" s="12"/>
      <c r="J254" s="12"/>
    </row>
    <row r="255" spans="1:10">
      <c r="A255" s="88"/>
      <c r="B255" s="12"/>
      <c r="C255" s="88"/>
      <c r="D255" s="52"/>
      <c r="E255" s="9"/>
      <c r="F255" s="88"/>
      <c r="G255" s="12"/>
      <c r="H255" s="12"/>
      <c r="I255" s="12"/>
      <c r="J255" s="12"/>
    </row>
    <row r="256" spans="1:10">
      <c r="A256" s="88"/>
      <c r="B256" s="12"/>
      <c r="C256" s="88"/>
      <c r="D256" s="52"/>
      <c r="E256" s="9"/>
      <c r="F256" s="88"/>
      <c r="G256" s="12"/>
      <c r="H256" s="12"/>
      <c r="I256" s="12"/>
      <c r="J256" s="12"/>
    </row>
    <row r="257" spans="1:10">
      <c r="A257" s="88"/>
      <c r="B257" s="12"/>
      <c r="C257" s="88"/>
      <c r="D257" s="52"/>
      <c r="E257" s="9"/>
      <c r="F257" s="88"/>
      <c r="G257" s="12"/>
      <c r="H257" s="12"/>
      <c r="I257" s="12"/>
      <c r="J257" s="12"/>
    </row>
    <row r="258" spans="1:10">
      <c r="A258" s="88"/>
      <c r="B258" s="12"/>
      <c r="C258" s="88"/>
      <c r="D258" s="52"/>
      <c r="E258" s="9"/>
      <c r="F258" s="88"/>
      <c r="G258" s="12"/>
      <c r="H258" s="12"/>
      <c r="I258" s="12"/>
      <c r="J258" s="12"/>
    </row>
    <row r="259" spans="1:10">
      <c r="A259" s="88"/>
      <c r="B259" s="12"/>
      <c r="C259" s="88"/>
      <c r="D259" s="52"/>
      <c r="E259" s="9"/>
      <c r="F259" s="88"/>
      <c r="G259" s="12"/>
      <c r="H259" s="12"/>
      <c r="I259" s="12"/>
      <c r="J259" s="12"/>
    </row>
    <row r="260" spans="1:10">
      <c r="A260" s="88"/>
      <c r="B260" s="12"/>
      <c r="C260" s="88"/>
      <c r="D260" s="52"/>
      <c r="E260" s="9"/>
      <c r="F260" s="88"/>
      <c r="G260" s="12"/>
      <c r="H260" s="12"/>
      <c r="I260" s="12"/>
      <c r="J260" s="12"/>
    </row>
    <row r="261" spans="1:10">
      <c r="A261" s="88"/>
      <c r="B261" s="12"/>
      <c r="C261" s="88"/>
      <c r="D261" s="52"/>
      <c r="E261" s="9"/>
      <c r="F261" s="88"/>
      <c r="G261" s="12"/>
      <c r="H261" s="12"/>
      <c r="I261" s="12"/>
      <c r="J261" s="12"/>
    </row>
    <row r="262" spans="1:10">
      <c r="A262" s="88"/>
      <c r="B262" s="12"/>
      <c r="C262" s="88"/>
      <c r="D262" s="52"/>
      <c r="E262" s="9"/>
      <c r="F262" s="88"/>
      <c r="G262" s="12"/>
      <c r="H262" s="12"/>
      <c r="I262" s="12"/>
      <c r="J262" s="12"/>
    </row>
    <row r="263" spans="1:10">
      <c r="A263" s="88"/>
      <c r="B263" s="12"/>
      <c r="C263" s="88"/>
      <c r="D263" s="52"/>
      <c r="E263" s="9"/>
      <c r="F263" s="88"/>
      <c r="G263" s="12"/>
      <c r="H263" s="12"/>
      <c r="I263" s="12"/>
      <c r="J263" s="12"/>
    </row>
    <row r="264" spans="1:10">
      <c r="A264" s="88"/>
      <c r="B264" s="12"/>
      <c r="C264" s="88"/>
      <c r="D264" s="52"/>
      <c r="E264" s="9"/>
      <c r="F264" s="88"/>
      <c r="G264" s="12"/>
      <c r="H264" s="12"/>
      <c r="I264" s="12"/>
      <c r="J264" s="12"/>
    </row>
    <row r="265" spans="1:10">
      <c r="A265" s="88"/>
      <c r="B265" s="12"/>
      <c r="C265" s="88"/>
      <c r="D265" s="52"/>
      <c r="E265" s="9"/>
      <c r="F265" s="88"/>
      <c r="G265" s="12"/>
      <c r="H265" s="12"/>
      <c r="I265" s="12"/>
      <c r="J265" s="12"/>
    </row>
    <row r="266" spans="1:10">
      <c r="A266" s="88"/>
      <c r="B266" s="12"/>
      <c r="C266" s="88"/>
      <c r="D266" s="52"/>
      <c r="E266" s="9"/>
      <c r="F266" s="88"/>
      <c r="G266" s="12"/>
      <c r="H266" s="12"/>
      <c r="I266" s="12"/>
      <c r="J266" s="12"/>
    </row>
    <row r="267" spans="1:10">
      <c r="A267" s="88"/>
      <c r="B267" s="12"/>
      <c r="C267" s="88"/>
      <c r="D267" s="52"/>
      <c r="E267" s="9"/>
      <c r="F267" s="88"/>
      <c r="G267" s="12"/>
      <c r="H267" s="12"/>
      <c r="I267" s="12"/>
      <c r="J267" s="12"/>
    </row>
    <row r="268" spans="1:10">
      <c r="A268" s="88"/>
      <c r="B268" s="12"/>
      <c r="C268" s="88"/>
      <c r="D268" s="52"/>
      <c r="E268" s="9"/>
      <c r="F268" s="88"/>
      <c r="G268" s="12"/>
      <c r="H268" s="12"/>
      <c r="I268" s="12"/>
      <c r="J268" s="12"/>
    </row>
    <row r="269" spans="1:10">
      <c r="A269" s="88"/>
      <c r="B269" s="12"/>
      <c r="C269" s="88"/>
      <c r="D269" s="52"/>
      <c r="E269" s="9"/>
      <c r="F269" s="88"/>
      <c r="G269" s="12"/>
      <c r="H269" s="12"/>
      <c r="I269" s="12"/>
      <c r="J269" s="12"/>
    </row>
    <row r="270" spans="1:10">
      <c r="A270" s="88"/>
      <c r="B270" s="12"/>
      <c r="C270" s="88"/>
      <c r="D270" s="52"/>
      <c r="E270" s="9"/>
      <c r="F270" s="88"/>
      <c r="G270" s="12"/>
      <c r="H270" s="12"/>
      <c r="I270" s="12"/>
      <c r="J270" s="12"/>
    </row>
    <row r="271" spans="1:10">
      <c r="A271" s="88"/>
      <c r="B271" s="12"/>
      <c r="C271" s="88"/>
      <c r="D271" s="52"/>
      <c r="E271" s="9"/>
      <c r="F271" s="88"/>
      <c r="G271" s="12"/>
      <c r="H271" s="12"/>
      <c r="I271" s="12"/>
      <c r="J271" s="12"/>
    </row>
    <row r="272" spans="1:10">
      <c r="A272" s="88"/>
      <c r="B272" s="12"/>
      <c r="C272" s="88"/>
      <c r="D272" s="52"/>
      <c r="E272" s="9"/>
      <c r="F272" s="88"/>
      <c r="G272" s="12"/>
      <c r="H272" s="12"/>
      <c r="I272" s="12"/>
      <c r="J272" s="12"/>
    </row>
    <row r="273" spans="1:10">
      <c r="A273" s="88"/>
      <c r="B273" s="12"/>
      <c r="C273" s="90"/>
      <c r="D273" s="52"/>
      <c r="E273" s="9"/>
      <c r="F273" s="88"/>
      <c r="G273" s="12"/>
      <c r="H273" s="12"/>
      <c r="I273" s="12"/>
      <c r="J273" s="12"/>
    </row>
    <row r="274" spans="1:10">
      <c r="A274" s="88"/>
      <c r="B274" s="12"/>
      <c r="C274" s="90"/>
      <c r="D274" s="52"/>
      <c r="E274" s="9"/>
      <c r="F274" s="88"/>
      <c r="G274" s="12"/>
      <c r="H274" s="12"/>
      <c r="I274" s="12"/>
      <c r="J274" s="12"/>
    </row>
    <row r="275" spans="1:10">
      <c r="A275" s="88"/>
      <c r="B275" s="12"/>
      <c r="C275" s="90"/>
      <c r="D275" s="52"/>
      <c r="E275" s="9"/>
      <c r="F275" s="88"/>
      <c r="G275" s="12"/>
      <c r="H275" s="12"/>
      <c r="I275" s="12"/>
      <c r="J275" s="12"/>
    </row>
    <row r="276" spans="1:10">
      <c r="A276" s="88"/>
      <c r="B276" s="12"/>
      <c r="C276" s="90"/>
      <c r="D276" s="52"/>
      <c r="E276" s="9"/>
      <c r="F276" s="88"/>
      <c r="G276" s="12"/>
      <c r="H276" s="12"/>
      <c r="I276" s="12"/>
      <c r="J276" s="12"/>
    </row>
    <row r="277" spans="1:10">
      <c r="A277" s="88"/>
      <c r="B277" s="12"/>
      <c r="C277" s="90"/>
      <c r="D277" s="52"/>
      <c r="E277" s="9"/>
      <c r="F277" s="88"/>
      <c r="G277" s="12"/>
      <c r="H277" s="12"/>
      <c r="I277" s="12"/>
      <c r="J277" s="12"/>
    </row>
    <row r="278" spans="1:10">
      <c r="A278" s="88"/>
      <c r="B278" s="12"/>
      <c r="C278" s="90"/>
      <c r="D278" s="52"/>
      <c r="E278" s="9"/>
      <c r="F278" s="88"/>
      <c r="G278" s="12"/>
      <c r="H278" s="12"/>
      <c r="I278" s="12"/>
      <c r="J278" s="12"/>
    </row>
    <row r="279" spans="1:10">
      <c r="A279" s="88"/>
      <c r="B279" s="12"/>
      <c r="C279" s="90"/>
      <c r="D279" s="52"/>
      <c r="E279" s="9"/>
      <c r="F279" s="88"/>
      <c r="G279" s="12"/>
      <c r="H279" s="12"/>
      <c r="I279" s="12"/>
      <c r="J279" s="12"/>
    </row>
    <row r="280" spans="1:10">
      <c r="A280" s="88"/>
      <c r="B280" s="12"/>
      <c r="C280" s="90"/>
      <c r="D280" s="52"/>
      <c r="E280" s="9"/>
      <c r="F280" s="88"/>
      <c r="G280" s="12"/>
      <c r="H280" s="12"/>
      <c r="I280" s="12"/>
      <c r="J280" s="12"/>
    </row>
    <row r="281" spans="1:10">
      <c r="A281" s="88"/>
      <c r="B281" s="12"/>
      <c r="C281" s="90"/>
      <c r="D281" s="52"/>
      <c r="E281" s="9"/>
      <c r="F281" s="88"/>
      <c r="G281" s="12"/>
      <c r="H281" s="12"/>
      <c r="I281" s="12"/>
      <c r="J281" s="12"/>
    </row>
    <row r="282" spans="1:10">
      <c r="A282" s="88"/>
      <c r="B282" s="12"/>
      <c r="C282" s="90"/>
      <c r="D282" s="52"/>
      <c r="E282" s="9"/>
      <c r="F282" s="88"/>
      <c r="G282" s="12"/>
      <c r="H282" s="12"/>
      <c r="I282" s="12"/>
      <c r="J282" s="12"/>
    </row>
    <row r="283" spans="1:10">
      <c r="A283" s="88"/>
      <c r="B283" s="12"/>
      <c r="C283" s="90"/>
      <c r="D283" s="52"/>
      <c r="E283" s="9"/>
      <c r="F283" s="88"/>
      <c r="G283" s="12"/>
      <c r="H283" s="12"/>
      <c r="I283" s="12"/>
      <c r="J283" s="12"/>
    </row>
    <row r="284" spans="1:10">
      <c r="A284" s="88"/>
      <c r="B284" s="12"/>
      <c r="C284" s="90"/>
      <c r="D284" s="52"/>
      <c r="E284" s="9"/>
      <c r="F284" s="88"/>
      <c r="G284" s="12"/>
      <c r="H284" s="12"/>
      <c r="I284" s="12"/>
      <c r="J284" s="12"/>
    </row>
    <row r="285" spans="1:10">
      <c r="A285" s="88"/>
      <c r="B285" s="12"/>
      <c r="C285" s="90"/>
      <c r="D285" s="52"/>
      <c r="E285" s="9"/>
      <c r="F285" s="88"/>
      <c r="G285" s="12"/>
      <c r="H285" s="12"/>
      <c r="I285" s="12"/>
      <c r="J285" s="12"/>
    </row>
    <row r="286" spans="1:10">
      <c r="A286" s="88"/>
      <c r="B286" s="12"/>
      <c r="C286" s="90"/>
      <c r="D286" s="52"/>
      <c r="E286" s="9"/>
      <c r="F286" s="88"/>
      <c r="G286" s="12"/>
      <c r="H286" s="12"/>
      <c r="I286" s="12"/>
      <c r="J286" s="12"/>
    </row>
    <row r="287" spans="1:10">
      <c r="A287" s="88"/>
      <c r="B287" s="12"/>
      <c r="C287" s="90"/>
      <c r="D287" s="52"/>
      <c r="E287" s="9"/>
      <c r="F287" s="88"/>
      <c r="G287" s="12"/>
      <c r="H287" s="12"/>
      <c r="I287" s="12"/>
      <c r="J287" s="12"/>
    </row>
    <row r="288" spans="1:10">
      <c r="A288" s="88"/>
      <c r="B288" s="12"/>
      <c r="C288" s="90"/>
      <c r="D288" s="52"/>
      <c r="E288" s="9"/>
      <c r="F288" s="88"/>
      <c r="G288" s="12"/>
      <c r="H288" s="12"/>
      <c r="I288" s="12"/>
      <c r="J288" s="12"/>
    </row>
    <row r="289" spans="1:10">
      <c r="A289" s="88"/>
      <c r="B289" s="12"/>
      <c r="C289" s="90"/>
      <c r="D289" s="52"/>
      <c r="E289" s="9"/>
      <c r="F289" s="88"/>
      <c r="G289" s="12"/>
      <c r="H289" s="12"/>
      <c r="I289" s="12"/>
      <c r="J289" s="12"/>
    </row>
    <row r="290" spans="1:10">
      <c r="A290" s="88"/>
      <c r="B290" s="12"/>
      <c r="C290" s="90"/>
      <c r="D290" s="52"/>
      <c r="E290" s="9"/>
      <c r="F290" s="88"/>
      <c r="G290" s="12"/>
      <c r="H290" s="12"/>
      <c r="I290" s="12"/>
      <c r="J290" s="12"/>
    </row>
    <row r="291" spans="1:10">
      <c r="A291" s="88"/>
      <c r="B291" s="12"/>
      <c r="C291" s="88"/>
      <c r="D291" s="52"/>
      <c r="E291" s="9"/>
      <c r="F291" s="88"/>
      <c r="G291" s="12"/>
      <c r="H291" s="12"/>
      <c r="I291" s="12"/>
      <c r="J291" s="12"/>
    </row>
    <row r="292" spans="1:10">
      <c r="A292" s="88"/>
      <c r="B292" s="12"/>
      <c r="C292" s="88"/>
      <c r="D292" s="52"/>
      <c r="E292" s="9"/>
      <c r="F292" s="88"/>
      <c r="G292" s="12"/>
      <c r="H292" s="12"/>
      <c r="I292" s="12"/>
      <c r="J292" s="12"/>
    </row>
    <row r="293" spans="1:10">
      <c r="A293" s="88"/>
      <c r="B293" s="12"/>
      <c r="C293" s="88"/>
      <c r="D293" s="52"/>
      <c r="E293" s="9"/>
      <c r="F293" s="88"/>
      <c r="G293" s="12"/>
      <c r="H293" s="12"/>
      <c r="I293" s="12"/>
      <c r="J293" s="12"/>
    </row>
    <row r="294" spans="1:10">
      <c r="A294" s="88"/>
      <c r="B294" s="12"/>
      <c r="C294" s="88"/>
      <c r="D294" s="52"/>
      <c r="E294" s="9"/>
      <c r="F294" s="88"/>
      <c r="G294" s="12"/>
      <c r="H294" s="12"/>
      <c r="I294" s="12"/>
      <c r="J294" s="12"/>
    </row>
    <row r="295" spans="1:10">
      <c r="A295" s="88"/>
      <c r="B295" s="12"/>
      <c r="C295" s="88"/>
      <c r="D295" s="52"/>
      <c r="E295" s="9"/>
      <c r="F295" s="88"/>
      <c r="G295" s="12"/>
      <c r="H295" s="12"/>
      <c r="I295" s="12"/>
      <c r="J295" s="12"/>
    </row>
    <row r="296" spans="1:10">
      <c r="A296" s="88"/>
      <c r="B296" s="12"/>
      <c r="C296" s="88"/>
      <c r="D296" s="52"/>
      <c r="E296" s="9"/>
      <c r="F296" s="88"/>
      <c r="G296" s="12"/>
      <c r="H296" s="12"/>
      <c r="I296" s="12"/>
      <c r="J296" s="12"/>
    </row>
    <row r="297" spans="1:10">
      <c r="A297" s="88"/>
      <c r="B297" s="12"/>
      <c r="C297" s="88"/>
      <c r="D297" s="52"/>
      <c r="E297" s="9"/>
      <c r="F297" s="88"/>
      <c r="G297" s="12"/>
      <c r="H297" s="12"/>
      <c r="I297" s="12"/>
      <c r="J297" s="12"/>
    </row>
    <row r="298" spans="1:10">
      <c r="A298" s="88"/>
      <c r="B298" s="12"/>
      <c r="C298" s="88"/>
      <c r="D298" s="52"/>
      <c r="E298" s="9"/>
      <c r="F298" s="88"/>
      <c r="G298" s="12"/>
      <c r="H298" s="12"/>
      <c r="I298" s="12"/>
      <c r="J298" s="12"/>
    </row>
    <row r="299" spans="1:10">
      <c r="A299" s="88"/>
      <c r="B299" s="12"/>
      <c r="C299" s="88"/>
      <c r="D299" s="52"/>
      <c r="E299" s="9"/>
      <c r="F299" s="88"/>
      <c r="G299" s="12"/>
      <c r="H299" s="12"/>
      <c r="I299" s="12"/>
      <c r="J299" s="12"/>
    </row>
    <row r="300" spans="1:10">
      <c r="A300" s="88"/>
      <c r="B300" s="12"/>
      <c r="C300" s="88"/>
      <c r="D300" s="52"/>
      <c r="E300" s="9"/>
      <c r="F300" s="88"/>
      <c r="G300" s="12"/>
      <c r="H300" s="12"/>
      <c r="I300" s="12"/>
      <c r="J300" s="12"/>
    </row>
    <row r="301" spans="1:10">
      <c r="A301" s="88"/>
      <c r="B301" s="12"/>
      <c r="C301" s="88"/>
      <c r="D301" s="52"/>
      <c r="E301" s="9"/>
      <c r="F301" s="88"/>
      <c r="G301" s="12"/>
      <c r="H301" s="12"/>
      <c r="I301" s="12"/>
      <c r="J301" s="12"/>
    </row>
    <row r="302" spans="1:10">
      <c r="A302" s="88"/>
      <c r="B302" s="12"/>
      <c r="C302" s="88"/>
      <c r="D302" s="52"/>
      <c r="E302" s="9"/>
      <c r="F302" s="88"/>
      <c r="G302" s="12"/>
      <c r="H302" s="12"/>
      <c r="I302" s="12"/>
      <c r="J302" s="12"/>
    </row>
    <row r="303" spans="1:10">
      <c r="A303" s="88"/>
      <c r="B303" s="12"/>
      <c r="C303" s="88"/>
      <c r="D303" s="52"/>
      <c r="E303" s="9"/>
      <c r="F303" s="88"/>
      <c r="G303" s="12"/>
      <c r="H303" s="12"/>
      <c r="I303" s="12"/>
      <c r="J303" s="12"/>
    </row>
    <row r="304" spans="1:10">
      <c r="A304" s="88"/>
      <c r="B304" s="12"/>
      <c r="C304" s="88"/>
      <c r="D304" s="52"/>
      <c r="E304" s="9"/>
      <c r="F304" s="88"/>
      <c r="G304" s="12"/>
      <c r="H304" s="12"/>
      <c r="I304" s="12"/>
      <c r="J304" s="12"/>
    </row>
    <row r="305" spans="1:10">
      <c r="A305" s="88"/>
      <c r="B305" s="12"/>
      <c r="C305" s="88"/>
      <c r="D305" s="52"/>
      <c r="E305" s="9"/>
      <c r="F305" s="88"/>
      <c r="G305" s="12"/>
      <c r="H305" s="12"/>
      <c r="I305" s="12"/>
      <c r="J305" s="12"/>
    </row>
    <row r="306" spans="1:10">
      <c r="A306" s="88"/>
      <c r="B306" s="12"/>
      <c r="C306" s="88"/>
      <c r="D306" s="52"/>
      <c r="E306" s="9"/>
      <c r="F306" s="88"/>
      <c r="G306" s="12"/>
      <c r="H306" s="12"/>
      <c r="I306" s="12"/>
      <c r="J306" s="12"/>
    </row>
    <row r="307" spans="1:10">
      <c r="A307" s="88"/>
      <c r="B307" s="12"/>
      <c r="C307" s="88"/>
      <c r="D307" s="52"/>
      <c r="E307" s="9"/>
      <c r="F307" s="88"/>
      <c r="G307" s="12"/>
      <c r="H307" s="12"/>
      <c r="I307" s="12"/>
      <c r="J307" s="12"/>
    </row>
    <row r="308" spans="1:10">
      <c r="A308" s="88"/>
      <c r="B308" s="12"/>
      <c r="C308" s="88"/>
      <c r="D308" s="52"/>
      <c r="E308" s="9"/>
      <c r="F308" s="88"/>
      <c r="G308" s="12"/>
      <c r="H308" s="12"/>
      <c r="I308" s="12"/>
      <c r="J308" s="12"/>
    </row>
    <row r="309" spans="1:10">
      <c r="A309" s="88"/>
      <c r="B309" s="12"/>
      <c r="C309" s="88"/>
      <c r="D309" s="52"/>
      <c r="E309" s="9"/>
      <c r="F309" s="88"/>
      <c r="G309" s="12"/>
      <c r="H309" s="12"/>
      <c r="I309" s="12"/>
      <c r="J309" s="12"/>
    </row>
    <row r="310" spans="1:10">
      <c r="A310" s="88"/>
      <c r="B310" s="12"/>
      <c r="C310" s="88"/>
      <c r="D310" s="52"/>
      <c r="E310" s="9"/>
      <c r="F310" s="88"/>
      <c r="G310" s="12"/>
      <c r="H310" s="12"/>
      <c r="I310" s="12"/>
      <c r="J310" s="12"/>
    </row>
    <row r="311" spans="1:10">
      <c r="A311" s="88"/>
      <c r="B311" s="12"/>
      <c r="C311" s="88"/>
      <c r="D311" s="52"/>
      <c r="E311" s="9"/>
      <c r="F311" s="88"/>
      <c r="G311" s="12"/>
      <c r="H311" s="12"/>
      <c r="I311" s="12"/>
      <c r="J311" s="12"/>
    </row>
    <row r="312" spans="1:10">
      <c r="A312" s="88"/>
      <c r="B312" s="12"/>
      <c r="C312" s="88"/>
      <c r="D312" s="52"/>
      <c r="E312" s="9"/>
      <c r="F312" s="88"/>
      <c r="G312" s="12"/>
      <c r="H312" s="12"/>
      <c r="I312" s="12"/>
      <c r="J312" s="12"/>
    </row>
    <row r="313" spans="1:10">
      <c r="A313" s="88"/>
      <c r="B313" s="12"/>
      <c r="C313" s="88"/>
      <c r="D313" s="52"/>
      <c r="E313" s="9"/>
      <c r="F313" s="88"/>
      <c r="G313" s="12"/>
      <c r="H313" s="12"/>
      <c r="I313" s="12"/>
      <c r="J313" s="12"/>
    </row>
    <row r="314" spans="1:10">
      <c r="A314" s="88"/>
      <c r="B314" s="12"/>
      <c r="C314" s="88"/>
      <c r="D314" s="52"/>
      <c r="E314" s="9"/>
      <c r="F314" s="88"/>
      <c r="G314" s="12"/>
      <c r="H314" s="12"/>
      <c r="I314" s="12"/>
      <c r="J314" s="12"/>
    </row>
    <row r="315" spans="1:10">
      <c r="A315" s="88"/>
      <c r="B315" s="12"/>
      <c r="C315" s="88"/>
      <c r="D315" s="52"/>
      <c r="E315" s="9"/>
      <c r="F315" s="88"/>
      <c r="G315" s="12"/>
      <c r="H315" s="12"/>
      <c r="I315" s="12"/>
      <c r="J315" s="12"/>
    </row>
    <row r="316" spans="1:10">
      <c r="A316" s="88"/>
      <c r="B316" s="12"/>
      <c r="C316" s="88"/>
      <c r="D316" s="52"/>
      <c r="E316" s="9"/>
      <c r="F316" s="88"/>
      <c r="G316" s="12"/>
      <c r="H316" s="12"/>
      <c r="I316" s="12"/>
      <c r="J316" s="12"/>
    </row>
    <row r="317" spans="1:10">
      <c r="A317" s="88"/>
      <c r="B317" s="12"/>
      <c r="C317" s="88"/>
      <c r="D317" s="52"/>
      <c r="E317" s="9"/>
      <c r="F317" s="88"/>
      <c r="G317" s="12"/>
      <c r="H317" s="12"/>
      <c r="I317" s="12"/>
      <c r="J317" s="12"/>
    </row>
    <row r="318" spans="1:10">
      <c r="A318" s="88"/>
      <c r="B318" s="12"/>
      <c r="C318" s="88"/>
      <c r="D318" s="52"/>
      <c r="E318" s="9"/>
      <c r="F318" s="88"/>
      <c r="G318" s="12"/>
      <c r="H318" s="12"/>
      <c r="I318" s="12"/>
      <c r="J318" s="12"/>
    </row>
    <row r="319" spans="1:10">
      <c r="A319" s="88"/>
      <c r="B319" s="12"/>
      <c r="C319" s="88"/>
      <c r="D319" s="52"/>
      <c r="E319" s="9"/>
      <c r="F319" s="88"/>
      <c r="G319" s="12"/>
      <c r="H319" s="12"/>
      <c r="I319" s="12"/>
      <c r="J319" s="12"/>
    </row>
    <row r="320" spans="1:10">
      <c r="A320" s="88"/>
      <c r="B320" s="12"/>
      <c r="C320" s="88"/>
      <c r="D320" s="52"/>
      <c r="E320" s="9"/>
      <c r="F320" s="88"/>
      <c r="G320" s="12"/>
      <c r="H320" s="12"/>
      <c r="I320" s="12"/>
      <c r="J320" s="12"/>
    </row>
    <row r="321" spans="1:10">
      <c r="A321" s="88"/>
      <c r="B321" s="12"/>
      <c r="C321" s="88"/>
      <c r="D321" s="52"/>
      <c r="E321" s="9"/>
      <c r="F321" s="88"/>
      <c r="G321" s="12"/>
      <c r="H321" s="12"/>
      <c r="I321" s="12"/>
      <c r="J321" s="12"/>
    </row>
    <row r="322" spans="1:10">
      <c r="A322" s="88"/>
      <c r="B322" s="12"/>
      <c r="C322" s="88"/>
      <c r="D322" s="52"/>
      <c r="E322" s="9"/>
      <c r="F322" s="88"/>
      <c r="G322" s="12"/>
      <c r="H322" s="12"/>
      <c r="I322" s="12"/>
      <c r="J322" s="12"/>
    </row>
    <row r="323" spans="1:10">
      <c r="A323" s="88"/>
      <c r="B323" s="12"/>
      <c r="C323" s="88"/>
      <c r="D323" s="52"/>
      <c r="E323" s="9"/>
      <c r="F323" s="88"/>
      <c r="G323" s="12"/>
      <c r="H323" s="12"/>
      <c r="I323" s="12"/>
      <c r="J323" s="12"/>
    </row>
    <row r="324" spans="1:10">
      <c r="A324" s="88"/>
      <c r="B324" s="12"/>
      <c r="C324" s="88"/>
      <c r="D324" s="52"/>
      <c r="E324" s="9"/>
      <c r="F324" s="88"/>
      <c r="G324" s="12"/>
      <c r="H324" s="12"/>
      <c r="I324" s="12"/>
      <c r="J324" s="12"/>
    </row>
    <row r="325" spans="1:10">
      <c r="A325" s="88"/>
      <c r="B325" s="12"/>
      <c r="C325" s="88"/>
      <c r="D325" s="52"/>
      <c r="E325" s="9"/>
      <c r="F325" s="88"/>
      <c r="G325" s="12"/>
      <c r="H325" s="12"/>
      <c r="I325" s="12"/>
      <c r="J325" s="12"/>
    </row>
    <row r="326" spans="1:10">
      <c r="A326" s="88"/>
      <c r="B326" s="12"/>
      <c r="C326" s="88"/>
      <c r="D326" s="52"/>
      <c r="E326" s="9"/>
      <c r="F326" s="88"/>
      <c r="G326" s="12"/>
      <c r="H326" s="12"/>
      <c r="I326" s="12"/>
      <c r="J326" s="12"/>
    </row>
    <row r="327" spans="1:10">
      <c r="A327" s="88"/>
      <c r="B327" s="12"/>
      <c r="C327" s="88"/>
      <c r="D327" s="52"/>
      <c r="E327" s="9"/>
      <c r="F327" s="88"/>
      <c r="G327" s="12"/>
      <c r="H327" s="12"/>
      <c r="I327" s="12"/>
      <c r="J327" s="12"/>
    </row>
    <row r="328" spans="1:10">
      <c r="A328" s="88"/>
      <c r="B328" s="12"/>
      <c r="C328" s="88"/>
      <c r="D328" s="52"/>
      <c r="E328" s="9"/>
      <c r="F328" s="88"/>
      <c r="G328" s="12"/>
      <c r="H328" s="12"/>
      <c r="I328" s="12"/>
      <c r="J328" s="12"/>
    </row>
    <row r="329" spans="1:10">
      <c r="A329" s="88"/>
      <c r="B329" s="12"/>
      <c r="C329" s="88"/>
      <c r="D329" s="52"/>
      <c r="E329" s="9"/>
      <c r="F329" s="88"/>
      <c r="G329" s="12"/>
      <c r="H329" s="12"/>
      <c r="I329" s="12"/>
      <c r="J329" s="12"/>
    </row>
    <row r="330" spans="1:10">
      <c r="A330" s="88"/>
      <c r="B330" s="12"/>
      <c r="C330" s="88"/>
      <c r="D330" s="52"/>
      <c r="E330" s="9"/>
      <c r="F330" s="88"/>
      <c r="G330" s="12"/>
      <c r="H330" s="12"/>
      <c r="I330" s="12"/>
      <c r="J330" s="12"/>
    </row>
    <row r="331" spans="1:10">
      <c r="A331" s="88"/>
      <c r="B331" s="12"/>
      <c r="C331" s="88"/>
      <c r="D331" s="52"/>
      <c r="E331" s="9"/>
      <c r="F331" s="88"/>
      <c r="G331" s="12"/>
      <c r="H331" s="12"/>
      <c r="I331" s="12"/>
      <c r="J331" s="12"/>
    </row>
    <row r="332" spans="1:10">
      <c r="A332" s="88"/>
      <c r="B332" s="12"/>
      <c r="C332" s="88"/>
      <c r="D332" s="52"/>
      <c r="E332" s="9"/>
      <c r="F332" s="88"/>
      <c r="G332" s="12"/>
      <c r="H332" s="12"/>
      <c r="I332" s="12"/>
      <c r="J332" s="12"/>
    </row>
    <row r="333" spans="1:10">
      <c r="A333" s="88"/>
      <c r="B333" s="12"/>
      <c r="C333" s="88"/>
      <c r="D333" s="52"/>
      <c r="E333" s="9"/>
      <c r="F333" s="88"/>
      <c r="G333" s="12"/>
      <c r="H333" s="12"/>
      <c r="I333" s="12"/>
      <c r="J333" s="12"/>
    </row>
    <row r="334" spans="1:10">
      <c r="A334" s="88"/>
      <c r="B334" s="12"/>
      <c r="C334" s="88"/>
      <c r="D334" s="52"/>
      <c r="E334" s="9"/>
      <c r="F334" s="88"/>
      <c r="G334" s="12"/>
      <c r="H334" s="12"/>
      <c r="I334" s="12"/>
      <c r="J334" s="12"/>
    </row>
    <row r="335" spans="1:10">
      <c r="A335" s="88"/>
      <c r="B335" s="12"/>
      <c r="C335" s="88"/>
      <c r="D335" s="52"/>
      <c r="E335" s="9"/>
      <c r="F335" s="88"/>
      <c r="G335" s="12"/>
      <c r="H335" s="12"/>
      <c r="I335" s="12"/>
      <c r="J335" s="12"/>
    </row>
    <row r="336" spans="1:10">
      <c r="A336" s="88"/>
      <c r="B336" s="12"/>
      <c r="C336" s="88"/>
      <c r="D336" s="52"/>
      <c r="E336" s="9"/>
      <c r="F336" s="88"/>
      <c r="G336" s="12"/>
      <c r="H336" s="12"/>
      <c r="I336" s="12"/>
      <c r="J336" s="12"/>
    </row>
    <row r="337" spans="1:10">
      <c r="A337" s="88"/>
      <c r="B337" s="12"/>
      <c r="C337" s="88"/>
      <c r="D337" s="52"/>
      <c r="E337" s="9"/>
      <c r="F337" s="88"/>
      <c r="G337" s="12"/>
      <c r="H337" s="12"/>
      <c r="I337" s="12"/>
      <c r="J337" s="12"/>
    </row>
    <row r="338" spans="1:10">
      <c r="A338" s="88"/>
      <c r="B338" s="12"/>
      <c r="C338" s="90"/>
      <c r="D338" s="52"/>
      <c r="E338" s="9"/>
      <c r="F338" s="88"/>
      <c r="G338" s="12"/>
      <c r="H338" s="12"/>
      <c r="I338" s="12"/>
      <c r="J338" s="12"/>
    </row>
    <row r="339" spans="1:10">
      <c r="A339" s="88"/>
      <c r="B339" s="12"/>
      <c r="C339" s="90"/>
      <c r="D339" s="52"/>
      <c r="E339" s="9"/>
      <c r="F339" s="88"/>
      <c r="G339" s="12"/>
      <c r="H339" s="12"/>
      <c r="I339" s="12"/>
      <c r="J339" s="12"/>
    </row>
    <row r="340" spans="1:10">
      <c r="A340" s="88"/>
      <c r="B340" s="12"/>
      <c r="C340" s="90"/>
      <c r="D340" s="52"/>
      <c r="E340" s="9"/>
      <c r="F340" s="88"/>
      <c r="G340" s="12"/>
      <c r="H340" s="12"/>
      <c r="I340" s="12"/>
      <c r="J340" s="12"/>
    </row>
    <row r="341" spans="1:10">
      <c r="A341" s="88"/>
      <c r="B341" s="12"/>
      <c r="C341" s="88"/>
      <c r="D341" s="52"/>
      <c r="E341" s="9"/>
      <c r="F341" s="88"/>
      <c r="G341" s="12"/>
      <c r="H341" s="12"/>
      <c r="I341" s="12"/>
      <c r="J341" s="12"/>
    </row>
    <row r="342" spans="1:10">
      <c r="A342" s="88"/>
      <c r="B342" s="12"/>
      <c r="C342" s="88"/>
      <c r="D342" s="52"/>
      <c r="E342" s="9"/>
      <c r="F342" s="88"/>
      <c r="G342" s="12"/>
      <c r="H342" s="12"/>
      <c r="I342" s="12"/>
      <c r="J342" s="12"/>
    </row>
    <row r="343" spans="1:10">
      <c r="A343" s="88"/>
      <c r="B343" s="12"/>
      <c r="C343" s="88"/>
      <c r="D343" s="52"/>
      <c r="E343" s="9"/>
      <c r="F343" s="88"/>
      <c r="G343" s="12"/>
      <c r="H343" s="12"/>
      <c r="I343" s="12"/>
      <c r="J343" s="12"/>
    </row>
    <row r="344" spans="1:10">
      <c r="A344" s="88"/>
      <c r="B344" s="12"/>
      <c r="C344" s="88"/>
      <c r="D344" s="52"/>
      <c r="E344" s="9"/>
      <c r="F344" s="88"/>
      <c r="G344" s="12"/>
      <c r="H344" s="12"/>
      <c r="I344" s="12"/>
      <c r="J344" s="12"/>
    </row>
    <row r="345" spans="1:10">
      <c r="A345" s="88"/>
      <c r="B345" s="12"/>
      <c r="C345" s="88"/>
      <c r="D345" s="52"/>
      <c r="E345" s="9"/>
      <c r="F345" s="88"/>
      <c r="G345" s="12"/>
      <c r="H345" s="12"/>
      <c r="I345" s="12"/>
      <c r="J345" s="12"/>
    </row>
    <row r="346" spans="1:10">
      <c r="A346" s="88"/>
      <c r="B346" s="12"/>
      <c r="C346" s="88"/>
      <c r="D346" s="52"/>
      <c r="E346" s="9"/>
      <c r="F346" s="88"/>
      <c r="G346" s="12"/>
      <c r="H346" s="12"/>
      <c r="I346" s="12"/>
      <c r="J346" s="12"/>
    </row>
    <row r="347" spans="1:10">
      <c r="A347" s="88"/>
      <c r="B347" s="12"/>
      <c r="C347" s="88"/>
      <c r="D347" s="52"/>
      <c r="E347" s="9"/>
      <c r="F347" s="88"/>
      <c r="G347" s="12"/>
      <c r="H347" s="12"/>
      <c r="I347" s="12"/>
      <c r="J347" s="12"/>
    </row>
    <row r="348" spans="1:10">
      <c r="A348" s="88"/>
      <c r="B348" s="12"/>
      <c r="C348" s="88"/>
      <c r="D348" s="52"/>
      <c r="E348" s="9"/>
      <c r="F348" s="88"/>
      <c r="G348" s="12"/>
      <c r="H348" s="12"/>
      <c r="I348" s="12"/>
      <c r="J348" s="12"/>
    </row>
    <row r="349" spans="1:10">
      <c r="A349" s="88"/>
      <c r="B349" s="12"/>
      <c r="C349" s="88"/>
      <c r="D349" s="52"/>
      <c r="E349" s="9"/>
      <c r="F349" s="88"/>
      <c r="G349" s="12"/>
      <c r="H349" s="12"/>
      <c r="I349" s="12"/>
      <c r="J349" s="12"/>
    </row>
    <row r="350" spans="1:10">
      <c r="A350" s="88"/>
      <c r="B350" s="12"/>
      <c r="C350" s="88"/>
      <c r="D350" s="52"/>
      <c r="E350" s="9"/>
      <c r="F350" s="88"/>
      <c r="G350" s="12"/>
      <c r="H350" s="12"/>
      <c r="I350" s="12"/>
      <c r="J350" s="12"/>
    </row>
    <row r="351" spans="1:10">
      <c r="A351" s="88"/>
      <c r="B351" s="12"/>
      <c r="C351" s="88"/>
      <c r="D351" s="52"/>
      <c r="E351" s="9"/>
      <c r="F351" s="88"/>
      <c r="G351" s="12"/>
      <c r="H351" s="12"/>
      <c r="I351" s="12"/>
      <c r="J351" s="12"/>
    </row>
    <row r="352" spans="1:10">
      <c r="A352" s="88"/>
      <c r="B352" s="12"/>
      <c r="C352" s="88"/>
      <c r="D352" s="52"/>
      <c r="E352" s="9"/>
      <c r="F352" s="88"/>
      <c r="G352" s="12"/>
      <c r="H352" s="12"/>
      <c r="I352" s="12"/>
      <c r="J352" s="12"/>
    </row>
    <row r="353" spans="1:10">
      <c r="A353" s="88"/>
      <c r="B353" s="12"/>
      <c r="C353" s="88"/>
      <c r="D353" s="52"/>
      <c r="E353" s="9"/>
      <c r="F353" s="88"/>
      <c r="G353" s="12"/>
      <c r="H353" s="12"/>
      <c r="I353" s="12"/>
      <c r="J353" s="12"/>
    </row>
    <row r="354" spans="1:10">
      <c r="A354" s="88"/>
      <c r="B354" s="12"/>
      <c r="C354" s="88"/>
      <c r="D354" s="52"/>
      <c r="E354" s="9"/>
      <c r="F354" s="88"/>
      <c r="G354" s="12"/>
      <c r="H354" s="12"/>
      <c r="I354" s="12"/>
      <c r="J354" s="12"/>
    </row>
    <row r="355" spans="1:10">
      <c r="A355" s="88"/>
      <c r="B355" s="12"/>
      <c r="C355" s="88"/>
      <c r="D355" s="52"/>
      <c r="E355" s="9"/>
      <c r="F355" s="88"/>
      <c r="G355" s="12"/>
      <c r="H355" s="12"/>
      <c r="I355" s="12"/>
      <c r="J355" s="12"/>
    </row>
    <row r="356" spans="1:10">
      <c r="A356" s="88"/>
      <c r="B356" s="12"/>
      <c r="C356" s="88"/>
      <c r="D356" s="52"/>
      <c r="E356" s="9"/>
      <c r="F356" s="88"/>
      <c r="G356" s="12"/>
      <c r="H356" s="12"/>
      <c r="I356" s="12"/>
      <c r="J356" s="12"/>
    </row>
    <row r="357" spans="1:10">
      <c r="A357" s="88"/>
      <c r="B357" s="12"/>
      <c r="C357" s="88"/>
      <c r="D357" s="52"/>
      <c r="E357" s="9"/>
      <c r="F357" s="88"/>
      <c r="G357" s="12"/>
      <c r="H357" s="12"/>
      <c r="I357" s="12"/>
      <c r="J357" s="12"/>
    </row>
    <row r="358" spans="1:10">
      <c r="A358" s="88"/>
      <c r="B358" s="12"/>
      <c r="C358" s="88"/>
      <c r="D358" s="52"/>
      <c r="E358" s="9"/>
      <c r="F358" s="88"/>
      <c r="G358" s="12"/>
      <c r="H358" s="12"/>
      <c r="I358" s="12"/>
      <c r="J358" s="12"/>
    </row>
    <row r="359" spans="1:10">
      <c r="A359" s="88"/>
      <c r="B359" s="12"/>
      <c r="C359" s="88"/>
      <c r="D359" s="52"/>
      <c r="E359" s="9"/>
      <c r="F359" s="88"/>
      <c r="G359" s="12"/>
      <c r="H359" s="12"/>
      <c r="I359" s="12"/>
      <c r="J359" s="12"/>
    </row>
    <row r="360" spans="1:10">
      <c r="A360" s="88"/>
      <c r="B360" s="12"/>
      <c r="C360" s="88"/>
      <c r="D360" s="52"/>
      <c r="E360" s="9"/>
      <c r="F360" s="88"/>
      <c r="G360" s="12"/>
      <c r="H360" s="12"/>
      <c r="I360" s="12"/>
      <c r="J360" s="12"/>
    </row>
    <row r="361" spans="1:10">
      <c r="A361" s="88"/>
      <c r="B361" s="12"/>
      <c r="C361" s="88"/>
      <c r="D361" s="52"/>
      <c r="E361" s="9"/>
      <c r="F361" s="88"/>
      <c r="G361" s="12"/>
      <c r="H361" s="12"/>
      <c r="I361" s="12"/>
      <c r="J361" s="12"/>
    </row>
    <row r="362" spans="1:10">
      <c r="A362" s="88"/>
      <c r="B362" s="12"/>
      <c r="C362" s="88"/>
      <c r="D362" s="52"/>
      <c r="E362" s="9"/>
      <c r="F362" s="88"/>
      <c r="G362" s="12"/>
      <c r="H362" s="12"/>
      <c r="I362" s="12"/>
      <c r="J362" s="12"/>
    </row>
    <row r="363" spans="1:10">
      <c r="A363" s="88"/>
      <c r="B363" s="12"/>
      <c r="C363" s="88"/>
      <c r="D363" s="52"/>
      <c r="E363" s="9"/>
      <c r="F363" s="88"/>
      <c r="G363" s="12"/>
      <c r="H363" s="12"/>
      <c r="I363" s="12"/>
      <c r="J363" s="12"/>
    </row>
    <row r="364" spans="1:10">
      <c r="A364" s="88"/>
      <c r="B364" s="12"/>
      <c r="C364" s="88"/>
      <c r="D364" s="52"/>
      <c r="E364" s="9"/>
      <c r="F364" s="88"/>
      <c r="G364" s="12"/>
      <c r="H364" s="12"/>
      <c r="I364" s="12"/>
      <c r="J364" s="12"/>
    </row>
    <row r="365" spans="1:10">
      <c r="A365" s="88"/>
      <c r="B365" s="12"/>
      <c r="C365" s="88"/>
      <c r="D365" s="52"/>
      <c r="E365" s="9"/>
      <c r="F365" s="88"/>
      <c r="G365" s="12"/>
      <c r="H365" s="12"/>
      <c r="I365" s="12"/>
      <c r="J365" s="12"/>
    </row>
    <row r="366" spans="1:10">
      <c r="A366" s="88"/>
      <c r="B366" s="12"/>
      <c r="C366" s="88"/>
      <c r="D366" s="52"/>
      <c r="E366" s="9"/>
      <c r="F366" s="88"/>
      <c r="G366" s="12"/>
      <c r="H366" s="12"/>
      <c r="I366" s="12"/>
      <c r="J366" s="12"/>
    </row>
    <row r="367" spans="1:10">
      <c r="A367" s="88"/>
      <c r="B367" s="12"/>
      <c r="C367" s="88"/>
      <c r="D367" s="52"/>
      <c r="E367" s="9"/>
      <c r="F367" s="88"/>
      <c r="G367" s="12"/>
      <c r="H367" s="12"/>
      <c r="I367" s="12"/>
      <c r="J367" s="12"/>
    </row>
    <row r="368" spans="1:10">
      <c r="A368" s="88"/>
      <c r="B368" s="12"/>
      <c r="C368" s="88"/>
      <c r="D368" s="52"/>
      <c r="E368" s="9"/>
      <c r="F368" s="88"/>
      <c r="G368" s="12"/>
      <c r="H368" s="12"/>
      <c r="I368" s="12"/>
      <c r="J368" s="12"/>
    </row>
    <row r="369" spans="1:10">
      <c r="A369" s="88"/>
      <c r="B369" s="12"/>
      <c r="C369" s="88"/>
      <c r="D369" s="52"/>
      <c r="E369" s="9"/>
      <c r="F369" s="88"/>
      <c r="G369" s="12"/>
      <c r="H369" s="12"/>
      <c r="I369" s="12"/>
      <c r="J369" s="12"/>
    </row>
    <row r="370" spans="1:10">
      <c r="A370" s="88"/>
      <c r="B370" s="12"/>
      <c r="C370" s="88"/>
      <c r="D370" s="52"/>
      <c r="E370" s="9"/>
      <c r="F370" s="88"/>
      <c r="G370" s="12"/>
      <c r="H370" s="12"/>
      <c r="I370" s="12"/>
      <c r="J370" s="12"/>
    </row>
    <row r="371" spans="1:10">
      <c r="A371" s="88"/>
      <c r="B371" s="12"/>
      <c r="C371" s="88"/>
      <c r="D371" s="52"/>
      <c r="E371" s="9"/>
      <c r="F371" s="88"/>
      <c r="G371" s="12"/>
      <c r="H371" s="12"/>
      <c r="I371" s="12"/>
      <c r="J371" s="12"/>
    </row>
    <row r="372" spans="1:10">
      <c r="A372" s="88"/>
      <c r="B372" s="12"/>
      <c r="C372" s="88"/>
      <c r="D372" s="52"/>
      <c r="E372" s="9"/>
      <c r="F372" s="88"/>
      <c r="G372" s="12"/>
      <c r="H372" s="12"/>
      <c r="I372" s="12"/>
      <c r="J372" s="12"/>
    </row>
    <row r="373" spans="1:10">
      <c r="A373" s="88"/>
      <c r="B373" s="12"/>
      <c r="C373" s="88"/>
      <c r="D373" s="52"/>
      <c r="E373" s="9"/>
      <c r="F373" s="88"/>
      <c r="G373" s="12"/>
      <c r="H373" s="12"/>
      <c r="I373" s="12"/>
      <c r="J373" s="12"/>
    </row>
    <row r="374" spans="1:10">
      <c r="A374" s="88"/>
      <c r="B374" s="12"/>
      <c r="C374" s="88"/>
      <c r="D374" s="52"/>
      <c r="E374" s="9"/>
      <c r="F374" s="88"/>
      <c r="G374" s="12"/>
      <c r="H374" s="12"/>
      <c r="I374" s="12"/>
      <c r="J374" s="12"/>
    </row>
    <row r="375" spans="1:10">
      <c r="A375" s="88"/>
      <c r="B375" s="12"/>
      <c r="C375" s="88"/>
      <c r="D375" s="52"/>
      <c r="E375" s="9"/>
      <c r="F375" s="88"/>
      <c r="G375" s="12"/>
      <c r="H375" s="12"/>
      <c r="I375" s="12"/>
      <c r="J375" s="12"/>
    </row>
    <row r="376" spans="1:10">
      <c r="A376" s="88"/>
      <c r="B376" s="12"/>
      <c r="C376" s="88"/>
      <c r="D376" s="52"/>
      <c r="E376" s="9"/>
      <c r="F376" s="88"/>
      <c r="G376" s="12"/>
      <c r="H376" s="12"/>
      <c r="I376" s="12"/>
      <c r="J376" s="12"/>
    </row>
    <row r="377" spans="1:10">
      <c r="A377" s="88"/>
      <c r="B377" s="12"/>
      <c r="C377" s="88"/>
      <c r="D377" s="52"/>
      <c r="E377" s="9"/>
      <c r="F377" s="88"/>
      <c r="G377" s="12"/>
      <c r="H377" s="12"/>
      <c r="I377" s="12"/>
      <c r="J377" s="12"/>
    </row>
    <row r="378" spans="1:10">
      <c r="A378" s="88"/>
      <c r="B378" s="12"/>
      <c r="C378" s="88"/>
      <c r="D378" s="52"/>
      <c r="E378" s="9"/>
      <c r="F378" s="88"/>
      <c r="G378" s="12"/>
      <c r="H378" s="12"/>
      <c r="I378" s="12"/>
      <c r="J378" s="12"/>
    </row>
    <row r="379" spans="1:10">
      <c r="A379" s="88"/>
      <c r="B379" s="12"/>
      <c r="C379" s="88"/>
      <c r="D379" s="52"/>
      <c r="E379" s="9"/>
      <c r="F379" s="88"/>
      <c r="G379" s="12"/>
      <c r="H379" s="12"/>
      <c r="I379" s="12"/>
      <c r="J379" s="12"/>
    </row>
    <row r="380" spans="1:10">
      <c r="A380" s="88"/>
      <c r="B380" s="12"/>
      <c r="C380" s="88"/>
      <c r="D380" s="52"/>
      <c r="E380" s="9"/>
      <c r="F380" s="88"/>
      <c r="G380" s="12"/>
      <c r="H380" s="12"/>
      <c r="I380" s="12"/>
      <c r="J380" s="12"/>
    </row>
    <row r="381" spans="1:10">
      <c r="A381" s="88"/>
      <c r="B381" s="12"/>
      <c r="C381" s="88"/>
      <c r="D381" s="52"/>
      <c r="E381" s="9"/>
      <c r="F381" s="88"/>
      <c r="G381" s="12"/>
      <c r="H381" s="12"/>
      <c r="I381" s="12"/>
      <c r="J381" s="12"/>
    </row>
    <row r="382" spans="1:10">
      <c r="A382" s="88"/>
      <c r="B382" s="12"/>
      <c r="C382" s="88"/>
      <c r="D382" s="52"/>
      <c r="E382" s="9"/>
      <c r="F382" s="88"/>
      <c r="G382" s="12"/>
      <c r="H382" s="12"/>
      <c r="I382" s="12"/>
      <c r="J382" s="12"/>
    </row>
    <row r="383" spans="1:10">
      <c r="A383" s="88"/>
      <c r="B383" s="12"/>
      <c r="C383" s="88"/>
      <c r="D383" s="52"/>
      <c r="E383" s="9"/>
      <c r="F383" s="88"/>
      <c r="G383" s="12"/>
      <c r="H383" s="12"/>
      <c r="I383" s="12"/>
      <c r="J383" s="12"/>
    </row>
    <row r="384" spans="1:10">
      <c r="A384" s="88"/>
      <c r="B384" s="12"/>
      <c r="C384" s="88"/>
      <c r="D384" s="52"/>
      <c r="E384" s="9"/>
      <c r="F384" s="88"/>
      <c r="G384" s="12"/>
      <c r="H384" s="12"/>
      <c r="I384" s="12"/>
      <c r="J384" s="12"/>
    </row>
    <row r="385" spans="1:10">
      <c r="A385" s="88"/>
      <c r="B385" s="12"/>
      <c r="C385" s="88"/>
      <c r="D385" s="52"/>
      <c r="E385" s="9"/>
      <c r="F385" s="88"/>
      <c r="G385" s="12"/>
      <c r="H385" s="12"/>
      <c r="I385" s="12"/>
      <c r="J385" s="12"/>
    </row>
    <row r="386" spans="1:10">
      <c r="A386" s="88"/>
      <c r="B386" s="12"/>
      <c r="C386" s="90"/>
      <c r="D386" s="52"/>
      <c r="E386" s="9"/>
      <c r="F386" s="88"/>
      <c r="G386" s="12"/>
      <c r="H386" s="12"/>
      <c r="I386" s="12"/>
      <c r="J386" s="12"/>
    </row>
    <row r="387" spans="1:10">
      <c r="A387" s="88"/>
      <c r="B387" s="12"/>
      <c r="C387" s="90"/>
      <c r="D387" s="52"/>
      <c r="E387" s="9"/>
      <c r="F387" s="88"/>
      <c r="G387" s="12"/>
      <c r="H387" s="12"/>
      <c r="I387" s="12"/>
      <c r="J387" s="12"/>
    </row>
    <row r="388" spans="1:10">
      <c r="A388" s="88"/>
      <c r="B388" s="12"/>
      <c r="C388" s="90"/>
      <c r="D388" s="52"/>
      <c r="E388" s="9"/>
      <c r="F388" s="88"/>
      <c r="G388" s="12"/>
      <c r="H388" s="12"/>
      <c r="I388" s="12"/>
      <c r="J388" s="12"/>
    </row>
    <row r="389" spans="1:10">
      <c r="A389" s="88"/>
      <c r="B389" s="12"/>
      <c r="C389" s="90"/>
      <c r="D389" s="52"/>
      <c r="E389" s="9"/>
      <c r="F389" s="88"/>
      <c r="G389" s="12"/>
      <c r="H389" s="12"/>
      <c r="I389" s="12"/>
      <c r="J389" s="12"/>
    </row>
    <row r="390" spans="1:10">
      <c r="A390" s="88"/>
      <c r="B390" s="12"/>
      <c r="C390" s="90"/>
      <c r="D390" s="52"/>
      <c r="E390" s="9"/>
      <c r="F390" s="88"/>
      <c r="G390" s="12"/>
      <c r="H390" s="12"/>
      <c r="I390" s="12"/>
      <c r="J390" s="12"/>
    </row>
    <row r="391" spans="1:10">
      <c r="A391" s="88"/>
      <c r="B391" s="12"/>
      <c r="C391" s="90"/>
      <c r="D391" s="52"/>
      <c r="E391" s="9"/>
      <c r="F391" s="88"/>
      <c r="G391" s="12"/>
      <c r="H391" s="12"/>
      <c r="I391" s="12"/>
      <c r="J391" s="12"/>
    </row>
    <row r="392" spans="1:10">
      <c r="A392" s="88"/>
      <c r="B392" s="12"/>
      <c r="C392" s="90"/>
      <c r="D392" s="52"/>
      <c r="E392" s="9"/>
      <c r="F392" s="88"/>
      <c r="G392" s="12"/>
      <c r="H392" s="12"/>
      <c r="I392" s="12"/>
      <c r="J392" s="12"/>
    </row>
    <row r="393" spans="1:10">
      <c r="A393" s="88"/>
      <c r="B393" s="12"/>
      <c r="C393" s="90"/>
      <c r="D393" s="52"/>
      <c r="E393" s="9"/>
      <c r="F393" s="88"/>
      <c r="G393" s="12"/>
      <c r="H393" s="12"/>
      <c r="I393" s="12"/>
      <c r="J393" s="12"/>
    </row>
    <row r="394" spans="1:10">
      <c r="A394" s="87"/>
      <c r="B394" s="12"/>
      <c r="C394" s="89"/>
      <c r="D394" s="9"/>
      <c r="E394" s="87"/>
      <c r="F394" s="87"/>
      <c r="G394" s="93"/>
      <c r="H394" s="12"/>
      <c r="I394" s="12"/>
      <c r="J394" s="12"/>
    </row>
    <row r="395" spans="1:10">
      <c r="A395" s="87"/>
      <c r="B395" s="12"/>
      <c r="C395" s="89"/>
      <c r="D395" s="9"/>
      <c r="E395" s="96"/>
      <c r="F395" s="87"/>
      <c r="G395" s="93"/>
      <c r="H395" s="12"/>
      <c r="I395" s="12"/>
      <c r="J395" s="12"/>
    </row>
    <row r="396" spans="1:10">
      <c r="A396" s="87"/>
      <c r="B396" s="12"/>
      <c r="C396" s="89"/>
      <c r="D396" s="9"/>
      <c r="E396" s="87"/>
      <c r="F396" s="87"/>
      <c r="G396" s="93"/>
      <c r="H396" s="12"/>
      <c r="I396" s="12"/>
      <c r="J396" s="12"/>
    </row>
    <row r="397" spans="1:10">
      <c r="A397" s="87"/>
      <c r="B397" s="12"/>
      <c r="C397" s="89"/>
      <c r="D397" s="9"/>
      <c r="E397" s="90"/>
      <c r="F397" s="90"/>
      <c r="G397" s="94"/>
      <c r="H397" s="12"/>
      <c r="I397" s="12"/>
      <c r="J397" s="12"/>
    </row>
    <row r="398" spans="1:10">
      <c r="A398" s="87"/>
      <c r="B398" s="12"/>
      <c r="C398" s="89"/>
      <c r="D398" s="9"/>
      <c r="E398" s="90"/>
      <c r="F398" s="90"/>
      <c r="G398" s="94"/>
      <c r="H398" s="12"/>
      <c r="I398" s="12"/>
      <c r="J398" s="12"/>
    </row>
    <row r="399" spans="1:10">
      <c r="A399" s="87"/>
      <c r="B399" s="12"/>
      <c r="C399" s="89"/>
      <c r="D399" s="9"/>
      <c r="E399" s="90"/>
      <c r="F399" s="90"/>
      <c r="G399" s="94"/>
      <c r="H399" s="12"/>
      <c r="I399" s="12"/>
      <c r="J399" s="12"/>
    </row>
    <row r="400" spans="1:10">
      <c r="A400" s="87"/>
      <c r="B400" s="12"/>
      <c r="C400" s="89"/>
      <c r="D400" s="9"/>
      <c r="E400" s="90"/>
      <c r="F400" s="90"/>
      <c r="G400" s="94"/>
      <c r="H400" s="12"/>
      <c r="I400" s="12"/>
      <c r="J400" s="12"/>
    </row>
    <row r="401" spans="1:10">
      <c r="A401" s="87"/>
      <c r="B401" s="12"/>
      <c r="C401" s="89"/>
      <c r="D401" s="9"/>
      <c r="E401" s="90"/>
      <c r="F401" s="90"/>
      <c r="G401" s="94"/>
      <c r="H401" s="12"/>
      <c r="I401" s="12"/>
      <c r="J401" s="12"/>
    </row>
    <row r="402" spans="1:10">
      <c r="A402" s="87"/>
      <c r="B402" s="12"/>
      <c r="C402" s="89"/>
      <c r="D402" s="9"/>
      <c r="E402" s="90"/>
      <c r="F402" s="90"/>
      <c r="G402" s="94"/>
      <c r="H402" s="12"/>
      <c r="I402" s="12"/>
      <c r="J402" s="12"/>
    </row>
    <row r="403" spans="1:10">
      <c r="A403" s="87"/>
      <c r="B403" s="12"/>
      <c r="C403" s="89"/>
      <c r="D403" s="9"/>
      <c r="E403" s="90"/>
      <c r="F403" s="90"/>
      <c r="G403" s="94"/>
      <c r="H403" s="12"/>
      <c r="I403" s="12"/>
      <c r="J403" s="12"/>
    </row>
    <row r="404" spans="1:10">
      <c r="A404" s="87"/>
      <c r="B404" s="12"/>
      <c r="C404" s="89"/>
      <c r="D404" s="9"/>
      <c r="E404" s="90"/>
      <c r="F404" s="90"/>
      <c r="G404" s="94"/>
      <c r="H404" s="12"/>
      <c r="I404" s="12"/>
      <c r="J404" s="12"/>
    </row>
    <row r="405" spans="1:10">
      <c r="A405" s="87"/>
      <c r="B405" s="12"/>
      <c r="C405" s="89"/>
      <c r="D405" s="9"/>
      <c r="E405" s="90"/>
      <c r="F405" s="90"/>
      <c r="G405" s="94"/>
      <c r="H405" s="12"/>
      <c r="I405" s="12"/>
      <c r="J405" s="12"/>
    </row>
    <row r="406" spans="1:10">
      <c r="A406" s="87"/>
      <c r="B406" s="12"/>
      <c r="C406" s="89"/>
      <c r="D406" s="9"/>
      <c r="E406" s="90"/>
      <c r="F406" s="90"/>
      <c r="G406" s="94"/>
      <c r="H406" s="12"/>
      <c r="I406" s="12"/>
      <c r="J406" s="12"/>
    </row>
    <row r="407" spans="1:10">
      <c r="A407" s="87"/>
      <c r="B407" s="12"/>
      <c r="C407" s="89"/>
      <c r="D407" s="9"/>
      <c r="E407" s="90"/>
      <c r="F407" s="90"/>
      <c r="G407" s="94"/>
      <c r="H407" s="12"/>
      <c r="I407" s="12"/>
      <c r="J407" s="12"/>
    </row>
    <row r="408" spans="1:10">
      <c r="A408" s="87"/>
      <c r="B408" s="12"/>
      <c r="C408" s="89"/>
      <c r="D408" s="9"/>
      <c r="E408" s="90"/>
      <c r="F408" s="90"/>
      <c r="G408" s="94"/>
      <c r="H408" s="12"/>
      <c r="I408" s="12"/>
      <c r="J408" s="12"/>
    </row>
    <row r="409" spans="1:10">
      <c r="A409" s="87"/>
      <c r="B409" s="12"/>
      <c r="C409" s="89"/>
      <c r="D409" s="9"/>
      <c r="E409" s="90"/>
      <c r="F409" s="90"/>
      <c r="G409" s="94"/>
      <c r="H409" s="12"/>
      <c r="I409" s="12"/>
      <c r="J409" s="12"/>
    </row>
    <row r="410" spans="1:10">
      <c r="A410" s="88"/>
      <c r="B410" s="12"/>
      <c r="C410" s="88"/>
      <c r="D410" s="9"/>
      <c r="E410" s="88"/>
      <c r="F410" s="88"/>
      <c r="G410" s="95"/>
      <c r="H410" s="12"/>
      <c r="I410" s="12"/>
      <c r="J410" s="12"/>
    </row>
    <row r="411" spans="1:10">
      <c r="A411" s="88"/>
      <c r="B411" s="12"/>
      <c r="C411" s="88"/>
      <c r="D411" s="9"/>
      <c r="E411" s="88"/>
      <c r="F411" s="88"/>
      <c r="G411" s="95"/>
      <c r="H411" s="12"/>
      <c r="I411" s="12"/>
      <c r="J411" s="12"/>
    </row>
    <row r="412" spans="1:10">
      <c r="A412" s="12"/>
      <c r="B412" s="12"/>
      <c r="C412" s="9"/>
      <c r="D412" s="9"/>
      <c r="E412" s="9"/>
      <c r="F412" s="51"/>
      <c r="G412" s="12"/>
      <c r="H412" s="12"/>
      <c r="I412" s="12"/>
      <c r="J412" s="12"/>
    </row>
    <row r="413" spans="1:10">
      <c r="A413" s="12"/>
      <c r="B413" s="12"/>
      <c r="C413" s="9"/>
      <c r="D413" s="9"/>
      <c r="E413" s="9"/>
      <c r="F413" s="51"/>
      <c r="G413" s="12"/>
      <c r="H413" s="12"/>
      <c r="I413" s="12"/>
      <c r="J413" s="12"/>
    </row>
    <row r="414" spans="1:10">
      <c r="A414" s="12"/>
      <c r="B414" s="12"/>
      <c r="C414" s="9"/>
      <c r="D414" s="9"/>
      <c r="E414" s="9"/>
      <c r="F414" s="51"/>
      <c r="G414" s="12"/>
      <c r="H414" s="12"/>
      <c r="I414" s="12"/>
      <c r="J414" s="12"/>
    </row>
    <row r="415" spans="1:10">
      <c r="A415" s="12"/>
      <c r="B415" s="12"/>
      <c r="C415" s="9"/>
      <c r="D415" s="9"/>
      <c r="E415" s="9"/>
      <c r="F415" s="51"/>
      <c r="G415" s="12"/>
      <c r="H415" s="12"/>
      <c r="I415" s="12"/>
      <c r="J415" s="12"/>
    </row>
    <row r="416" spans="1:10">
      <c r="A416" s="12"/>
      <c r="B416" s="12"/>
      <c r="C416" s="9"/>
      <c r="D416" s="9"/>
      <c r="E416" s="9"/>
      <c r="F416" s="51"/>
      <c r="G416" s="12"/>
      <c r="H416" s="12"/>
      <c r="I416" s="12"/>
      <c r="J416" s="12"/>
    </row>
    <row r="417" spans="1:10">
      <c r="A417" s="12"/>
      <c r="B417" s="12"/>
      <c r="C417" s="9"/>
      <c r="D417" s="9"/>
      <c r="E417" s="9"/>
      <c r="F417" s="51"/>
      <c r="G417" s="12"/>
      <c r="H417" s="12"/>
      <c r="I417" s="12"/>
      <c r="J417" s="12"/>
    </row>
    <row r="418" spans="1:10">
      <c r="A418" s="12"/>
      <c r="B418" s="12"/>
      <c r="C418" s="9"/>
      <c r="D418" s="9"/>
      <c r="E418" s="9"/>
      <c r="F418" s="51"/>
      <c r="G418" s="12"/>
      <c r="H418" s="12"/>
      <c r="I418" s="12"/>
      <c r="J418" s="12"/>
    </row>
    <row r="419" spans="1:10">
      <c r="A419" s="12"/>
      <c r="B419" s="12"/>
      <c r="C419" s="9"/>
      <c r="D419" s="9"/>
      <c r="E419" s="9"/>
      <c r="F419" s="51"/>
      <c r="G419" s="12"/>
      <c r="H419" s="12"/>
      <c r="I419" s="12"/>
      <c r="J419" s="12"/>
    </row>
    <row r="420" spans="1:10">
      <c r="A420" s="12"/>
      <c r="B420" s="12"/>
      <c r="C420" s="9"/>
      <c r="D420" s="9"/>
      <c r="E420" s="9"/>
      <c r="F420" s="51"/>
      <c r="G420" s="12"/>
      <c r="H420" s="12"/>
      <c r="I420" s="12"/>
      <c r="J420" s="12"/>
    </row>
    <row r="421" spans="1:10">
      <c r="A421" s="12"/>
      <c r="B421" s="12"/>
      <c r="C421" s="9"/>
      <c r="D421" s="9"/>
      <c r="E421" s="9"/>
      <c r="F421" s="51"/>
      <c r="G421" s="12"/>
      <c r="H421" s="12"/>
      <c r="I421" s="12"/>
      <c r="J421" s="12"/>
    </row>
    <row r="422" spans="1:10">
      <c r="A422" s="12"/>
      <c r="B422" s="12"/>
      <c r="C422" s="9"/>
      <c r="D422" s="9"/>
      <c r="E422" s="9"/>
      <c r="F422" s="51"/>
      <c r="G422" s="12"/>
      <c r="H422" s="12"/>
      <c r="I422" s="12"/>
      <c r="J422" s="12"/>
    </row>
    <row r="423" spans="1:10">
      <c r="A423" s="12"/>
      <c r="B423" s="12"/>
      <c r="C423" s="9"/>
      <c r="D423" s="9"/>
      <c r="E423" s="9"/>
      <c r="F423" s="51"/>
      <c r="G423" s="12"/>
      <c r="H423" s="12"/>
      <c r="I423" s="12"/>
      <c r="J423" s="12"/>
    </row>
    <row r="424" spans="1:10">
      <c r="A424" s="12"/>
      <c r="B424" s="12"/>
      <c r="C424" s="9"/>
      <c r="D424" s="9"/>
      <c r="E424" s="9"/>
      <c r="F424" s="51"/>
      <c r="G424" s="12"/>
      <c r="H424" s="12"/>
      <c r="I424" s="12"/>
      <c r="J424" s="12"/>
    </row>
    <row r="425" spans="1:10">
      <c r="A425" s="12"/>
      <c r="B425" s="12"/>
      <c r="C425" s="9"/>
      <c r="D425" s="9"/>
      <c r="E425" s="9"/>
      <c r="F425" s="51"/>
      <c r="G425" s="12"/>
      <c r="H425" s="12"/>
      <c r="I425" s="12"/>
      <c r="J425" s="12"/>
    </row>
    <row r="426" spans="1:10">
      <c r="A426" s="12"/>
      <c r="B426" s="12"/>
      <c r="C426" s="9"/>
      <c r="D426" s="9"/>
      <c r="E426" s="9"/>
      <c r="F426" s="51"/>
      <c r="G426" s="12"/>
      <c r="H426" s="12"/>
      <c r="I426" s="12"/>
      <c r="J426" s="12"/>
    </row>
    <row r="427" spans="1:10">
      <c r="A427" s="12"/>
      <c r="B427" s="12"/>
      <c r="C427" s="9"/>
      <c r="D427" s="9"/>
      <c r="E427" s="9"/>
      <c r="F427" s="51"/>
      <c r="G427" s="12"/>
      <c r="H427" s="12"/>
      <c r="I427" s="12"/>
      <c r="J427" s="12"/>
    </row>
    <row r="428" spans="1:10">
      <c r="A428" s="12"/>
      <c r="B428" s="12"/>
      <c r="C428" s="9"/>
      <c r="D428" s="9"/>
      <c r="E428" s="9"/>
      <c r="F428" s="51"/>
      <c r="G428" s="12"/>
      <c r="H428" s="12"/>
      <c r="I428" s="12"/>
      <c r="J428" s="12"/>
    </row>
    <row r="429" spans="1:10">
      <c r="A429" s="12"/>
      <c r="B429" s="12"/>
      <c r="C429" s="9"/>
      <c r="D429" s="9"/>
      <c r="E429" s="9"/>
      <c r="F429" s="51"/>
      <c r="G429" s="12"/>
      <c r="H429" s="12"/>
      <c r="I429" s="12"/>
      <c r="J429" s="12"/>
    </row>
    <row r="430" spans="1:10">
      <c r="A430" s="12"/>
      <c r="B430" s="12"/>
      <c r="C430" s="9"/>
      <c r="D430" s="9"/>
      <c r="E430" s="9"/>
      <c r="F430" s="51"/>
      <c r="G430" s="12"/>
      <c r="H430" s="12"/>
      <c r="I430" s="12"/>
      <c r="J430" s="12"/>
    </row>
    <row r="431" spans="1:10">
      <c r="A431" s="12"/>
      <c r="B431" s="12"/>
      <c r="C431" s="9"/>
      <c r="D431" s="9"/>
      <c r="E431" s="9"/>
      <c r="F431" s="51"/>
      <c r="G431" s="12"/>
      <c r="H431" s="12"/>
      <c r="I431" s="12"/>
      <c r="J431" s="12"/>
    </row>
    <row r="432" spans="1:10">
      <c r="A432" s="12"/>
      <c r="B432" s="12"/>
      <c r="C432" s="9"/>
      <c r="D432" s="9"/>
      <c r="E432" s="9"/>
      <c r="F432" s="51"/>
      <c r="G432" s="12"/>
      <c r="H432" s="12"/>
      <c r="I432" s="12"/>
      <c r="J432" s="12"/>
    </row>
    <row r="433" spans="1:10">
      <c r="A433" s="12"/>
      <c r="B433" s="12"/>
      <c r="C433" s="9"/>
      <c r="D433" s="9"/>
      <c r="E433" s="9"/>
      <c r="F433" s="51"/>
      <c r="G433" s="12"/>
      <c r="H433" s="12"/>
      <c r="I433" s="12"/>
      <c r="J433" s="12"/>
    </row>
    <row r="434" spans="1:10">
      <c r="A434" s="12"/>
      <c r="B434" s="12"/>
      <c r="C434" s="9"/>
      <c r="D434" s="9"/>
      <c r="E434" s="9"/>
      <c r="F434" s="51"/>
      <c r="G434" s="12"/>
      <c r="H434" s="12"/>
      <c r="I434" s="12"/>
      <c r="J434" s="12"/>
    </row>
    <row r="435" spans="1:10">
      <c r="A435" s="12"/>
      <c r="B435" s="12"/>
      <c r="C435" s="9"/>
      <c r="D435" s="9"/>
      <c r="E435" s="9"/>
      <c r="F435" s="51"/>
      <c r="G435" s="12"/>
      <c r="H435" s="12"/>
      <c r="I435" s="12"/>
      <c r="J435" s="12"/>
    </row>
    <row r="436" spans="1:10">
      <c r="A436" s="12"/>
      <c r="B436" s="12"/>
      <c r="C436" s="9"/>
      <c r="D436" s="9"/>
      <c r="E436" s="9"/>
      <c r="F436" s="51"/>
      <c r="G436" s="12"/>
      <c r="H436" s="12"/>
      <c r="I436" s="12"/>
      <c r="J436" s="12"/>
    </row>
    <row r="437" spans="1:10">
      <c r="A437" s="12"/>
      <c r="B437" s="12"/>
      <c r="C437" s="9"/>
      <c r="D437" s="9"/>
      <c r="E437" s="9"/>
      <c r="F437" s="51"/>
      <c r="G437" s="12"/>
      <c r="H437" s="12"/>
      <c r="I437" s="12"/>
      <c r="J437" s="12"/>
    </row>
    <row r="438" spans="1:10">
      <c r="A438" s="12"/>
      <c r="B438" s="12"/>
      <c r="C438" s="9"/>
      <c r="D438" s="9"/>
      <c r="E438" s="9"/>
      <c r="F438" s="51"/>
      <c r="G438" s="12"/>
      <c r="H438" s="12"/>
      <c r="I438" s="12"/>
      <c r="J438" s="12"/>
    </row>
    <row r="439" spans="1:10">
      <c r="A439" s="12"/>
      <c r="B439" s="12"/>
      <c r="C439" s="9"/>
      <c r="D439" s="9"/>
      <c r="E439" s="9"/>
      <c r="F439" s="51"/>
      <c r="G439" s="12"/>
      <c r="H439" s="12"/>
      <c r="I439" s="12"/>
      <c r="J439" s="12"/>
    </row>
    <row r="440" spans="1:10">
      <c r="A440" s="12"/>
      <c r="B440" s="12"/>
      <c r="C440" s="9"/>
      <c r="D440" s="9"/>
      <c r="E440" s="9"/>
      <c r="F440" s="51"/>
      <c r="G440" s="12"/>
      <c r="H440" s="12"/>
      <c r="I440" s="12"/>
      <c r="J440" s="12"/>
    </row>
    <row r="441" spans="1:10">
      <c r="A441" s="12"/>
      <c r="B441" s="12"/>
      <c r="C441" s="9"/>
      <c r="D441" s="9"/>
      <c r="E441" s="9"/>
      <c r="F441" s="51"/>
      <c r="G441" s="12"/>
      <c r="H441" s="12"/>
      <c r="I441" s="12"/>
      <c r="J441" s="12"/>
    </row>
    <row r="442" spans="1:10">
      <c r="A442" s="12"/>
      <c r="B442" s="12"/>
      <c r="C442" s="9"/>
      <c r="D442" s="9"/>
      <c r="E442" s="9"/>
      <c r="F442" s="51"/>
      <c r="G442" s="12"/>
      <c r="H442" s="12"/>
      <c r="I442" s="12"/>
      <c r="J442" s="12"/>
    </row>
    <row r="443" spans="1:10">
      <c r="A443" s="12"/>
      <c r="B443" s="12"/>
      <c r="C443" s="9"/>
      <c r="D443" s="9"/>
      <c r="E443" s="9"/>
      <c r="F443" s="51"/>
      <c r="G443" s="12"/>
      <c r="H443" s="12"/>
      <c r="I443" s="12"/>
      <c r="J443" s="12"/>
    </row>
    <row r="444" spans="1:10">
      <c r="A444" s="12"/>
      <c r="B444" s="12"/>
      <c r="C444" s="9"/>
      <c r="D444" s="9"/>
      <c r="E444" s="9"/>
      <c r="F444" s="51"/>
      <c r="G444" s="12"/>
      <c r="H444" s="12"/>
      <c r="I444" s="12"/>
      <c r="J444" s="12"/>
    </row>
    <row r="445" spans="1:10">
      <c r="A445" s="12"/>
      <c r="B445" s="12"/>
      <c r="C445" s="9"/>
      <c r="D445" s="9"/>
      <c r="E445" s="9"/>
      <c r="F445" s="51"/>
      <c r="G445" s="12"/>
      <c r="H445" s="12"/>
      <c r="I445" s="12"/>
      <c r="J445" s="12"/>
    </row>
    <row r="446" spans="1:10">
      <c r="A446" s="12"/>
      <c r="B446" s="12"/>
      <c r="C446" s="9"/>
      <c r="D446" s="9"/>
      <c r="E446" s="9"/>
      <c r="F446" s="51"/>
      <c r="G446" s="12"/>
      <c r="H446" s="12"/>
      <c r="I446" s="12"/>
      <c r="J446" s="12"/>
    </row>
    <row r="447" spans="1:10">
      <c r="A447" s="12"/>
      <c r="B447" s="12"/>
      <c r="C447" s="9"/>
      <c r="D447" s="9"/>
      <c r="E447" s="9"/>
      <c r="F447" s="51"/>
      <c r="G447" s="12"/>
      <c r="H447" s="12"/>
      <c r="I447" s="12"/>
      <c r="J447" s="12"/>
    </row>
    <row r="448" spans="1:10">
      <c r="A448" s="12"/>
      <c r="B448" s="12"/>
      <c r="C448" s="9"/>
      <c r="D448" s="9"/>
      <c r="E448" s="9"/>
      <c r="F448" s="51"/>
      <c r="G448" s="12"/>
      <c r="H448" s="12"/>
      <c r="I448" s="12"/>
      <c r="J448" s="12"/>
    </row>
    <row r="449" spans="1:10">
      <c r="A449" s="12"/>
      <c r="B449" s="12"/>
      <c r="C449" s="9"/>
      <c r="D449" s="9"/>
      <c r="E449" s="9"/>
      <c r="F449" s="51"/>
      <c r="G449" s="12"/>
      <c r="H449" s="12"/>
      <c r="I449" s="12"/>
      <c r="J449" s="12"/>
    </row>
    <row r="450" spans="1:10">
      <c r="A450" s="12"/>
      <c r="B450" s="12"/>
      <c r="C450" s="9"/>
      <c r="D450" s="9"/>
      <c r="E450" s="9"/>
      <c r="F450" s="51"/>
      <c r="G450" s="12"/>
      <c r="H450" s="12"/>
      <c r="I450" s="12"/>
      <c r="J450" s="12"/>
    </row>
    <row r="451" spans="1:10">
      <c r="A451" s="12"/>
      <c r="B451" s="12"/>
      <c r="C451" s="9"/>
      <c r="D451" s="9"/>
      <c r="E451" s="9"/>
      <c r="F451" s="51"/>
      <c r="G451" s="12"/>
      <c r="H451" s="12"/>
      <c r="I451" s="12"/>
      <c r="J451" s="12"/>
    </row>
    <row r="452" spans="1:10">
      <c r="A452" s="12"/>
      <c r="B452" s="12"/>
      <c r="C452" s="9"/>
      <c r="D452" s="9"/>
      <c r="E452" s="9"/>
      <c r="F452" s="51"/>
      <c r="G452" s="12"/>
      <c r="H452" s="12"/>
      <c r="I452" s="12"/>
      <c r="J452" s="12"/>
    </row>
    <row r="453" spans="1:10">
      <c r="A453" s="12"/>
      <c r="B453" s="12"/>
      <c r="C453" s="9"/>
      <c r="D453" s="9"/>
      <c r="E453" s="9"/>
      <c r="F453" s="51"/>
      <c r="G453" s="12"/>
      <c r="H453" s="12"/>
      <c r="I453" s="12"/>
      <c r="J453" s="12"/>
    </row>
    <row r="454" spans="1:10">
      <c r="A454" s="12"/>
      <c r="B454" s="12"/>
      <c r="C454" s="9"/>
      <c r="D454" s="9"/>
      <c r="E454" s="9"/>
      <c r="F454" s="51"/>
      <c r="G454" s="12"/>
      <c r="H454" s="12"/>
      <c r="I454" s="12"/>
      <c r="J454" s="12"/>
    </row>
    <row r="455" spans="1:10">
      <c r="A455" s="12"/>
      <c r="B455" s="12"/>
      <c r="C455" s="9"/>
      <c r="D455" s="9"/>
      <c r="E455" s="9"/>
      <c r="F455" s="51"/>
      <c r="G455" s="12"/>
      <c r="H455" s="12"/>
      <c r="I455" s="12"/>
      <c r="J455" s="12"/>
    </row>
    <row r="456" spans="1:10">
      <c r="A456" s="12"/>
      <c r="B456" s="12"/>
      <c r="C456" s="9"/>
      <c r="D456" s="9"/>
      <c r="E456" s="9"/>
      <c r="F456" s="51"/>
      <c r="G456" s="12"/>
      <c r="H456" s="12"/>
      <c r="I456" s="12"/>
      <c r="J456" s="12"/>
    </row>
    <row r="457" spans="1:10">
      <c r="A457" s="12"/>
      <c r="B457" s="12"/>
      <c r="C457" s="9"/>
      <c r="D457" s="9"/>
      <c r="E457" s="9"/>
      <c r="F457" s="51"/>
      <c r="G457" s="12"/>
      <c r="H457" s="12"/>
      <c r="I457" s="12"/>
      <c r="J457" s="12"/>
    </row>
    <row r="458" spans="1:10">
      <c r="A458" s="12"/>
      <c r="B458" s="12"/>
      <c r="C458" s="9"/>
      <c r="D458" s="9"/>
      <c r="E458" s="9"/>
      <c r="F458" s="51"/>
      <c r="G458" s="12"/>
      <c r="H458" s="12"/>
      <c r="I458" s="12"/>
      <c r="J458" s="12"/>
    </row>
    <row r="459" spans="1:10">
      <c r="A459" s="12"/>
      <c r="B459" s="12"/>
      <c r="C459" s="9"/>
      <c r="D459" s="9"/>
      <c r="E459" s="9"/>
      <c r="F459" s="51"/>
      <c r="G459" s="12"/>
      <c r="H459" s="12"/>
      <c r="I459" s="12"/>
      <c r="J459" s="12"/>
    </row>
    <row r="460" spans="1:10">
      <c r="A460" s="12"/>
      <c r="B460" s="12"/>
      <c r="C460" s="9"/>
      <c r="D460" s="9"/>
      <c r="E460" s="9"/>
      <c r="F460" s="51"/>
      <c r="G460" s="12"/>
      <c r="H460" s="12"/>
      <c r="I460" s="12"/>
      <c r="J460" s="12"/>
    </row>
    <row r="461" spans="1:10">
      <c r="A461" s="12"/>
      <c r="B461" s="12"/>
      <c r="C461" s="9"/>
      <c r="D461" s="9"/>
      <c r="E461" s="9"/>
      <c r="F461" s="51"/>
      <c r="G461" s="12"/>
      <c r="H461" s="12"/>
      <c r="I461" s="12"/>
      <c r="J461" s="12"/>
    </row>
    <row r="462" spans="1:10">
      <c r="A462" s="12"/>
      <c r="B462" s="12"/>
      <c r="C462" s="9"/>
      <c r="D462" s="9"/>
      <c r="E462" s="9"/>
      <c r="F462" s="51"/>
      <c r="G462" s="12"/>
      <c r="H462" s="12"/>
      <c r="I462" s="12"/>
      <c r="J462" s="12"/>
    </row>
    <row r="463" spans="1:10">
      <c r="A463" s="12"/>
      <c r="B463" s="12"/>
      <c r="C463" s="9"/>
      <c r="D463" s="9"/>
      <c r="E463" s="9"/>
      <c r="F463" s="51"/>
      <c r="G463" s="12"/>
      <c r="H463" s="12"/>
      <c r="I463" s="12"/>
      <c r="J463" s="12"/>
    </row>
    <row r="464" spans="1:10">
      <c r="A464" s="12"/>
      <c r="B464" s="12"/>
      <c r="C464" s="9"/>
      <c r="D464" s="9"/>
      <c r="E464" s="9"/>
      <c r="F464" s="51"/>
      <c r="G464" s="12"/>
      <c r="H464" s="12"/>
      <c r="I464" s="12"/>
      <c r="J464" s="12"/>
    </row>
    <row r="465" spans="1:10">
      <c r="A465" s="12"/>
      <c r="B465" s="12"/>
      <c r="C465" s="9"/>
      <c r="D465" s="9"/>
      <c r="E465" s="9"/>
      <c r="F465" s="51"/>
      <c r="G465" s="12"/>
      <c r="H465" s="12"/>
      <c r="I465" s="12"/>
      <c r="J465" s="12"/>
    </row>
    <row r="466" spans="1:10">
      <c r="G466" s="86"/>
    </row>
  </sheetData>
  <autoFilter ref="A1:L122" xr:uid="{00000000-0001-0000-0D00-000000000000}"/>
  <sortState xmlns:xlrd2="http://schemas.microsoft.com/office/spreadsheetml/2017/richdata2" ref="A2:L89">
    <sortCondition ref="E2:E89"/>
  </sortState>
  <phoneticPr fontId="38" type="noConversion"/>
  <conditionalFormatting sqref="C123:C243">
    <cfRule type="duplicateValues" dxfId="68" priority="28"/>
    <cfRule type="duplicateValues" dxfId="67" priority="29"/>
    <cfRule type="duplicateValues" dxfId="66" priority="30"/>
  </conditionalFormatting>
  <conditionalFormatting sqref="C123:C1048576 C1">
    <cfRule type="duplicateValues" dxfId="65" priority="26"/>
  </conditionalFormatting>
  <conditionalFormatting sqref="C244:C1048576 C1">
    <cfRule type="duplicateValues" dxfId="64" priority="22"/>
    <cfRule type="duplicateValues" dxfId="63" priority="23"/>
    <cfRule type="duplicateValues" dxfId="62" priority="24"/>
  </conditionalFormatting>
  <conditionalFormatting sqref="E121:E122">
    <cfRule type="duplicateValues" dxfId="61" priority="5623"/>
  </conditionalFormatting>
  <conditionalFormatting sqref="E123:E243">
    <cfRule type="duplicateValues" dxfId="60" priority="27"/>
  </conditionalFormatting>
  <conditionalFormatting sqref="E244:E1048576 E1">
    <cfRule type="duplicateValues" dxfId="59" priority="21"/>
  </conditionalFormatting>
  <conditionalFormatting sqref="F2:F120">
    <cfRule type="duplicateValues" dxfId="58" priority="8354"/>
  </conditionalFormatting>
  <conditionalFormatting sqref="F123:F1048576 F1">
    <cfRule type="duplicateValues" dxfId="57" priority="25"/>
  </conditionalFormatting>
  <conditionalFormatting sqref="G1">
    <cfRule type="duplicateValues" dxfId="56" priority="19"/>
    <cfRule type="duplicateValues" dxfId="55" priority="2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Q571"/>
  <sheetViews>
    <sheetView showGridLines="0" topLeftCell="A151" zoomScale="60" zoomScaleNormal="60" workbookViewId="0">
      <selection activeCell="F237" sqref="F237"/>
    </sheetView>
  </sheetViews>
  <sheetFormatPr baseColWidth="10" defaultColWidth="11.7109375" defaultRowHeight="15"/>
  <cols>
    <col min="1" max="1" width="11.140625" style="7" bestFit="1" customWidth="1"/>
    <col min="2" max="2" width="12.5703125" style="7" customWidth="1"/>
    <col min="3" max="3" width="21.5703125" style="7" bestFit="1" customWidth="1"/>
    <col min="4" max="4" width="31.28515625" style="34" customWidth="1"/>
    <col min="5" max="5" width="21.5703125" style="7" customWidth="1"/>
    <col min="6" max="6" width="20.85546875" style="34" customWidth="1"/>
    <col min="7" max="7" width="24.42578125" style="7" customWidth="1"/>
    <col min="8" max="8" width="9.42578125" style="7" bestFit="1" customWidth="1"/>
    <col min="9" max="9" width="40.5703125" style="7" bestFit="1" customWidth="1"/>
    <col min="10" max="10" width="25.28515625" style="7" customWidth="1"/>
    <col min="11" max="11" width="32.5703125" style="7" customWidth="1"/>
    <col min="12" max="14" width="11.7109375" style="7"/>
    <col min="15" max="15" width="49" bestFit="1" customWidth="1"/>
    <col min="16" max="16" width="24" bestFit="1" customWidth="1"/>
    <col min="18" max="16384" width="11.7109375" style="7"/>
  </cols>
  <sheetData>
    <row r="1" spans="1:17" s="55" customFormat="1" ht="30">
      <c r="A1" s="48" t="s">
        <v>133</v>
      </c>
      <c r="B1" s="48" t="s">
        <v>134</v>
      </c>
      <c r="C1" s="48" t="s">
        <v>135</v>
      </c>
      <c r="D1" s="49" t="s">
        <v>136</v>
      </c>
      <c r="E1" s="48" t="s">
        <v>137</v>
      </c>
      <c r="F1" s="50" t="s">
        <v>138</v>
      </c>
      <c r="G1" s="48" t="s">
        <v>144</v>
      </c>
      <c r="H1" s="48" t="s">
        <v>145</v>
      </c>
      <c r="I1" s="48" t="s">
        <v>141</v>
      </c>
      <c r="J1" s="48" t="s">
        <v>146</v>
      </c>
      <c r="K1" s="48" t="s">
        <v>60</v>
      </c>
      <c r="L1" s="102" t="s">
        <v>142</v>
      </c>
      <c r="M1" s="55" t="s">
        <v>244</v>
      </c>
      <c r="O1"/>
      <c r="P1"/>
      <c r="Q1"/>
    </row>
    <row r="2" spans="1:17">
      <c r="A2" s="98">
        <v>20010604</v>
      </c>
      <c r="B2" s="133" t="s">
        <v>53</v>
      </c>
      <c r="C2" s="98" t="s">
        <v>3138</v>
      </c>
      <c r="D2" s="212">
        <v>45139</v>
      </c>
      <c r="E2" s="136"/>
      <c r="F2" s="136"/>
      <c r="G2" s="98">
        <v>1</v>
      </c>
      <c r="H2" s="98">
        <v>98078</v>
      </c>
      <c r="I2" s="98" t="s">
        <v>50</v>
      </c>
      <c r="J2" s="98" t="s">
        <v>80</v>
      </c>
      <c r="K2" s="98" t="s">
        <v>40</v>
      </c>
      <c r="L2" s="53">
        <f>+VLOOKUP(A2,COMISIONES!$C$2:$AQ$33,41,0)</f>
        <v>30</v>
      </c>
      <c r="M2" s="7">
        <f>+VLOOKUP(A2,COMISIONES!$C$2:$C$33,1,0)</f>
        <v>20010604</v>
      </c>
    </row>
    <row r="3" spans="1:17">
      <c r="A3" s="98">
        <v>20001487</v>
      </c>
      <c r="B3" s="133" t="s">
        <v>53</v>
      </c>
      <c r="C3" s="98" t="s">
        <v>3139</v>
      </c>
      <c r="D3" s="212">
        <v>45139</v>
      </c>
      <c r="E3" s="136"/>
      <c r="F3" s="136"/>
      <c r="G3" s="98">
        <v>1</v>
      </c>
      <c r="H3" s="98">
        <v>98003</v>
      </c>
      <c r="I3" s="98" t="s">
        <v>51</v>
      </c>
      <c r="J3" s="98" t="s">
        <v>80</v>
      </c>
      <c r="K3" s="98" t="s">
        <v>40</v>
      </c>
      <c r="L3" s="53">
        <f>+VLOOKUP(A3,COMISIONES!$C$2:$AQ$33,41,0)</f>
        <v>90</v>
      </c>
      <c r="M3" s="7">
        <f>+VLOOKUP(A3,COMISIONES!$C$2:$C$33,1,0)</f>
        <v>20001487</v>
      </c>
    </row>
    <row r="4" spans="1:17">
      <c r="A4" s="98">
        <v>20008439</v>
      </c>
      <c r="B4" s="133" t="s">
        <v>53</v>
      </c>
      <c r="C4" s="98" t="s">
        <v>3140</v>
      </c>
      <c r="D4" s="212">
        <v>45139</v>
      </c>
      <c r="E4" s="136"/>
      <c r="F4" s="136"/>
      <c r="G4" s="98">
        <v>1</v>
      </c>
      <c r="H4" s="98">
        <v>98049</v>
      </c>
      <c r="I4" s="98" t="s">
        <v>50</v>
      </c>
      <c r="J4" s="98" t="s">
        <v>80</v>
      </c>
      <c r="K4" s="98" t="s">
        <v>40</v>
      </c>
      <c r="L4" s="53">
        <f>+VLOOKUP(A4,COMISIONES!$C$2:$AQ$33,41,0)</f>
        <v>45</v>
      </c>
      <c r="M4" s="7">
        <f>+VLOOKUP(A4,COMISIONES!$C$2:$C$33,1,0)</f>
        <v>20008439</v>
      </c>
    </row>
    <row r="5" spans="1:17">
      <c r="A5" s="98">
        <v>20010604</v>
      </c>
      <c r="B5" s="133" t="s">
        <v>53</v>
      </c>
      <c r="C5" s="98" t="s">
        <v>3141</v>
      </c>
      <c r="D5" s="212">
        <v>45139</v>
      </c>
      <c r="E5" s="136"/>
      <c r="F5" s="136"/>
      <c r="G5" s="98">
        <v>1</v>
      </c>
      <c r="H5" s="98">
        <v>98078</v>
      </c>
      <c r="I5" s="98" t="s">
        <v>50</v>
      </c>
      <c r="J5" s="98" t="s">
        <v>80</v>
      </c>
      <c r="K5" s="98" t="s">
        <v>40</v>
      </c>
      <c r="L5" s="53">
        <f>+VLOOKUP(A5,COMISIONES!$C$2:$AQ$33,41,0)</f>
        <v>30</v>
      </c>
      <c r="M5" s="7">
        <f>+VLOOKUP(A5,COMISIONES!$C$2:$C$33,1,0)</f>
        <v>20010604</v>
      </c>
    </row>
    <row r="6" spans="1:17">
      <c r="A6" s="98">
        <v>20006360</v>
      </c>
      <c r="B6" s="133" t="s">
        <v>53</v>
      </c>
      <c r="C6" s="98" t="s">
        <v>3142</v>
      </c>
      <c r="D6" s="212">
        <v>45139</v>
      </c>
      <c r="E6" s="136"/>
      <c r="F6" s="136"/>
      <c r="G6" s="98">
        <v>1</v>
      </c>
      <c r="H6" s="98">
        <v>98012</v>
      </c>
      <c r="I6" s="98" t="s">
        <v>50</v>
      </c>
      <c r="J6" s="98" t="s">
        <v>80</v>
      </c>
      <c r="K6" s="98" t="s">
        <v>40</v>
      </c>
      <c r="L6" s="53">
        <f>+VLOOKUP(A6,COMISIONES!$C$2:$AQ$33,41,0)</f>
        <v>30</v>
      </c>
      <c r="M6" s="7">
        <f>+VLOOKUP(A6,COMISIONES!$C$2:$C$33,1,0)</f>
        <v>20006360</v>
      </c>
    </row>
    <row r="7" spans="1:17">
      <c r="A7" s="98">
        <v>20007020</v>
      </c>
      <c r="B7" s="133" t="s">
        <v>53</v>
      </c>
      <c r="C7" s="98" t="s">
        <v>3143</v>
      </c>
      <c r="D7" s="212">
        <v>45139</v>
      </c>
      <c r="E7" s="136"/>
      <c r="F7" s="136"/>
      <c r="G7" s="98">
        <v>1</v>
      </c>
      <c r="H7" s="98">
        <v>98047</v>
      </c>
      <c r="I7" s="98" t="s">
        <v>50</v>
      </c>
      <c r="J7" s="98" t="s">
        <v>80</v>
      </c>
      <c r="K7" s="98" t="s">
        <v>40</v>
      </c>
      <c r="L7" s="53">
        <f>+VLOOKUP(A7,COMISIONES!$C$2:$AQ$33,41,0)</f>
        <v>30</v>
      </c>
      <c r="M7" s="7">
        <f>+VLOOKUP(A7,COMISIONES!$C$2:$C$33,1,0)</f>
        <v>20007020</v>
      </c>
    </row>
    <row r="8" spans="1:17">
      <c r="A8" s="98">
        <v>20007020</v>
      </c>
      <c r="B8" s="133" t="s">
        <v>53</v>
      </c>
      <c r="C8" s="98" t="s">
        <v>3144</v>
      </c>
      <c r="D8" s="212">
        <v>45139</v>
      </c>
      <c r="E8" s="136"/>
      <c r="F8" s="136"/>
      <c r="G8" s="98">
        <v>1</v>
      </c>
      <c r="H8" s="98">
        <v>98047</v>
      </c>
      <c r="I8" s="98" t="s">
        <v>50</v>
      </c>
      <c r="J8" s="98" t="s">
        <v>80</v>
      </c>
      <c r="K8" s="98" t="s">
        <v>40</v>
      </c>
      <c r="L8" s="53">
        <f>+VLOOKUP(A8,COMISIONES!$C$2:$AQ$33,41,0)</f>
        <v>30</v>
      </c>
      <c r="M8" s="7">
        <f>+VLOOKUP(A8,COMISIONES!$C$2:$C$33,1,0)</f>
        <v>20007020</v>
      </c>
    </row>
    <row r="9" spans="1:17">
      <c r="A9" s="98">
        <v>20008439</v>
      </c>
      <c r="B9" s="133" t="s">
        <v>53</v>
      </c>
      <c r="C9" s="98" t="s">
        <v>3145</v>
      </c>
      <c r="D9" s="212">
        <v>45139</v>
      </c>
      <c r="E9" s="136"/>
      <c r="F9" s="136"/>
      <c r="G9" s="98">
        <v>1</v>
      </c>
      <c r="H9" s="98">
        <v>98049</v>
      </c>
      <c r="I9" s="98" t="s">
        <v>50</v>
      </c>
      <c r="J9" s="98" t="s">
        <v>80</v>
      </c>
      <c r="K9" s="98" t="s">
        <v>40</v>
      </c>
      <c r="L9" s="53">
        <f>+VLOOKUP(A9,COMISIONES!$C$2:$AQ$33,41,0)</f>
        <v>45</v>
      </c>
      <c r="M9" s="7">
        <f>+VLOOKUP(A9,COMISIONES!$C$2:$C$33,1,0)</f>
        <v>20008439</v>
      </c>
    </row>
    <row r="10" spans="1:17">
      <c r="A10" s="98">
        <v>20010604</v>
      </c>
      <c r="B10" s="133" t="s">
        <v>53</v>
      </c>
      <c r="C10" s="98" t="s">
        <v>3146</v>
      </c>
      <c r="D10" s="212">
        <v>45139</v>
      </c>
      <c r="E10" s="136"/>
      <c r="F10" s="136"/>
      <c r="G10" s="98">
        <v>1</v>
      </c>
      <c r="H10" s="98">
        <v>98078</v>
      </c>
      <c r="I10" s="98" t="s">
        <v>50</v>
      </c>
      <c r="J10" s="98" t="s">
        <v>80</v>
      </c>
      <c r="K10" s="98" t="s">
        <v>40</v>
      </c>
      <c r="L10" s="53">
        <f>+VLOOKUP(A10,COMISIONES!$C$2:$AQ$33,41,0)</f>
        <v>30</v>
      </c>
      <c r="M10" s="7">
        <f>+VLOOKUP(A10,COMISIONES!$C$2:$C$33,1,0)</f>
        <v>20010604</v>
      </c>
    </row>
    <row r="11" spans="1:17">
      <c r="A11" s="98">
        <v>20010604</v>
      </c>
      <c r="B11" s="133" t="s">
        <v>53</v>
      </c>
      <c r="C11" s="98" t="s">
        <v>3147</v>
      </c>
      <c r="D11" s="212">
        <v>45139</v>
      </c>
      <c r="E11" s="136"/>
      <c r="F11" s="136"/>
      <c r="G11" s="98">
        <v>1</v>
      </c>
      <c r="H11" s="98">
        <v>98078</v>
      </c>
      <c r="I11" s="98" t="s">
        <v>50</v>
      </c>
      <c r="J11" s="98" t="s">
        <v>80</v>
      </c>
      <c r="K11" s="98" t="s">
        <v>40</v>
      </c>
      <c r="L11" s="53">
        <f>+VLOOKUP(A11,COMISIONES!$C$2:$AQ$33,41,0)</f>
        <v>30</v>
      </c>
      <c r="M11" s="7">
        <f>+VLOOKUP(A11,COMISIONES!$C$2:$C$33,1,0)</f>
        <v>20010604</v>
      </c>
    </row>
    <row r="12" spans="1:17">
      <c r="A12" s="98">
        <v>20005527</v>
      </c>
      <c r="B12" s="133" t="s">
        <v>53</v>
      </c>
      <c r="C12" s="98" t="s">
        <v>3148</v>
      </c>
      <c r="D12" s="212">
        <v>45139</v>
      </c>
      <c r="E12" s="136"/>
      <c r="F12" s="136"/>
      <c r="G12" s="98">
        <v>1</v>
      </c>
      <c r="H12" s="98">
        <v>98041</v>
      </c>
      <c r="I12" s="98" t="s">
        <v>52</v>
      </c>
      <c r="J12" s="98" t="s">
        <v>80</v>
      </c>
      <c r="K12" s="98" t="s">
        <v>40</v>
      </c>
      <c r="L12" s="53">
        <f>+VLOOKUP(A12,COMISIONES!$C$2:$AQ$33,41,0)</f>
        <v>30</v>
      </c>
      <c r="M12" s="7">
        <f>+VLOOKUP(A12,COMISIONES!$C$2:$C$33,1,0)</f>
        <v>20005527</v>
      </c>
    </row>
    <row r="13" spans="1:17">
      <c r="A13" s="98">
        <v>20010101</v>
      </c>
      <c r="B13" s="133" t="s">
        <v>53</v>
      </c>
      <c r="C13" s="98" t="s">
        <v>3149</v>
      </c>
      <c r="D13" s="212">
        <v>45139</v>
      </c>
      <c r="E13" s="136"/>
      <c r="F13" s="136"/>
      <c r="G13" s="98">
        <v>1</v>
      </c>
      <c r="H13" s="98">
        <v>98072</v>
      </c>
      <c r="I13" s="98" t="s">
        <v>49</v>
      </c>
      <c r="J13" s="98" t="s">
        <v>80</v>
      </c>
      <c r="K13" s="98" t="s">
        <v>40</v>
      </c>
      <c r="L13" s="53">
        <f>+VLOOKUP(A13,COMISIONES!$C$2:$AQ$33,41,0)</f>
        <v>90</v>
      </c>
      <c r="M13" s="7">
        <f>+VLOOKUP(A13,COMISIONES!$C$2:$C$33,1,0)</f>
        <v>20010101</v>
      </c>
    </row>
    <row r="14" spans="1:17">
      <c r="A14" s="98">
        <v>20004638</v>
      </c>
      <c r="B14" s="133" t="s">
        <v>53</v>
      </c>
      <c r="C14" s="98" t="s">
        <v>3150</v>
      </c>
      <c r="D14" s="212">
        <v>45139</v>
      </c>
      <c r="E14" s="136"/>
      <c r="F14" s="136"/>
      <c r="G14" s="98">
        <v>1</v>
      </c>
      <c r="H14" s="98">
        <v>98009</v>
      </c>
      <c r="I14" s="98" t="s">
        <v>51</v>
      </c>
      <c r="J14" s="98" t="s">
        <v>80</v>
      </c>
      <c r="K14" s="98" t="s">
        <v>40</v>
      </c>
      <c r="L14" s="53">
        <f>+VLOOKUP(A14,COMISIONES!$C$2:$AQ$33,41,0)</f>
        <v>30</v>
      </c>
      <c r="M14" s="7">
        <f>+VLOOKUP(A14,COMISIONES!$C$2:$C$33,1,0)</f>
        <v>20004638</v>
      </c>
    </row>
    <row r="15" spans="1:17">
      <c r="A15" s="98">
        <v>20008700</v>
      </c>
      <c r="B15" s="133" t="s">
        <v>53</v>
      </c>
      <c r="C15" s="98" t="s">
        <v>3151</v>
      </c>
      <c r="D15" s="212">
        <v>45139</v>
      </c>
      <c r="E15" s="136"/>
      <c r="F15" s="136"/>
      <c r="G15" s="98">
        <v>1</v>
      </c>
      <c r="H15" s="98">
        <v>98056</v>
      </c>
      <c r="I15" s="98" t="s">
        <v>50</v>
      </c>
      <c r="J15" s="98" t="s">
        <v>80</v>
      </c>
      <c r="K15" s="98" t="s">
        <v>40</v>
      </c>
      <c r="L15" s="53">
        <f>+VLOOKUP(A15,COMISIONES!$C$2:$AQ$33,41,0)</f>
        <v>30</v>
      </c>
      <c r="M15" s="7">
        <f>+VLOOKUP(A15,COMISIONES!$C$2:$C$33,1,0)</f>
        <v>20008700</v>
      </c>
    </row>
    <row r="16" spans="1:17">
      <c r="A16" s="98">
        <v>20001487</v>
      </c>
      <c r="B16" s="133" t="s">
        <v>53</v>
      </c>
      <c r="C16" s="98" t="s">
        <v>3152</v>
      </c>
      <c r="D16" s="212">
        <v>45139</v>
      </c>
      <c r="E16" s="136"/>
      <c r="F16" s="136"/>
      <c r="G16" s="98">
        <v>1</v>
      </c>
      <c r="H16" s="98">
        <v>98003</v>
      </c>
      <c r="I16" s="98" t="s">
        <v>51</v>
      </c>
      <c r="J16" s="98" t="s">
        <v>80</v>
      </c>
      <c r="K16" s="98" t="s">
        <v>40</v>
      </c>
      <c r="L16" s="53">
        <f>+VLOOKUP(A16,COMISIONES!$C$2:$AQ$33,41,0)</f>
        <v>90</v>
      </c>
      <c r="M16" s="7">
        <f>+VLOOKUP(A16,COMISIONES!$C$2:$C$33,1,0)</f>
        <v>20001487</v>
      </c>
    </row>
    <row r="17" spans="1:13">
      <c r="A17" s="98">
        <v>20007726</v>
      </c>
      <c r="B17" s="133" t="s">
        <v>53</v>
      </c>
      <c r="C17" s="98" t="s">
        <v>3153</v>
      </c>
      <c r="D17" s="212">
        <v>45139</v>
      </c>
      <c r="E17" s="136"/>
      <c r="F17" s="136"/>
      <c r="G17" s="98">
        <v>1</v>
      </c>
      <c r="H17" s="98">
        <v>98051</v>
      </c>
      <c r="I17" s="98" t="s">
        <v>49</v>
      </c>
      <c r="J17" s="98" t="s">
        <v>80</v>
      </c>
      <c r="K17" s="98" t="s">
        <v>40</v>
      </c>
      <c r="L17" s="53">
        <f>+VLOOKUP(A17,COMISIONES!$C$2:$AQ$33,41,0)</f>
        <v>90</v>
      </c>
      <c r="M17" s="7">
        <f>+VLOOKUP(A17,COMISIONES!$C$2:$C$33,1,0)</f>
        <v>20007726</v>
      </c>
    </row>
    <row r="18" spans="1:13">
      <c r="A18" s="98">
        <v>20004161</v>
      </c>
      <c r="B18" s="133" t="s">
        <v>53</v>
      </c>
      <c r="C18" s="98" t="s">
        <v>3154</v>
      </c>
      <c r="D18" s="212">
        <v>45139</v>
      </c>
      <c r="E18" s="136"/>
      <c r="F18" s="136"/>
      <c r="G18" s="98">
        <v>1</v>
      </c>
      <c r="H18" s="98">
        <v>98019</v>
      </c>
      <c r="I18" s="98" t="s">
        <v>49</v>
      </c>
      <c r="J18" s="98" t="s">
        <v>80</v>
      </c>
      <c r="K18" s="98" t="s">
        <v>40</v>
      </c>
      <c r="L18" s="53">
        <f>+VLOOKUP(A18,COMISIONES!$C$2:$AQ$33,41,0)</f>
        <v>95</v>
      </c>
      <c r="M18" s="7">
        <f>+VLOOKUP(A18,COMISIONES!$C$2:$C$33,1,0)</f>
        <v>20004161</v>
      </c>
    </row>
    <row r="19" spans="1:13">
      <c r="A19" s="98">
        <v>20004638</v>
      </c>
      <c r="B19" s="133" t="s">
        <v>53</v>
      </c>
      <c r="C19" s="98" t="s">
        <v>3155</v>
      </c>
      <c r="D19" s="212">
        <v>45139</v>
      </c>
      <c r="E19" s="136"/>
      <c r="F19" s="136"/>
      <c r="G19" s="98">
        <v>1</v>
      </c>
      <c r="H19" s="98">
        <v>98009</v>
      </c>
      <c r="I19" s="98" t="s">
        <v>51</v>
      </c>
      <c r="J19" s="98" t="s">
        <v>80</v>
      </c>
      <c r="K19" s="98" t="s">
        <v>40</v>
      </c>
      <c r="L19" s="53">
        <f>+VLOOKUP(A19,COMISIONES!$C$2:$AQ$33,41,0)</f>
        <v>30</v>
      </c>
      <c r="M19" s="7">
        <f>+VLOOKUP(A19,COMISIONES!$C$2:$C$33,1,0)</f>
        <v>20004638</v>
      </c>
    </row>
    <row r="20" spans="1:13">
      <c r="A20" s="98">
        <v>20001487</v>
      </c>
      <c r="B20" s="133" t="s">
        <v>53</v>
      </c>
      <c r="C20" s="98" t="s">
        <v>3156</v>
      </c>
      <c r="D20" s="212">
        <v>45139</v>
      </c>
      <c r="E20" s="136"/>
      <c r="F20" s="136"/>
      <c r="G20" s="98">
        <v>1</v>
      </c>
      <c r="H20" s="98">
        <v>98003</v>
      </c>
      <c r="I20" s="98" t="s">
        <v>51</v>
      </c>
      <c r="J20" s="98" t="s">
        <v>80</v>
      </c>
      <c r="K20" s="98" t="s">
        <v>40</v>
      </c>
      <c r="L20" s="53">
        <f>+VLOOKUP(A20,COMISIONES!$C$2:$AQ$33,41,0)</f>
        <v>90</v>
      </c>
      <c r="M20" s="7">
        <f>+VLOOKUP(A20,COMISIONES!$C$2:$C$33,1,0)</f>
        <v>20001487</v>
      </c>
    </row>
    <row r="21" spans="1:13">
      <c r="A21" s="98">
        <v>20001487</v>
      </c>
      <c r="B21" s="133" t="s">
        <v>53</v>
      </c>
      <c r="C21" s="98" t="s">
        <v>3157</v>
      </c>
      <c r="D21" s="212">
        <v>45139</v>
      </c>
      <c r="E21" s="136"/>
      <c r="F21" s="136"/>
      <c r="G21" s="98">
        <v>1</v>
      </c>
      <c r="H21" s="98">
        <v>98003</v>
      </c>
      <c r="I21" s="98" t="s">
        <v>51</v>
      </c>
      <c r="J21" s="98" t="s">
        <v>80</v>
      </c>
      <c r="K21" s="98" t="s">
        <v>40</v>
      </c>
      <c r="L21" s="53">
        <f>+VLOOKUP(A21,COMISIONES!$C$2:$AQ$33,41,0)</f>
        <v>90</v>
      </c>
      <c r="M21" s="7">
        <f>+VLOOKUP(A21,COMISIONES!$C$2:$C$33,1,0)</f>
        <v>20001487</v>
      </c>
    </row>
    <row r="22" spans="1:13">
      <c r="A22" s="98">
        <v>20006233</v>
      </c>
      <c r="B22" s="133" t="s">
        <v>53</v>
      </c>
      <c r="C22" s="98" t="s">
        <v>3158</v>
      </c>
      <c r="D22" s="212">
        <v>45139</v>
      </c>
      <c r="E22" s="136"/>
      <c r="F22" s="136"/>
      <c r="G22" s="98">
        <v>1</v>
      </c>
      <c r="H22" s="98">
        <v>98008</v>
      </c>
      <c r="I22" s="98" t="s">
        <v>52</v>
      </c>
      <c r="J22" s="98" t="s">
        <v>80</v>
      </c>
      <c r="K22" s="98" t="s">
        <v>40</v>
      </c>
      <c r="L22" s="53">
        <f>+VLOOKUP(A22,COMISIONES!$C$2:$AQ$33,41,0)</f>
        <v>45</v>
      </c>
      <c r="M22" s="7">
        <f>+VLOOKUP(A22,COMISIONES!$C$2:$C$33,1,0)</f>
        <v>20006233</v>
      </c>
    </row>
    <row r="23" spans="1:13">
      <c r="A23" s="98">
        <v>20000661</v>
      </c>
      <c r="B23" s="133" t="s">
        <v>53</v>
      </c>
      <c r="C23" s="98" t="s">
        <v>3159</v>
      </c>
      <c r="D23" s="212">
        <v>45139</v>
      </c>
      <c r="E23" s="136"/>
      <c r="F23" s="136"/>
      <c r="G23" s="98">
        <v>1</v>
      </c>
      <c r="H23" s="98">
        <v>98013</v>
      </c>
      <c r="I23" s="98" t="s">
        <v>51</v>
      </c>
      <c r="J23" s="98" t="s">
        <v>80</v>
      </c>
      <c r="K23" s="98" t="s">
        <v>40</v>
      </c>
      <c r="L23" s="53">
        <f>+VLOOKUP(A23,COMISIONES!$C$2:$AQ$33,41,0)</f>
        <v>45</v>
      </c>
      <c r="M23" s="7">
        <f>+VLOOKUP(A23,COMISIONES!$C$2:$C$33,1,0)</f>
        <v>20000661</v>
      </c>
    </row>
    <row r="24" spans="1:13">
      <c r="A24" s="98">
        <v>20008439</v>
      </c>
      <c r="B24" s="133" t="s">
        <v>53</v>
      </c>
      <c r="C24" s="98" t="s">
        <v>3160</v>
      </c>
      <c r="D24" s="212">
        <v>45139</v>
      </c>
      <c r="E24" s="136"/>
      <c r="F24" s="136"/>
      <c r="G24" s="98">
        <v>1</v>
      </c>
      <c r="H24" s="98">
        <v>98049</v>
      </c>
      <c r="I24" s="98" t="s">
        <v>50</v>
      </c>
      <c r="J24" s="98" t="s">
        <v>80</v>
      </c>
      <c r="K24" s="98" t="s">
        <v>40</v>
      </c>
      <c r="L24" s="53">
        <f>+VLOOKUP(A24,COMISIONES!$C$2:$AQ$33,41,0)</f>
        <v>45</v>
      </c>
      <c r="M24" s="7">
        <f>+VLOOKUP(A24,COMISIONES!$C$2:$C$33,1,0)</f>
        <v>20008439</v>
      </c>
    </row>
    <row r="25" spans="1:13">
      <c r="A25" s="98">
        <v>20010262</v>
      </c>
      <c r="B25" s="133" t="s">
        <v>53</v>
      </c>
      <c r="C25" s="98" t="s">
        <v>3161</v>
      </c>
      <c r="D25" s="212">
        <v>45139</v>
      </c>
      <c r="E25" s="136"/>
      <c r="F25" s="136"/>
      <c r="G25" s="98">
        <v>1</v>
      </c>
      <c r="H25" s="98">
        <v>98073</v>
      </c>
      <c r="I25" s="98" t="s">
        <v>52</v>
      </c>
      <c r="J25" s="98" t="s">
        <v>80</v>
      </c>
      <c r="K25" s="98" t="s">
        <v>40</v>
      </c>
      <c r="L25" s="53">
        <f>+VLOOKUP(A25,COMISIONES!$C$2:$AQ$33,41,0)</f>
        <v>45</v>
      </c>
      <c r="M25" s="7">
        <f>+VLOOKUP(A25,COMISIONES!$C$2:$C$33,1,0)</f>
        <v>20010262</v>
      </c>
    </row>
    <row r="26" spans="1:13">
      <c r="A26" s="98">
        <v>20006893</v>
      </c>
      <c r="B26" s="133" t="s">
        <v>53</v>
      </c>
      <c r="C26" s="98" t="s">
        <v>3162</v>
      </c>
      <c r="D26" s="212">
        <v>45139</v>
      </c>
      <c r="E26" s="136"/>
      <c r="F26" s="136"/>
      <c r="G26" s="98">
        <v>1</v>
      </c>
      <c r="H26" s="98">
        <v>98071</v>
      </c>
      <c r="I26" s="98" t="s">
        <v>51</v>
      </c>
      <c r="J26" s="98" t="s">
        <v>80</v>
      </c>
      <c r="K26" s="98" t="s">
        <v>40</v>
      </c>
      <c r="L26" s="53">
        <f>+VLOOKUP(A26,COMISIONES!$C$2:$AQ$33,41,0)</f>
        <v>45</v>
      </c>
      <c r="M26" s="7">
        <f>+VLOOKUP(A26,COMISIONES!$C$2:$C$33,1,0)</f>
        <v>20006893</v>
      </c>
    </row>
    <row r="27" spans="1:13">
      <c r="A27" s="98">
        <v>20009688</v>
      </c>
      <c r="B27" s="133" t="s">
        <v>53</v>
      </c>
      <c r="C27" s="98" t="s">
        <v>3163</v>
      </c>
      <c r="D27" s="212">
        <v>45139</v>
      </c>
      <c r="E27" s="136"/>
      <c r="F27" s="136"/>
      <c r="G27" s="98">
        <v>1</v>
      </c>
      <c r="H27" s="98">
        <v>98075</v>
      </c>
      <c r="I27" s="98" t="s">
        <v>52</v>
      </c>
      <c r="J27" s="98" t="s">
        <v>80</v>
      </c>
      <c r="K27" s="98" t="s">
        <v>40</v>
      </c>
      <c r="L27" s="53">
        <f>+VLOOKUP(A27,COMISIONES!$C$2:$AQ$33,41,0)</f>
        <v>45</v>
      </c>
      <c r="M27" s="7">
        <f>+VLOOKUP(A27,COMISIONES!$C$2:$C$33,1,0)</f>
        <v>20009688</v>
      </c>
    </row>
    <row r="28" spans="1:13">
      <c r="A28" s="98">
        <v>20007020</v>
      </c>
      <c r="B28" s="133" t="s">
        <v>53</v>
      </c>
      <c r="C28" s="98" t="s">
        <v>3164</v>
      </c>
      <c r="D28" s="212">
        <v>45139</v>
      </c>
      <c r="E28" s="136"/>
      <c r="F28" s="136"/>
      <c r="G28" s="98">
        <v>1</v>
      </c>
      <c r="H28" s="98">
        <v>98047</v>
      </c>
      <c r="I28" s="98" t="s">
        <v>50</v>
      </c>
      <c r="J28" s="98" t="s">
        <v>80</v>
      </c>
      <c r="K28" s="98" t="s">
        <v>40</v>
      </c>
      <c r="L28" s="53">
        <f>+VLOOKUP(A28,COMISIONES!$C$2:$AQ$33,41,0)</f>
        <v>30</v>
      </c>
      <c r="M28" s="7">
        <f>+VLOOKUP(A28,COMISIONES!$C$2:$C$33,1,0)</f>
        <v>20007020</v>
      </c>
    </row>
    <row r="29" spans="1:13">
      <c r="A29" s="98">
        <v>20006162</v>
      </c>
      <c r="B29" s="133" t="s">
        <v>53</v>
      </c>
      <c r="C29" s="98" t="s">
        <v>3165</v>
      </c>
      <c r="D29" s="212">
        <v>45139</v>
      </c>
      <c r="E29" s="136"/>
      <c r="F29" s="136"/>
      <c r="G29" s="98">
        <v>1</v>
      </c>
      <c r="H29" s="98">
        <v>98069</v>
      </c>
      <c r="I29" s="98" t="s">
        <v>50</v>
      </c>
      <c r="J29" s="98" t="s">
        <v>80</v>
      </c>
      <c r="K29" s="98" t="s">
        <v>40</v>
      </c>
      <c r="L29" s="53">
        <f>+VLOOKUP(A29,COMISIONES!$C$2:$AQ$33,41,0)</f>
        <v>60</v>
      </c>
      <c r="M29" s="7">
        <f>+VLOOKUP(A29,COMISIONES!$C$2:$C$33,1,0)</f>
        <v>20006162</v>
      </c>
    </row>
    <row r="30" spans="1:13">
      <c r="A30" s="98">
        <v>20010101</v>
      </c>
      <c r="B30" s="133" t="s">
        <v>53</v>
      </c>
      <c r="C30" s="98" t="s">
        <v>3166</v>
      </c>
      <c r="D30" s="212">
        <v>45139</v>
      </c>
      <c r="E30" s="136"/>
      <c r="F30" s="136"/>
      <c r="G30" s="98">
        <v>1</v>
      </c>
      <c r="H30" s="98">
        <v>98072</v>
      </c>
      <c r="I30" s="98" t="s">
        <v>49</v>
      </c>
      <c r="J30" s="98" t="s">
        <v>80</v>
      </c>
      <c r="K30" s="98" t="s">
        <v>40</v>
      </c>
      <c r="L30" s="53">
        <f>+VLOOKUP(A30,COMISIONES!$C$2:$AQ$33,41,0)</f>
        <v>90</v>
      </c>
      <c r="M30" s="7">
        <f>+VLOOKUP(A30,COMISIONES!$C$2:$C$33,1,0)</f>
        <v>20010101</v>
      </c>
    </row>
    <row r="31" spans="1:13">
      <c r="A31" s="98">
        <v>20002636</v>
      </c>
      <c r="B31" s="133" t="s">
        <v>53</v>
      </c>
      <c r="C31" s="98" t="s">
        <v>3167</v>
      </c>
      <c r="D31" s="212">
        <v>45139</v>
      </c>
      <c r="E31" s="136"/>
      <c r="F31" s="136"/>
      <c r="G31" s="98">
        <v>1</v>
      </c>
      <c r="H31" s="98">
        <v>98007</v>
      </c>
      <c r="I31" s="98" t="s">
        <v>51</v>
      </c>
      <c r="J31" s="98" t="s">
        <v>80</v>
      </c>
      <c r="K31" s="98" t="s">
        <v>40</v>
      </c>
      <c r="L31" s="53">
        <f>+VLOOKUP(A31,COMISIONES!$C$2:$AQ$33,41,0)</f>
        <v>45</v>
      </c>
      <c r="M31" s="7">
        <f>+VLOOKUP(A31,COMISIONES!$C$2:$C$33,1,0)</f>
        <v>20002636</v>
      </c>
    </row>
    <row r="32" spans="1:13">
      <c r="A32" s="98">
        <v>20010262</v>
      </c>
      <c r="B32" s="133" t="s">
        <v>53</v>
      </c>
      <c r="C32" s="98" t="s">
        <v>3168</v>
      </c>
      <c r="D32" s="212">
        <v>45139</v>
      </c>
      <c r="E32" s="136"/>
      <c r="F32" s="136"/>
      <c r="G32" s="98">
        <v>1</v>
      </c>
      <c r="H32" s="98">
        <v>98073</v>
      </c>
      <c r="I32" s="98" t="s">
        <v>52</v>
      </c>
      <c r="J32" s="98" t="s">
        <v>80</v>
      </c>
      <c r="K32" s="98" t="s">
        <v>40</v>
      </c>
      <c r="L32" s="53">
        <f>+VLOOKUP(A32,COMISIONES!$C$2:$AQ$33,41,0)</f>
        <v>45</v>
      </c>
      <c r="M32" s="7">
        <f>+VLOOKUP(A32,COMISIONES!$C$2:$C$33,1,0)</f>
        <v>20010262</v>
      </c>
    </row>
    <row r="33" spans="1:13">
      <c r="A33" s="98">
        <v>20010101</v>
      </c>
      <c r="B33" s="133" t="s">
        <v>53</v>
      </c>
      <c r="C33" s="98" t="s">
        <v>3169</v>
      </c>
      <c r="D33" s="212">
        <v>45139</v>
      </c>
      <c r="E33" s="136"/>
      <c r="F33" s="136"/>
      <c r="G33" s="98">
        <v>1</v>
      </c>
      <c r="H33" s="98">
        <v>98072</v>
      </c>
      <c r="I33" s="98" t="s">
        <v>49</v>
      </c>
      <c r="J33" s="98" t="s">
        <v>80</v>
      </c>
      <c r="K33" s="98" t="s">
        <v>40</v>
      </c>
      <c r="L33" s="53">
        <f>+VLOOKUP(A33,COMISIONES!$C$2:$AQ$33,41,0)</f>
        <v>90</v>
      </c>
      <c r="M33" s="7">
        <f>+VLOOKUP(A33,COMISIONES!$C$2:$C$33,1,0)</f>
        <v>20010101</v>
      </c>
    </row>
    <row r="34" spans="1:13">
      <c r="A34" s="98">
        <v>20010766</v>
      </c>
      <c r="B34" s="133" t="s">
        <v>53</v>
      </c>
      <c r="C34" s="98" t="s">
        <v>3170</v>
      </c>
      <c r="D34" s="212">
        <v>45139</v>
      </c>
      <c r="E34" s="136"/>
      <c r="F34" s="136"/>
      <c r="G34" s="98">
        <v>1</v>
      </c>
      <c r="H34" s="98">
        <v>98080</v>
      </c>
      <c r="I34" s="98" t="s">
        <v>51</v>
      </c>
      <c r="J34" s="98" t="s">
        <v>80</v>
      </c>
      <c r="K34" s="98" t="s">
        <v>40</v>
      </c>
      <c r="L34" s="53">
        <f>+VLOOKUP(A34,COMISIONES!$C$2:$AQ$33,41,0)</f>
        <v>30</v>
      </c>
      <c r="M34" s="7">
        <f>+VLOOKUP(A34,COMISIONES!$C$2:$C$33,1,0)</f>
        <v>20010766</v>
      </c>
    </row>
    <row r="35" spans="1:13">
      <c r="A35" s="98">
        <v>20004161</v>
      </c>
      <c r="B35" s="133" t="s">
        <v>53</v>
      </c>
      <c r="C35" s="98" t="s">
        <v>3171</v>
      </c>
      <c r="D35" s="212">
        <v>45139</v>
      </c>
      <c r="E35" s="136"/>
      <c r="F35" s="136"/>
      <c r="G35" s="98">
        <v>1</v>
      </c>
      <c r="H35" s="98">
        <v>98019</v>
      </c>
      <c r="I35" s="98" t="s">
        <v>49</v>
      </c>
      <c r="J35" s="98" t="s">
        <v>80</v>
      </c>
      <c r="K35" s="98" t="s">
        <v>40</v>
      </c>
      <c r="L35" s="53">
        <f>+VLOOKUP(A35,COMISIONES!$C$2:$AQ$33,41,0)</f>
        <v>95</v>
      </c>
      <c r="M35" s="7">
        <f>+VLOOKUP(A35,COMISIONES!$C$2:$C$33,1,0)</f>
        <v>20004161</v>
      </c>
    </row>
    <row r="36" spans="1:13">
      <c r="A36" s="98">
        <v>20007352</v>
      </c>
      <c r="B36" s="133" t="s">
        <v>53</v>
      </c>
      <c r="C36" s="98" t="s">
        <v>3172</v>
      </c>
      <c r="D36" s="212">
        <v>45139</v>
      </c>
      <c r="E36" s="136"/>
      <c r="F36" s="136"/>
      <c r="G36" s="98">
        <v>1</v>
      </c>
      <c r="H36" s="98">
        <v>98034</v>
      </c>
      <c r="I36" s="98" t="s">
        <v>52</v>
      </c>
      <c r="J36" s="98" t="s">
        <v>80</v>
      </c>
      <c r="K36" s="98" t="s">
        <v>40</v>
      </c>
      <c r="L36" s="53">
        <f>+VLOOKUP(A36,COMISIONES!$C$2:$AQ$33,41,0)</f>
        <v>45</v>
      </c>
      <c r="M36" s="7">
        <f>+VLOOKUP(A36,COMISIONES!$C$2:$C$33,1,0)</f>
        <v>20007352</v>
      </c>
    </row>
    <row r="37" spans="1:13">
      <c r="A37" s="98">
        <v>20001487</v>
      </c>
      <c r="B37" s="133" t="s">
        <v>53</v>
      </c>
      <c r="C37" s="98" t="s">
        <v>3173</v>
      </c>
      <c r="D37" s="212">
        <v>45139</v>
      </c>
      <c r="E37" s="136"/>
      <c r="F37" s="136"/>
      <c r="G37" s="98">
        <v>1</v>
      </c>
      <c r="H37" s="98">
        <v>98003</v>
      </c>
      <c r="I37" s="98" t="s">
        <v>51</v>
      </c>
      <c r="J37" s="98" t="s">
        <v>80</v>
      </c>
      <c r="K37" s="98" t="s">
        <v>40</v>
      </c>
      <c r="L37" s="53">
        <f>+VLOOKUP(A37,COMISIONES!$C$2:$AQ$33,41,0)</f>
        <v>90</v>
      </c>
      <c r="M37" s="7">
        <f>+VLOOKUP(A37,COMISIONES!$C$2:$C$33,1,0)</f>
        <v>20001487</v>
      </c>
    </row>
    <row r="38" spans="1:13">
      <c r="A38" s="98">
        <v>20002708</v>
      </c>
      <c r="B38" s="133" t="s">
        <v>53</v>
      </c>
      <c r="C38" s="98" t="s">
        <v>3174</v>
      </c>
      <c r="D38" s="212">
        <v>45139</v>
      </c>
      <c r="E38" s="136"/>
      <c r="F38" s="136"/>
      <c r="G38" s="98">
        <v>1</v>
      </c>
      <c r="H38" s="98">
        <v>98021</v>
      </c>
      <c r="I38" s="98" t="s">
        <v>49</v>
      </c>
      <c r="J38" s="98" t="s">
        <v>80</v>
      </c>
      <c r="K38" s="98" t="s">
        <v>40</v>
      </c>
      <c r="L38" s="53">
        <f>+VLOOKUP(A38,COMISIONES!$C$2:$AQ$33,41,0)</f>
        <v>45</v>
      </c>
      <c r="M38" s="7">
        <f>+VLOOKUP(A38,COMISIONES!$C$2:$C$33,1,0)</f>
        <v>20002708</v>
      </c>
    </row>
    <row r="39" spans="1:13">
      <c r="A39" s="98">
        <v>20009688</v>
      </c>
      <c r="B39" s="133" t="s">
        <v>53</v>
      </c>
      <c r="C39" s="98" t="s">
        <v>3175</v>
      </c>
      <c r="D39" s="212">
        <v>45139</v>
      </c>
      <c r="E39" s="136"/>
      <c r="F39" s="136"/>
      <c r="G39" s="98">
        <v>1</v>
      </c>
      <c r="H39" s="98">
        <v>98075</v>
      </c>
      <c r="I39" s="98" t="s">
        <v>52</v>
      </c>
      <c r="J39" s="98" t="s">
        <v>80</v>
      </c>
      <c r="K39" s="98" t="s">
        <v>40</v>
      </c>
      <c r="L39" s="53">
        <f>+VLOOKUP(A39,COMISIONES!$C$2:$AQ$33,41,0)</f>
        <v>45</v>
      </c>
      <c r="M39" s="7">
        <f>+VLOOKUP(A39,COMISIONES!$C$2:$C$33,1,0)</f>
        <v>20009688</v>
      </c>
    </row>
    <row r="40" spans="1:13">
      <c r="A40" s="98">
        <v>20004235</v>
      </c>
      <c r="B40" s="133" t="s">
        <v>53</v>
      </c>
      <c r="C40" s="98" t="s">
        <v>3176</v>
      </c>
      <c r="D40" s="212">
        <v>45139</v>
      </c>
      <c r="E40" s="136"/>
      <c r="F40" s="136"/>
      <c r="G40" s="98">
        <v>1</v>
      </c>
      <c r="H40" s="98">
        <v>98002</v>
      </c>
      <c r="I40" s="98" t="s">
        <v>49</v>
      </c>
      <c r="J40" s="98" t="s">
        <v>80</v>
      </c>
      <c r="K40" s="98" t="s">
        <v>40</v>
      </c>
      <c r="L40" s="53">
        <f>+VLOOKUP(A40,COMISIONES!$C$2:$AQ$33,41,0)</f>
        <v>45</v>
      </c>
      <c r="M40" s="7">
        <f>+VLOOKUP(A40,COMISIONES!$C$2:$C$33,1,0)</f>
        <v>20004235</v>
      </c>
    </row>
    <row r="41" spans="1:13">
      <c r="A41" s="98">
        <v>20009174</v>
      </c>
      <c r="B41" s="133" t="s">
        <v>53</v>
      </c>
      <c r="C41" s="98" t="s">
        <v>3177</v>
      </c>
      <c r="D41" s="212">
        <v>45139</v>
      </c>
      <c r="E41" s="136"/>
      <c r="F41" s="136"/>
      <c r="G41" s="98">
        <v>1</v>
      </c>
      <c r="H41" s="98">
        <v>98064</v>
      </c>
      <c r="I41" s="98" t="s">
        <v>52</v>
      </c>
      <c r="J41" s="98" t="s">
        <v>80</v>
      </c>
      <c r="K41" s="98" t="s">
        <v>40</v>
      </c>
      <c r="L41" s="53">
        <f>+VLOOKUP(A41,COMISIONES!$C$2:$AQ$33,41,0)</f>
        <v>60</v>
      </c>
      <c r="M41" s="7">
        <f>+VLOOKUP(A41,COMISIONES!$C$2:$C$33,1,0)</f>
        <v>20009174</v>
      </c>
    </row>
    <row r="42" spans="1:13">
      <c r="A42" s="98">
        <v>20000033</v>
      </c>
      <c r="B42" s="133" t="s">
        <v>53</v>
      </c>
      <c r="C42" s="98" t="s">
        <v>3178</v>
      </c>
      <c r="D42" s="212">
        <v>45139</v>
      </c>
      <c r="E42" s="136"/>
      <c r="F42" s="136"/>
      <c r="G42" s="98">
        <v>1</v>
      </c>
      <c r="H42" s="98">
        <v>98000</v>
      </c>
      <c r="I42" s="98" t="s">
        <v>51</v>
      </c>
      <c r="J42" s="98" t="s">
        <v>80</v>
      </c>
      <c r="K42" s="98" t="s">
        <v>40</v>
      </c>
      <c r="L42" s="53">
        <f>+VLOOKUP(A42,COMISIONES!$C$2:$AQ$33,41,0)</f>
        <v>45</v>
      </c>
      <c r="M42" s="7">
        <f>+VLOOKUP(A42,COMISIONES!$C$2:$C$33,1,0)</f>
        <v>20000033</v>
      </c>
    </row>
    <row r="43" spans="1:13">
      <c r="A43" s="98">
        <v>20002708</v>
      </c>
      <c r="B43" s="133" t="s">
        <v>53</v>
      </c>
      <c r="C43" s="98" t="s">
        <v>3179</v>
      </c>
      <c r="D43" s="212">
        <v>45139</v>
      </c>
      <c r="E43" s="136"/>
      <c r="F43" s="136"/>
      <c r="G43" s="98">
        <v>1</v>
      </c>
      <c r="H43" s="98">
        <v>98021</v>
      </c>
      <c r="I43" s="98" t="s">
        <v>49</v>
      </c>
      <c r="J43" s="98" t="s">
        <v>80</v>
      </c>
      <c r="K43" s="98" t="s">
        <v>40</v>
      </c>
      <c r="L43" s="53">
        <f>+VLOOKUP(A43,COMISIONES!$C$2:$AQ$33,41,0)</f>
        <v>45</v>
      </c>
      <c r="M43" s="7">
        <f>+VLOOKUP(A43,COMISIONES!$C$2:$C$33,1,0)</f>
        <v>20002708</v>
      </c>
    </row>
    <row r="44" spans="1:13">
      <c r="A44" s="98">
        <v>20010101</v>
      </c>
      <c r="B44" s="133" t="s">
        <v>53</v>
      </c>
      <c r="C44" s="98" t="s">
        <v>3180</v>
      </c>
      <c r="D44" s="212">
        <v>45139</v>
      </c>
      <c r="E44" s="136"/>
      <c r="F44" s="136"/>
      <c r="G44" s="98">
        <v>1</v>
      </c>
      <c r="H44" s="98">
        <v>98072</v>
      </c>
      <c r="I44" s="98" t="s">
        <v>49</v>
      </c>
      <c r="J44" s="98" t="s">
        <v>80</v>
      </c>
      <c r="K44" s="98" t="s">
        <v>40</v>
      </c>
      <c r="L44" s="53">
        <f>+VLOOKUP(A44,COMISIONES!$C$2:$AQ$33,41,0)</f>
        <v>90</v>
      </c>
      <c r="M44" s="7">
        <f>+VLOOKUP(A44,COMISIONES!$C$2:$C$33,1,0)</f>
        <v>20010101</v>
      </c>
    </row>
    <row r="45" spans="1:13">
      <c r="A45" s="98">
        <v>20006162</v>
      </c>
      <c r="B45" s="133" t="s">
        <v>53</v>
      </c>
      <c r="C45" s="98" t="s">
        <v>3181</v>
      </c>
      <c r="D45" s="212">
        <v>45139</v>
      </c>
      <c r="E45" s="136"/>
      <c r="F45" s="136"/>
      <c r="G45" s="98">
        <v>1</v>
      </c>
      <c r="H45" s="98">
        <v>98069</v>
      </c>
      <c r="I45" s="98" t="s">
        <v>50</v>
      </c>
      <c r="J45" s="98" t="s">
        <v>80</v>
      </c>
      <c r="K45" s="98" t="s">
        <v>40</v>
      </c>
      <c r="L45" s="53">
        <f>+VLOOKUP(A45,COMISIONES!$C$2:$AQ$33,41,0)</f>
        <v>60</v>
      </c>
      <c r="M45" s="7">
        <f>+VLOOKUP(A45,COMISIONES!$C$2:$C$33,1,0)</f>
        <v>20006162</v>
      </c>
    </row>
    <row r="46" spans="1:13">
      <c r="A46" s="98">
        <v>20006360</v>
      </c>
      <c r="B46" s="133" t="s">
        <v>53</v>
      </c>
      <c r="C46" s="98" t="s">
        <v>3182</v>
      </c>
      <c r="D46" s="212">
        <v>45139</v>
      </c>
      <c r="E46" s="136"/>
      <c r="F46" s="136"/>
      <c r="G46" s="98">
        <v>1</v>
      </c>
      <c r="H46" s="98">
        <v>98012</v>
      </c>
      <c r="I46" s="98" t="s">
        <v>50</v>
      </c>
      <c r="J46" s="98" t="s">
        <v>80</v>
      </c>
      <c r="K46" s="98" t="s">
        <v>40</v>
      </c>
      <c r="L46" s="53">
        <f>+VLOOKUP(A46,COMISIONES!$C$2:$AQ$33,41,0)</f>
        <v>30</v>
      </c>
      <c r="M46" s="7">
        <f>+VLOOKUP(A46,COMISIONES!$C$2:$C$33,1,0)</f>
        <v>20006360</v>
      </c>
    </row>
    <row r="47" spans="1:13">
      <c r="A47" s="98">
        <v>20006360</v>
      </c>
      <c r="B47" s="133" t="s">
        <v>53</v>
      </c>
      <c r="C47" s="98" t="s">
        <v>3183</v>
      </c>
      <c r="D47" s="212">
        <v>45139</v>
      </c>
      <c r="E47" s="136"/>
      <c r="F47" s="136"/>
      <c r="G47" s="98">
        <v>1</v>
      </c>
      <c r="H47" s="98">
        <v>98012</v>
      </c>
      <c r="I47" s="98" t="s">
        <v>50</v>
      </c>
      <c r="J47" s="98" t="s">
        <v>80</v>
      </c>
      <c r="K47" s="98" t="s">
        <v>40</v>
      </c>
      <c r="L47" s="53">
        <f>+VLOOKUP(A47,COMISIONES!$C$2:$AQ$33,41,0)</f>
        <v>30</v>
      </c>
      <c r="M47" s="7">
        <f>+VLOOKUP(A47,COMISIONES!$C$2:$C$33,1,0)</f>
        <v>20006360</v>
      </c>
    </row>
    <row r="48" spans="1:13">
      <c r="A48" s="98">
        <v>20006233</v>
      </c>
      <c r="B48" s="133" t="s">
        <v>53</v>
      </c>
      <c r="C48" s="98" t="s">
        <v>3184</v>
      </c>
      <c r="D48" s="212">
        <v>45139</v>
      </c>
      <c r="E48" s="136"/>
      <c r="F48" s="136"/>
      <c r="G48" s="98">
        <v>1</v>
      </c>
      <c r="H48" s="98">
        <v>98008</v>
      </c>
      <c r="I48" s="98" t="s">
        <v>52</v>
      </c>
      <c r="J48" s="98" t="s">
        <v>80</v>
      </c>
      <c r="K48" s="98" t="s">
        <v>40</v>
      </c>
      <c r="L48" s="53">
        <f>+VLOOKUP(A48,COMISIONES!$C$2:$AQ$33,41,0)</f>
        <v>45</v>
      </c>
      <c r="M48" s="7">
        <f>+VLOOKUP(A48,COMISIONES!$C$2:$C$33,1,0)</f>
        <v>20006233</v>
      </c>
    </row>
    <row r="49" spans="1:13">
      <c r="A49" s="98">
        <v>20009269</v>
      </c>
      <c r="B49" s="133" t="s">
        <v>53</v>
      </c>
      <c r="C49" s="98" t="s">
        <v>3185</v>
      </c>
      <c r="D49" s="212">
        <v>45139</v>
      </c>
      <c r="E49" s="136"/>
      <c r="F49" s="136"/>
      <c r="G49" s="98">
        <v>1</v>
      </c>
      <c r="H49" s="98">
        <v>98065</v>
      </c>
      <c r="I49" s="98" t="s">
        <v>49</v>
      </c>
      <c r="J49" s="98" t="s">
        <v>80</v>
      </c>
      <c r="K49" s="98" t="s">
        <v>40</v>
      </c>
      <c r="L49" s="53">
        <f>+VLOOKUP(A49,COMISIONES!$C$2:$AQ$33,41,0)</f>
        <v>90</v>
      </c>
      <c r="M49" s="7">
        <f>+VLOOKUP(A49,COMISIONES!$C$2:$C$33,1,0)</f>
        <v>20009269</v>
      </c>
    </row>
    <row r="50" spans="1:13">
      <c r="A50" s="98">
        <v>20007943</v>
      </c>
      <c r="B50" s="133" t="s">
        <v>53</v>
      </c>
      <c r="C50" s="98" t="s">
        <v>3186</v>
      </c>
      <c r="D50" s="212">
        <v>45139</v>
      </c>
      <c r="E50" s="136"/>
      <c r="F50" s="136"/>
      <c r="G50" s="98">
        <v>1</v>
      </c>
      <c r="H50" s="98">
        <v>98077</v>
      </c>
      <c r="I50" s="98" t="s">
        <v>51</v>
      </c>
      <c r="J50" s="98" t="s">
        <v>80</v>
      </c>
      <c r="K50" s="98" t="s">
        <v>40</v>
      </c>
      <c r="L50" s="53">
        <f>+VLOOKUP(A50,COMISIONES!$C$2:$AQ$33,41,0)</f>
        <v>30</v>
      </c>
      <c r="M50" s="7">
        <f>+VLOOKUP(A50,COMISIONES!$C$2:$C$33,1,0)</f>
        <v>20007943</v>
      </c>
    </row>
    <row r="51" spans="1:13">
      <c r="A51" s="98">
        <v>20006162</v>
      </c>
      <c r="B51" s="133" t="s">
        <v>53</v>
      </c>
      <c r="C51" s="98" t="s">
        <v>3187</v>
      </c>
      <c r="D51" s="212">
        <v>45139</v>
      </c>
      <c r="E51" s="136"/>
      <c r="F51" s="136"/>
      <c r="G51" s="98">
        <v>1</v>
      </c>
      <c r="H51" s="98">
        <v>98069</v>
      </c>
      <c r="I51" s="98" t="s">
        <v>50</v>
      </c>
      <c r="J51" s="98" t="s">
        <v>80</v>
      </c>
      <c r="K51" s="98" t="s">
        <v>40</v>
      </c>
      <c r="L51" s="53">
        <f>+VLOOKUP(A51,COMISIONES!$C$2:$AQ$33,41,0)</f>
        <v>60</v>
      </c>
      <c r="M51" s="7">
        <f>+VLOOKUP(A51,COMISIONES!$C$2:$C$33,1,0)</f>
        <v>20006162</v>
      </c>
    </row>
    <row r="52" spans="1:13">
      <c r="A52" s="98">
        <v>20007352</v>
      </c>
      <c r="B52" s="133" t="s">
        <v>53</v>
      </c>
      <c r="C52" s="98" t="s">
        <v>3188</v>
      </c>
      <c r="D52" s="212">
        <v>45139</v>
      </c>
      <c r="E52" s="136"/>
      <c r="F52" s="136"/>
      <c r="G52" s="98">
        <v>1</v>
      </c>
      <c r="H52" s="98">
        <v>98034</v>
      </c>
      <c r="I52" s="98" t="s">
        <v>52</v>
      </c>
      <c r="J52" s="98" t="s">
        <v>80</v>
      </c>
      <c r="K52" s="98" t="s">
        <v>40</v>
      </c>
      <c r="L52" s="53">
        <f>+VLOOKUP(A52,COMISIONES!$C$2:$AQ$33,41,0)</f>
        <v>45</v>
      </c>
      <c r="M52" s="7">
        <f>+VLOOKUP(A52,COMISIONES!$C$2:$C$33,1,0)</f>
        <v>20007352</v>
      </c>
    </row>
    <row r="53" spans="1:13">
      <c r="A53" s="98">
        <v>20009269</v>
      </c>
      <c r="B53" s="133" t="s">
        <v>53</v>
      </c>
      <c r="C53" s="98" t="s">
        <v>3189</v>
      </c>
      <c r="D53" s="212">
        <v>45139</v>
      </c>
      <c r="E53" s="136"/>
      <c r="F53" s="136"/>
      <c r="G53" s="98">
        <v>1</v>
      </c>
      <c r="H53" s="98">
        <v>98065</v>
      </c>
      <c r="I53" s="98" t="s">
        <v>49</v>
      </c>
      <c r="J53" s="98" t="s">
        <v>80</v>
      </c>
      <c r="K53" s="98" t="s">
        <v>40</v>
      </c>
      <c r="L53" s="53">
        <f>+VLOOKUP(A53,COMISIONES!$C$2:$AQ$33,41,0)</f>
        <v>90</v>
      </c>
      <c r="M53" s="7">
        <f>+VLOOKUP(A53,COMISIONES!$C$2:$C$33,1,0)</f>
        <v>20009269</v>
      </c>
    </row>
    <row r="54" spans="1:13">
      <c r="A54" s="98">
        <v>20006233</v>
      </c>
      <c r="B54" s="133" t="s">
        <v>53</v>
      </c>
      <c r="C54" s="98" t="s">
        <v>3190</v>
      </c>
      <c r="D54" s="212">
        <v>45139</v>
      </c>
      <c r="E54" s="136"/>
      <c r="F54" s="136"/>
      <c r="G54" s="98">
        <v>1</v>
      </c>
      <c r="H54" s="98">
        <v>98008</v>
      </c>
      <c r="I54" s="98" t="s">
        <v>52</v>
      </c>
      <c r="J54" s="98" t="s">
        <v>80</v>
      </c>
      <c r="K54" s="98" t="s">
        <v>40</v>
      </c>
      <c r="L54" s="53">
        <f>+VLOOKUP(A54,COMISIONES!$C$2:$AQ$33,41,0)</f>
        <v>45</v>
      </c>
      <c r="M54" s="7">
        <f>+VLOOKUP(A54,COMISIONES!$C$2:$C$33,1,0)</f>
        <v>20006233</v>
      </c>
    </row>
    <row r="55" spans="1:13">
      <c r="A55" s="98">
        <v>20009269</v>
      </c>
      <c r="B55" s="133" t="s">
        <v>53</v>
      </c>
      <c r="C55" s="98" t="s">
        <v>3191</v>
      </c>
      <c r="D55" s="212">
        <v>45139</v>
      </c>
      <c r="E55" s="136"/>
      <c r="F55" s="136"/>
      <c r="G55" s="98">
        <v>1</v>
      </c>
      <c r="H55" s="98">
        <v>98065</v>
      </c>
      <c r="I55" s="98" t="s">
        <v>49</v>
      </c>
      <c r="J55" s="98" t="s">
        <v>80</v>
      </c>
      <c r="K55" s="98" t="s">
        <v>40</v>
      </c>
      <c r="L55" s="53">
        <f>+VLOOKUP(A55,COMISIONES!$C$2:$AQ$33,41,0)</f>
        <v>90</v>
      </c>
      <c r="M55" s="7">
        <f>+VLOOKUP(A55,COMISIONES!$C$2:$C$33,1,0)</f>
        <v>20009269</v>
      </c>
    </row>
    <row r="56" spans="1:13">
      <c r="A56" s="98">
        <v>20009269</v>
      </c>
      <c r="B56" s="133" t="s">
        <v>53</v>
      </c>
      <c r="C56" s="98" t="s">
        <v>3192</v>
      </c>
      <c r="D56" s="212">
        <v>45139</v>
      </c>
      <c r="E56" s="136"/>
      <c r="F56" s="136"/>
      <c r="G56" s="98">
        <v>1</v>
      </c>
      <c r="H56" s="98">
        <v>98065</v>
      </c>
      <c r="I56" s="98" t="s">
        <v>49</v>
      </c>
      <c r="J56" s="98" t="s">
        <v>80</v>
      </c>
      <c r="K56" s="98" t="s">
        <v>40</v>
      </c>
      <c r="L56" s="53">
        <f>+VLOOKUP(A56,COMISIONES!$C$2:$AQ$33,41,0)</f>
        <v>90</v>
      </c>
      <c r="M56" s="7">
        <f>+VLOOKUP(A56,COMISIONES!$C$2:$C$33,1,0)</f>
        <v>20009269</v>
      </c>
    </row>
    <row r="57" spans="1:13">
      <c r="A57" s="98">
        <v>20009269</v>
      </c>
      <c r="B57" s="133" t="s">
        <v>53</v>
      </c>
      <c r="C57" s="98" t="s">
        <v>3193</v>
      </c>
      <c r="D57" s="212">
        <v>45139</v>
      </c>
      <c r="E57" s="136"/>
      <c r="F57" s="136"/>
      <c r="G57" s="98">
        <v>1</v>
      </c>
      <c r="H57" s="98">
        <v>98065</v>
      </c>
      <c r="I57" s="98" t="s">
        <v>49</v>
      </c>
      <c r="J57" s="98" t="s">
        <v>80</v>
      </c>
      <c r="K57" s="98" t="s">
        <v>40</v>
      </c>
      <c r="L57" s="53">
        <f>+VLOOKUP(A57,COMISIONES!$C$2:$AQ$33,41,0)</f>
        <v>90</v>
      </c>
      <c r="M57" s="7">
        <f>+VLOOKUP(A57,COMISIONES!$C$2:$C$33,1,0)</f>
        <v>20009269</v>
      </c>
    </row>
    <row r="58" spans="1:13">
      <c r="A58" s="98">
        <v>20010101</v>
      </c>
      <c r="B58" s="133" t="s">
        <v>53</v>
      </c>
      <c r="C58" s="98" t="s">
        <v>3194</v>
      </c>
      <c r="D58" s="212">
        <v>45139</v>
      </c>
      <c r="E58" s="136"/>
      <c r="F58" s="136"/>
      <c r="G58" s="98">
        <v>1</v>
      </c>
      <c r="H58" s="98">
        <v>98072</v>
      </c>
      <c r="I58" s="98" t="s">
        <v>49</v>
      </c>
      <c r="J58" s="98" t="s">
        <v>80</v>
      </c>
      <c r="K58" s="98" t="s">
        <v>40</v>
      </c>
      <c r="L58" s="53">
        <f>+VLOOKUP(A58,COMISIONES!$C$2:$AQ$33,41,0)</f>
        <v>90</v>
      </c>
      <c r="M58" s="7">
        <f>+VLOOKUP(A58,COMISIONES!$C$2:$C$33,1,0)</f>
        <v>20010101</v>
      </c>
    </row>
    <row r="59" spans="1:13">
      <c r="A59" s="98">
        <v>20007726</v>
      </c>
      <c r="B59" s="133" t="s">
        <v>53</v>
      </c>
      <c r="C59" s="98" t="s">
        <v>3195</v>
      </c>
      <c r="D59" s="212">
        <v>45139</v>
      </c>
      <c r="E59" s="136"/>
      <c r="F59" s="136"/>
      <c r="G59" s="98">
        <v>1</v>
      </c>
      <c r="H59" s="98">
        <v>98051</v>
      </c>
      <c r="I59" s="98" t="s">
        <v>49</v>
      </c>
      <c r="J59" s="98" t="s">
        <v>80</v>
      </c>
      <c r="K59" s="98" t="s">
        <v>40</v>
      </c>
      <c r="L59" s="53">
        <f>+VLOOKUP(A59,COMISIONES!$C$2:$AQ$33,41,0)</f>
        <v>90</v>
      </c>
      <c r="M59" s="7">
        <f>+VLOOKUP(A59,COMISIONES!$C$2:$C$33,1,0)</f>
        <v>20007726</v>
      </c>
    </row>
    <row r="60" spans="1:13">
      <c r="A60" s="98">
        <v>20002708</v>
      </c>
      <c r="B60" s="133" t="s">
        <v>53</v>
      </c>
      <c r="C60" s="98" t="s">
        <v>3196</v>
      </c>
      <c r="D60" s="212">
        <v>45139</v>
      </c>
      <c r="E60" s="136"/>
      <c r="F60" s="136"/>
      <c r="G60" s="98">
        <v>1</v>
      </c>
      <c r="H60" s="98">
        <v>98021</v>
      </c>
      <c r="I60" s="98" t="s">
        <v>49</v>
      </c>
      <c r="J60" s="98" t="s">
        <v>80</v>
      </c>
      <c r="K60" s="98" t="s">
        <v>40</v>
      </c>
      <c r="L60" s="53">
        <f>+VLOOKUP(A60,COMISIONES!$C$2:$AQ$33,41,0)</f>
        <v>45</v>
      </c>
      <c r="M60" s="7">
        <f>+VLOOKUP(A60,COMISIONES!$C$2:$C$33,1,0)</f>
        <v>20002708</v>
      </c>
    </row>
    <row r="61" spans="1:13">
      <c r="A61" s="98">
        <v>20002708</v>
      </c>
      <c r="B61" s="133" t="s">
        <v>53</v>
      </c>
      <c r="C61" s="98" t="s">
        <v>3197</v>
      </c>
      <c r="D61" s="212">
        <v>45139</v>
      </c>
      <c r="E61" s="136"/>
      <c r="F61" s="136"/>
      <c r="G61" s="98">
        <v>1</v>
      </c>
      <c r="H61" s="98">
        <v>98021</v>
      </c>
      <c r="I61" s="98" t="s">
        <v>49</v>
      </c>
      <c r="J61" s="98" t="s">
        <v>80</v>
      </c>
      <c r="K61" s="98" t="s">
        <v>40</v>
      </c>
      <c r="L61" s="53">
        <f>+VLOOKUP(A61,COMISIONES!$C$2:$AQ$33,41,0)</f>
        <v>45</v>
      </c>
      <c r="M61" s="7">
        <f>+VLOOKUP(A61,COMISIONES!$C$2:$C$33,1,0)</f>
        <v>20002708</v>
      </c>
    </row>
    <row r="62" spans="1:13">
      <c r="A62" s="98">
        <v>20000033</v>
      </c>
      <c r="B62" s="133" t="s">
        <v>53</v>
      </c>
      <c r="C62" s="98" t="s">
        <v>3198</v>
      </c>
      <c r="D62" s="212">
        <v>45139</v>
      </c>
      <c r="E62" s="136"/>
      <c r="F62" s="136"/>
      <c r="G62" s="98">
        <v>1</v>
      </c>
      <c r="H62" s="98">
        <v>98000</v>
      </c>
      <c r="I62" s="98" t="s">
        <v>51</v>
      </c>
      <c r="J62" s="98" t="s">
        <v>80</v>
      </c>
      <c r="K62" s="98" t="s">
        <v>40</v>
      </c>
      <c r="L62" s="53">
        <f>+VLOOKUP(A62,COMISIONES!$C$2:$AQ$33,41,0)</f>
        <v>45</v>
      </c>
      <c r="M62" s="7">
        <f>+VLOOKUP(A62,COMISIONES!$C$2:$C$33,1,0)</f>
        <v>20000033</v>
      </c>
    </row>
    <row r="63" spans="1:13">
      <c r="A63" s="98">
        <v>20000033</v>
      </c>
      <c r="B63" s="133" t="s">
        <v>53</v>
      </c>
      <c r="C63" s="98" t="s">
        <v>3199</v>
      </c>
      <c r="D63" s="212">
        <v>45139</v>
      </c>
      <c r="E63" s="136"/>
      <c r="F63" s="136"/>
      <c r="G63" s="98">
        <v>1</v>
      </c>
      <c r="H63" s="98">
        <v>98000</v>
      </c>
      <c r="I63" s="98" t="s">
        <v>51</v>
      </c>
      <c r="J63" s="98" t="s">
        <v>80</v>
      </c>
      <c r="K63" s="98" t="s">
        <v>40</v>
      </c>
      <c r="L63" s="53">
        <f>+VLOOKUP(A63,COMISIONES!$C$2:$AQ$33,41,0)</f>
        <v>45</v>
      </c>
      <c r="M63" s="7">
        <f>+VLOOKUP(A63,COMISIONES!$C$2:$C$33,1,0)</f>
        <v>20000033</v>
      </c>
    </row>
    <row r="64" spans="1:13">
      <c r="A64" s="98">
        <v>20000033</v>
      </c>
      <c r="B64" s="133" t="s">
        <v>53</v>
      </c>
      <c r="C64" s="98" t="s">
        <v>3200</v>
      </c>
      <c r="D64" s="212">
        <v>45139</v>
      </c>
      <c r="E64" s="136"/>
      <c r="F64" s="136"/>
      <c r="G64" s="98">
        <v>1</v>
      </c>
      <c r="H64" s="98">
        <v>98000</v>
      </c>
      <c r="I64" s="98" t="s">
        <v>51</v>
      </c>
      <c r="J64" s="98" t="s">
        <v>80</v>
      </c>
      <c r="K64" s="98" t="s">
        <v>40</v>
      </c>
      <c r="L64" s="53">
        <f>+VLOOKUP(A64,COMISIONES!$C$2:$AQ$33,41,0)</f>
        <v>45</v>
      </c>
      <c r="M64" s="7">
        <f>+VLOOKUP(A64,COMISIONES!$C$2:$C$33,1,0)</f>
        <v>20000033</v>
      </c>
    </row>
    <row r="65" spans="1:13">
      <c r="A65" s="98">
        <v>20008711</v>
      </c>
      <c r="B65" s="133" t="s">
        <v>53</v>
      </c>
      <c r="C65" s="98" t="s">
        <v>3201</v>
      </c>
      <c r="D65" s="212">
        <v>45139</v>
      </c>
      <c r="E65" s="136"/>
      <c r="F65" s="136"/>
      <c r="G65" s="98">
        <v>1</v>
      </c>
      <c r="H65" s="98">
        <v>98055</v>
      </c>
      <c r="I65" s="98" t="s">
        <v>50</v>
      </c>
      <c r="J65" s="98" t="s">
        <v>80</v>
      </c>
      <c r="K65" s="98" t="s">
        <v>40</v>
      </c>
      <c r="L65" s="53">
        <f>+VLOOKUP(A65,COMISIONES!$C$2:$AQ$33,41,0)</f>
        <v>45</v>
      </c>
      <c r="M65" s="7">
        <f>+VLOOKUP(A65,COMISIONES!$C$2:$C$33,1,0)</f>
        <v>20008711</v>
      </c>
    </row>
    <row r="66" spans="1:13">
      <c r="A66" s="98">
        <v>20008711</v>
      </c>
      <c r="B66" s="133" t="s">
        <v>53</v>
      </c>
      <c r="C66" s="98" t="s">
        <v>3202</v>
      </c>
      <c r="D66" s="212">
        <v>45139</v>
      </c>
      <c r="E66" s="136"/>
      <c r="F66" s="136"/>
      <c r="G66" s="98">
        <v>1</v>
      </c>
      <c r="H66" s="98">
        <v>98055</v>
      </c>
      <c r="I66" s="98" t="s">
        <v>50</v>
      </c>
      <c r="J66" s="98" t="s">
        <v>80</v>
      </c>
      <c r="K66" s="98" t="s">
        <v>40</v>
      </c>
      <c r="L66" s="53">
        <f>+VLOOKUP(A66,COMISIONES!$C$2:$AQ$33,41,0)</f>
        <v>45</v>
      </c>
      <c r="M66" s="7">
        <f>+VLOOKUP(A66,COMISIONES!$C$2:$C$33,1,0)</f>
        <v>20008711</v>
      </c>
    </row>
    <row r="67" spans="1:13">
      <c r="A67" s="98">
        <v>20009174</v>
      </c>
      <c r="B67" s="133" t="s">
        <v>53</v>
      </c>
      <c r="C67" s="98" t="s">
        <v>843</v>
      </c>
      <c r="D67" s="212">
        <v>45139</v>
      </c>
      <c r="E67" s="136"/>
      <c r="F67" s="136"/>
      <c r="G67" s="98">
        <v>1</v>
      </c>
      <c r="H67" s="98">
        <v>98064</v>
      </c>
      <c r="I67" s="98" t="s">
        <v>52</v>
      </c>
      <c r="J67" s="98" t="s">
        <v>80</v>
      </c>
      <c r="K67" s="98" t="s">
        <v>40</v>
      </c>
      <c r="L67" s="53">
        <f>+VLOOKUP(A67,COMISIONES!$C$2:$AQ$33,41,0)</f>
        <v>60</v>
      </c>
      <c r="M67" s="7">
        <f>+VLOOKUP(A67,COMISIONES!$C$2:$C$33,1,0)</f>
        <v>20009174</v>
      </c>
    </row>
    <row r="68" spans="1:13">
      <c r="A68" s="98">
        <v>20009174</v>
      </c>
      <c r="B68" s="133" t="s">
        <v>53</v>
      </c>
      <c r="C68" s="98" t="s">
        <v>852</v>
      </c>
      <c r="D68" s="212">
        <v>45139</v>
      </c>
      <c r="E68" s="136"/>
      <c r="F68" s="136"/>
      <c r="G68" s="98">
        <v>1</v>
      </c>
      <c r="H68" s="98">
        <v>98064</v>
      </c>
      <c r="I68" s="98" t="s">
        <v>52</v>
      </c>
      <c r="J68" s="98" t="s">
        <v>80</v>
      </c>
      <c r="K68" s="98" t="s">
        <v>40</v>
      </c>
      <c r="L68" s="53">
        <f>+VLOOKUP(A68,COMISIONES!$C$2:$AQ$33,41,0)</f>
        <v>60</v>
      </c>
      <c r="M68" s="7">
        <f>+VLOOKUP(A68,COMISIONES!$C$2:$C$33,1,0)</f>
        <v>20009174</v>
      </c>
    </row>
    <row r="69" spans="1:13">
      <c r="A69" s="98">
        <v>20004566</v>
      </c>
      <c r="B69" s="133" t="s">
        <v>53</v>
      </c>
      <c r="C69" s="98" t="s">
        <v>899</v>
      </c>
      <c r="D69" s="212">
        <v>45139</v>
      </c>
      <c r="E69" s="136"/>
      <c r="F69" s="136"/>
      <c r="G69" s="98">
        <v>1</v>
      </c>
      <c r="H69" s="98">
        <v>98023</v>
      </c>
      <c r="I69" s="98" t="s">
        <v>50</v>
      </c>
      <c r="J69" s="98" t="s">
        <v>80</v>
      </c>
      <c r="K69" s="98" t="s">
        <v>40</v>
      </c>
      <c r="L69" s="53">
        <f>+VLOOKUP(A69,COMISIONES!$C$2:$AQ$33,41,0)</f>
        <v>60</v>
      </c>
      <c r="M69" s="7">
        <f>+VLOOKUP(A69,COMISIONES!$C$2:$C$33,1,0)</f>
        <v>20004566</v>
      </c>
    </row>
    <row r="70" spans="1:13">
      <c r="A70" s="98">
        <v>20007726</v>
      </c>
      <c r="B70" s="133" t="s">
        <v>53</v>
      </c>
      <c r="C70" s="98" t="s">
        <v>911</v>
      </c>
      <c r="D70" s="212">
        <v>45139</v>
      </c>
      <c r="E70" s="136"/>
      <c r="F70" s="136"/>
      <c r="G70" s="98">
        <v>1</v>
      </c>
      <c r="H70" s="98">
        <v>98051</v>
      </c>
      <c r="I70" s="98" t="s">
        <v>49</v>
      </c>
      <c r="J70" s="98" t="s">
        <v>80</v>
      </c>
      <c r="K70" s="98" t="s">
        <v>40</v>
      </c>
      <c r="L70" s="53">
        <f>+VLOOKUP(A70,COMISIONES!$C$2:$AQ$33,41,0)</f>
        <v>90</v>
      </c>
      <c r="M70" s="7">
        <f>+VLOOKUP(A70,COMISIONES!$C$2:$C$33,1,0)</f>
        <v>20007726</v>
      </c>
    </row>
    <row r="71" spans="1:13">
      <c r="A71" s="98">
        <v>20008439</v>
      </c>
      <c r="B71" s="133" t="s">
        <v>53</v>
      </c>
      <c r="C71" s="98" t="s">
        <v>914</v>
      </c>
      <c r="D71" s="212">
        <v>45139</v>
      </c>
      <c r="E71" s="136"/>
      <c r="F71" s="136"/>
      <c r="G71" s="98">
        <v>1</v>
      </c>
      <c r="H71" s="98">
        <v>98049</v>
      </c>
      <c r="I71" s="98" t="s">
        <v>50</v>
      </c>
      <c r="J71" s="98" t="s">
        <v>80</v>
      </c>
      <c r="K71" s="98" t="s">
        <v>40</v>
      </c>
      <c r="L71" s="53">
        <f>+VLOOKUP(A71,COMISIONES!$C$2:$AQ$33,41,0)</f>
        <v>45</v>
      </c>
      <c r="M71" s="7">
        <f>+VLOOKUP(A71,COMISIONES!$C$2:$C$33,1,0)</f>
        <v>20008439</v>
      </c>
    </row>
    <row r="72" spans="1:13">
      <c r="A72" s="98">
        <v>20004161</v>
      </c>
      <c r="B72" s="133" t="s">
        <v>53</v>
      </c>
      <c r="C72" s="98" t="s">
        <v>917</v>
      </c>
      <c r="D72" s="212">
        <v>45139</v>
      </c>
      <c r="E72" s="136"/>
      <c r="F72" s="136"/>
      <c r="G72" s="98">
        <v>1</v>
      </c>
      <c r="H72" s="98">
        <v>98019</v>
      </c>
      <c r="I72" s="98" t="s">
        <v>49</v>
      </c>
      <c r="J72" s="98" t="s">
        <v>80</v>
      </c>
      <c r="K72" s="98" t="s">
        <v>40</v>
      </c>
      <c r="L72" s="53">
        <f>+VLOOKUP(A72,COMISIONES!$C$2:$AQ$33,41,0)</f>
        <v>95</v>
      </c>
      <c r="M72" s="7">
        <f>+VLOOKUP(A72,COMISIONES!$C$2:$C$33,1,0)</f>
        <v>20004161</v>
      </c>
    </row>
    <row r="73" spans="1:13">
      <c r="A73" s="98">
        <v>20010101</v>
      </c>
      <c r="B73" s="133" t="s">
        <v>53</v>
      </c>
      <c r="C73" s="98" t="s">
        <v>427</v>
      </c>
      <c r="D73" s="212">
        <v>45139</v>
      </c>
      <c r="E73" s="136"/>
      <c r="F73" s="136"/>
      <c r="G73" s="98">
        <v>1</v>
      </c>
      <c r="H73" s="98">
        <v>98072</v>
      </c>
      <c r="I73" s="98" t="s">
        <v>49</v>
      </c>
      <c r="J73" s="98" t="s">
        <v>80</v>
      </c>
      <c r="K73" s="98" t="s">
        <v>40</v>
      </c>
      <c r="L73" s="53">
        <f>+VLOOKUP(A73,COMISIONES!$C$2:$AQ$33,41,0)</f>
        <v>90</v>
      </c>
      <c r="M73" s="7">
        <f>+VLOOKUP(A73,COMISIONES!$C$2:$C$33,1,0)</f>
        <v>20010101</v>
      </c>
    </row>
    <row r="74" spans="1:13">
      <c r="A74" s="98">
        <v>20009690</v>
      </c>
      <c r="B74" s="133" t="s">
        <v>53</v>
      </c>
      <c r="C74" s="98" t="s">
        <v>929</v>
      </c>
      <c r="D74" s="212">
        <v>45139</v>
      </c>
      <c r="E74" s="136"/>
      <c r="F74" s="136"/>
      <c r="G74" s="98">
        <v>1</v>
      </c>
      <c r="H74" s="98">
        <v>98068</v>
      </c>
      <c r="I74" s="98" t="s">
        <v>49</v>
      </c>
      <c r="J74" s="98" t="s">
        <v>80</v>
      </c>
      <c r="K74" s="98" t="s">
        <v>40</v>
      </c>
      <c r="L74" s="53">
        <f>+VLOOKUP(A74,COMISIONES!$C$2:$AQ$33,41,0)</f>
        <v>90</v>
      </c>
      <c r="M74" s="7">
        <f>+VLOOKUP(A74,COMISIONES!$C$2:$C$33,1,0)</f>
        <v>20009690</v>
      </c>
    </row>
    <row r="75" spans="1:13">
      <c r="A75" s="98">
        <v>20002636</v>
      </c>
      <c r="B75" s="133" t="s">
        <v>53</v>
      </c>
      <c r="C75" s="98" t="s">
        <v>944</v>
      </c>
      <c r="D75" s="212">
        <v>45139</v>
      </c>
      <c r="E75" s="136"/>
      <c r="F75" s="136"/>
      <c r="G75" s="98">
        <v>1</v>
      </c>
      <c r="H75" s="98">
        <v>98007</v>
      </c>
      <c r="I75" s="98" t="s">
        <v>51</v>
      </c>
      <c r="J75" s="98" t="s">
        <v>80</v>
      </c>
      <c r="K75" s="98" t="s">
        <v>40</v>
      </c>
      <c r="L75" s="53">
        <f>+VLOOKUP(A75,COMISIONES!$C$2:$AQ$33,41,0)</f>
        <v>45</v>
      </c>
      <c r="M75" s="7">
        <f>+VLOOKUP(A75,COMISIONES!$C$2:$C$33,1,0)</f>
        <v>20002636</v>
      </c>
    </row>
    <row r="76" spans="1:13">
      <c r="A76" s="98">
        <v>20004161</v>
      </c>
      <c r="B76" s="133" t="s">
        <v>53</v>
      </c>
      <c r="C76" s="98" t="s">
        <v>950</v>
      </c>
      <c r="D76" s="212">
        <v>45139</v>
      </c>
      <c r="E76" s="136"/>
      <c r="F76" s="136"/>
      <c r="G76" s="98">
        <v>1</v>
      </c>
      <c r="H76" s="98">
        <v>98019</v>
      </c>
      <c r="I76" s="98" t="s">
        <v>49</v>
      </c>
      <c r="J76" s="98" t="s">
        <v>80</v>
      </c>
      <c r="K76" s="98" t="s">
        <v>40</v>
      </c>
      <c r="L76" s="53">
        <f>+VLOOKUP(A76,COMISIONES!$C$2:$AQ$33,41,0)</f>
        <v>95</v>
      </c>
      <c r="M76" s="7">
        <f>+VLOOKUP(A76,COMISIONES!$C$2:$C$33,1,0)</f>
        <v>20004161</v>
      </c>
    </row>
    <row r="77" spans="1:13">
      <c r="A77" s="98">
        <v>20010604</v>
      </c>
      <c r="B77" s="133" t="s">
        <v>53</v>
      </c>
      <c r="C77" s="98" t="s">
        <v>956</v>
      </c>
      <c r="D77" s="212">
        <v>45139</v>
      </c>
      <c r="E77" s="136"/>
      <c r="F77" s="136"/>
      <c r="G77" s="98">
        <v>1</v>
      </c>
      <c r="H77" s="98">
        <v>98078</v>
      </c>
      <c r="I77" s="98" t="s">
        <v>50</v>
      </c>
      <c r="J77" s="98" t="s">
        <v>80</v>
      </c>
      <c r="K77" s="98" t="s">
        <v>40</v>
      </c>
      <c r="L77" s="53">
        <f>+VLOOKUP(A77,COMISIONES!$C$2:$AQ$33,41,0)</f>
        <v>30</v>
      </c>
      <c r="M77" s="7">
        <f>+VLOOKUP(A77,COMISIONES!$C$2:$C$33,1,0)</f>
        <v>20010604</v>
      </c>
    </row>
    <row r="78" spans="1:13">
      <c r="A78" s="98">
        <v>20008711</v>
      </c>
      <c r="B78" s="133" t="s">
        <v>53</v>
      </c>
      <c r="C78" s="98" t="s">
        <v>978</v>
      </c>
      <c r="D78" s="212">
        <v>45139</v>
      </c>
      <c r="E78" s="136"/>
      <c r="F78" s="136"/>
      <c r="G78" s="98">
        <v>1</v>
      </c>
      <c r="H78" s="98">
        <v>98055</v>
      </c>
      <c r="I78" s="98" t="s">
        <v>50</v>
      </c>
      <c r="J78" s="98" t="s">
        <v>80</v>
      </c>
      <c r="K78" s="98" t="s">
        <v>40</v>
      </c>
      <c r="L78" s="53">
        <f>+VLOOKUP(A78,COMISIONES!$C$2:$AQ$33,41,0)</f>
        <v>45</v>
      </c>
      <c r="M78" s="7">
        <f>+VLOOKUP(A78,COMISIONES!$C$2:$C$33,1,0)</f>
        <v>20008711</v>
      </c>
    </row>
    <row r="79" spans="1:13">
      <c r="A79" s="98">
        <v>20008711</v>
      </c>
      <c r="B79" s="133" t="s">
        <v>53</v>
      </c>
      <c r="C79" s="98" t="s">
        <v>999</v>
      </c>
      <c r="D79" s="212">
        <v>45139</v>
      </c>
      <c r="E79" s="136"/>
      <c r="F79" s="136"/>
      <c r="G79" s="98">
        <v>1</v>
      </c>
      <c r="H79" s="98">
        <v>98055</v>
      </c>
      <c r="I79" s="98" t="s">
        <v>50</v>
      </c>
      <c r="J79" s="98" t="s">
        <v>80</v>
      </c>
      <c r="K79" s="98" t="s">
        <v>40</v>
      </c>
      <c r="L79" s="53">
        <f>+VLOOKUP(A79,COMISIONES!$C$2:$AQ$33,41,0)</f>
        <v>45</v>
      </c>
      <c r="M79" s="7">
        <f>+VLOOKUP(A79,COMISIONES!$C$2:$C$33,1,0)</f>
        <v>20008711</v>
      </c>
    </row>
    <row r="80" spans="1:13">
      <c r="A80" s="98">
        <v>20001487</v>
      </c>
      <c r="B80" s="133" t="s">
        <v>53</v>
      </c>
      <c r="C80" s="98" t="s">
        <v>1002</v>
      </c>
      <c r="D80" s="212">
        <v>45139</v>
      </c>
      <c r="E80" s="136"/>
      <c r="F80" s="136"/>
      <c r="G80" s="98">
        <v>1</v>
      </c>
      <c r="H80" s="98">
        <v>98003</v>
      </c>
      <c r="I80" s="98" t="s">
        <v>51</v>
      </c>
      <c r="J80" s="98" t="s">
        <v>80</v>
      </c>
      <c r="K80" s="98" t="s">
        <v>40</v>
      </c>
      <c r="L80" s="53">
        <f>+VLOOKUP(A80,COMISIONES!$C$2:$AQ$33,41,0)</f>
        <v>90</v>
      </c>
      <c r="M80" s="7">
        <f>+VLOOKUP(A80,COMISIONES!$C$2:$C$33,1,0)</f>
        <v>20001487</v>
      </c>
    </row>
    <row r="81" spans="1:13">
      <c r="A81" s="98">
        <v>20004566</v>
      </c>
      <c r="B81" s="133" t="s">
        <v>53</v>
      </c>
      <c r="C81" s="98" t="s">
        <v>1005</v>
      </c>
      <c r="D81" s="212">
        <v>45139</v>
      </c>
      <c r="E81" s="136"/>
      <c r="F81" s="136"/>
      <c r="G81" s="98">
        <v>1</v>
      </c>
      <c r="H81" s="98">
        <v>98023</v>
      </c>
      <c r="I81" s="98" t="s">
        <v>50</v>
      </c>
      <c r="J81" s="98" t="s">
        <v>80</v>
      </c>
      <c r="K81" s="98" t="s">
        <v>40</v>
      </c>
      <c r="L81" s="53">
        <f>+VLOOKUP(A81,COMISIONES!$C$2:$AQ$33,41,0)</f>
        <v>60</v>
      </c>
      <c r="M81" s="7">
        <f>+VLOOKUP(A81,COMISIONES!$C$2:$C$33,1,0)</f>
        <v>20004566</v>
      </c>
    </row>
    <row r="82" spans="1:13">
      <c r="A82" s="98">
        <v>20004235</v>
      </c>
      <c r="B82" s="133" t="s">
        <v>53</v>
      </c>
      <c r="C82" s="98" t="s">
        <v>1023</v>
      </c>
      <c r="D82" s="212">
        <v>45139</v>
      </c>
      <c r="E82" s="136"/>
      <c r="F82" s="136"/>
      <c r="G82" s="98">
        <v>1</v>
      </c>
      <c r="H82" s="98">
        <v>98002</v>
      </c>
      <c r="I82" s="98" t="s">
        <v>49</v>
      </c>
      <c r="J82" s="98" t="s">
        <v>80</v>
      </c>
      <c r="K82" s="98" t="s">
        <v>40</v>
      </c>
      <c r="L82" s="53">
        <f>+VLOOKUP(A82,COMISIONES!$C$2:$AQ$33,41,0)</f>
        <v>45</v>
      </c>
      <c r="M82" s="7">
        <f>+VLOOKUP(A82,COMISIONES!$C$2:$C$33,1,0)</f>
        <v>20004235</v>
      </c>
    </row>
    <row r="83" spans="1:13">
      <c r="A83" s="98">
        <v>20004566</v>
      </c>
      <c r="B83" s="133" t="s">
        <v>53</v>
      </c>
      <c r="C83" s="98" t="s">
        <v>1026</v>
      </c>
      <c r="D83" s="212">
        <v>45139</v>
      </c>
      <c r="E83" s="136"/>
      <c r="F83" s="136"/>
      <c r="G83" s="98">
        <v>1</v>
      </c>
      <c r="H83" s="98">
        <v>98023</v>
      </c>
      <c r="I83" s="98" t="s">
        <v>50</v>
      </c>
      <c r="J83" s="98" t="s">
        <v>80</v>
      </c>
      <c r="K83" s="98" t="s">
        <v>40</v>
      </c>
      <c r="L83" s="53">
        <f>+VLOOKUP(A83,COMISIONES!$C$2:$AQ$33,41,0)</f>
        <v>60</v>
      </c>
      <c r="M83" s="7">
        <f>+VLOOKUP(A83,COMISIONES!$C$2:$C$33,1,0)</f>
        <v>20004566</v>
      </c>
    </row>
    <row r="84" spans="1:13">
      <c r="A84" s="98">
        <v>20009269</v>
      </c>
      <c r="B84" s="133" t="s">
        <v>53</v>
      </c>
      <c r="C84" s="98" t="s">
        <v>1054</v>
      </c>
      <c r="D84" s="212">
        <v>45139</v>
      </c>
      <c r="E84" s="136"/>
      <c r="F84" s="136"/>
      <c r="G84" s="98">
        <v>1</v>
      </c>
      <c r="H84" s="98">
        <v>98065</v>
      </c>
      <c r="I84" s="98" t="s">
        <v>49</v>
      </c>
      <c r="J84" s="98" t="s">
        <v>80</v>
      </c>
      <c r="K84" s="98" t="s">
        <v>40</v>
      </c>
      <c r="L84" s="53">
        <f>+VLOOKUP(A84,COMISIONES!$C$2:$AQ$33,41,0)</f>
        <v>90</v>
      </c>
      <c r="M84" s="7">
        <f>+VLOOKUP(A84,COMISIONES!$C$2:$C$33,1,0)</f>
        <v>20009269</v>
      </c>
    </row>
    <row r="85" spans="1:13">
      <c r="A85" s="98">
        <v>20009269</v>
      </c>
      <c r="B85" s="133" t="s">
        <v>53</v>
      </c>
      <c r="C85" s="98" t="s">
        <v>1063</v>
      </c>
      <c r="D85" s="212">
        <v>45139</v>
      </c>
      <c r="E85" s="136"/>
      <c r="F85" s="136"/>
      <c r="G85" s="98">
        <v>1</v>
      </c>
      <c r="H85" s="98">
        <v>98065</v>
      </c>
      <c r="I85" s="98" t="s">
        <v>49</v>
      </c>
      <c r="J85" s="98" t="s">
        <v>80</v>
      </c>
      <c r="K85" s="98" t="s">
        <v>40</v>
      </c>
      <c r="L85" s="53">
        <f>+VLOOKUP(A85,COMISIONES!$C$2:$AQ$33,41,0)</f>
        <v>90</v>
      </c>
      <c r="M85" s="7">
        <f>+VLOOKUP(A85,COMISIONES!$C$2:$C$33,1,0)</f>
        <v>20009269</v>
      </c>
    </row>
    <row r="86" spans="1:13">
      <c r="A86" s="98">
        <v>20004566</v>
      </c>
      <c r="B86" s="133" t="s">
        <v>53</v>
      </c>
      <c r="C86" s="98" t="s">
        <v>1106</v>
      </c>
      <c r="D86" s="212">
        <v>45139</v>
      </c>
      <c r="E86" s="136"/>
      <c r="F86" s="136"/>
      <c r="G86" s="98">
        <v>1</v>
      </c>
      <c r="H86" s="98">
        <v>98023</v>
      </c>
      <c r="I86" s="98" t="s">
        <v>50</v>
      </c>
      <c r="J86" s="98" t="s">
        <v>80</v>
      </c>
      <c r="K86" s="98" t="s">
        <v>40</v>
      </c>
      <c r="L86" s="53">
        <f>+VLOOKUP(A86,COMISIONES!$C$2:$AQ$33,41,0)</f>
        <v>60</v>
      </c>
      <c r="M86" s="7">
        <f>+VLOOKUP(A86,COMISIONES!$C$2:$C$33,1,0)</f>
        <v>20004566</v>
      </c>
    </row>
    <row r="87" spans="1:13">
      <c r="A87" s="98">
        <v>20004566</v>
      </c>
      <c r="B87" s="133" t="s">
        <v>53</v>
      </c>
      <c r="C87" s="98" t="s">
        <v>1119</v>
      </c>
      <c r="D87" s="212">
        <v>45139</v>
      </c>
      <c r="E87" s="136"/>
      <c r="F87" s="136"/>
      <c r="G87" s="98">
        <v>1</v>
      </c>
      <c r="H87" s="98">
        <v>98023</v>
      </c>
      <c r="I87" s="98" t="s">
        <v>50</v>
      </c>
      <c r="J87" s="98" t="s">
        <v>80</v>
      </c>
      <c r="K87" s="98" t="s">
        <v>40</v>
      </c>
      <c r="L87" s="53">
        <f>+VLOOKUP(A87,COMISIONES!$C$2:$AQ$33,41,0)</f>
        <v>60</v>
      </c>
      <c r="M87" s="7">
        <f>+VLOOKUP(A87,COMISIONES!$C$2:$C$33,1,0)</f>
        <v>20004566</v>
      </c>
    </row>
    <row r="88" spans="1:13">
      <c r="A88" s="98">
        <v>20007020</v>
      </c>
      <c r="B88" s="133" t="s">
        <v>53</v>
      </c>
      <c r="C88" s="98" t="s">
        <v>1131</v>
      </c>
      <c r="D88" s="212">
        <v>45139</v>
      </c>
      <c r="E88" s="136"/>
      <c r="F88" s="136"/>
      <c r="G88" s="98">
        <v>1</v>
      </c>
      <c r="H88" s="98">
        <v>98047</v>
      </c>
      <c r="I88" s="98" t="s">
        <v>50</v>
      </c>
      <c r="J88" s="98" t="s">
        <v>80</v>
      </c>
      <c r="K88" s="98" t="s">
        <v>40</v>
      </c>
      <c r="L88" s="53">
        <f>+VLOOKUP(A88,COMISIONES!$C$2:$AQ$33,41,0)</f>
        <v>30</v>
      </c>
      <c r="M88" s="7">
        <f>+VLOOKUP(A88,COMISIONES!$C$2:$C$33,1,0)</f>
        <v>20007020</v>
      </c>
    </row>
    <row r="89" spans="1:13">
      <c r="A89" s="98">
        <v>20010604</v>
      </c>
      <c r="B89" s="133" t="s">
        <v>53</v>
      </c>
      <c r="C89" s="98" t="s">
        <v>1134</v>
      </c>
      <c r="D89" s="212">
        <v>45139</v>
      </c>
      <c r="E89" s="136"/>
      <c r="F89" s="136"/>
      <c r="G89" s="98">
        <v>1</v>
      </c>
      <c r="H89" s="98">
        <v>98078</v>
      </c>
      <c r="I89" s="98" t="s">
        <v>50</v>
      </c>
      <c r="J89" s="98" t="s">
        <v>80</v>
      </c>
      <c r="K89" s="98" t="s">
        <v>40</v>
      </c>
      <c r="L89" s="53">
        <f>+VLOOKUP(A89,COMISIONES!$C$2:$AQ$33,41,0)</f>
        <v>30</v>
      </c>
      <c r="M89" s="7">
        <f>+VLOOKUP(A89,COMISIONES!$C$2:$C$33,1,0)</f>
        <v>20010604</v>
      </c>
    </row>
    <row r="90" spans="1:13">
      <c r="A90" s="98">
        <v>20006162</v>
      </c>
      <c r="B90" s="133" t="s">
        <v>53</v>
      </c>
      <c r="C90" s="98" t="s">
        <v>1144</v>
      </c>
      <c r="D90" s="212">
        <v>45139</v>
      </c>
      <c r="E90" s="136"/>
      <c r="F90" s="136"/>
      <c r="G90" s="98">
        <v>1</v>
      </c>
      <c r="H90" s="98">
        <v>98069</v>
      </c>
      <c r="I90" s="98" t="s">
        <v>50</v>
      </c>
      <c r="J90" s="98" t="s">
        <v>80</v>
      </c>
      <c r="K90" s="98" t="s">
        <v>40</v>
      </c>
      <c r="L90" s="53">
        <f>+VLOOKUP(A90,COMISIONES!$C$2:$AQ$33,41,0)</f>
        <v>60</v>
      </c>
      <c r="M90" s="7">
        <f>+VLOOKUP(A90,COMISIONES!$C$2:$C$33,1,0)</f>
        <v>20006162</v>
      </c>
    </row>
    <row r="91" spans="1:13">
      <c r="A91" s="98">
        <v>20006893</v>
      </c>
      <c r="B91" s="133" t="s">
        <v>53</v>
      </c>
      <c r="C91" s="98" t="s">
        <v>1156</v>
      </c>
      <c r="D91" s="212">
        <v>45139</v>
      </c>
      <c r="E91" s="136"/>
      <c r="F91" s="136"/>
      <c r="G91" s="98">
        <v>1</v>
      </c>
      <c r="H91" s="98">
        <v>98071</v>
      </c>
      <c r="I91" s="98" t="s">
        <v>51</v>
      </c>
      <c r="J91" s="98" t="s">
        <v>80</v>
      </c>
      <c r="K91" s="98" t="s">
        <v>40</v>
      </c>
      <c r="L91" s="53">
        <f>+VLOOKUP(A91,COMISIONES!$C$2:$AQ$33,41,0)</f>
        <v>45</v>
      </c>
      <c r="M91" s="7">
        <f>+VLOOKUP(A91,COMISIONES!$C$2:$C$33,1,0)</f>
        <v>20006893</v>
      </c>
    </row>
    <row r="92" spans="1:13">
      <c r="A92" s="98">
        <v>20004566</v>
      </c>
      <c r="B92" s="133" t="s">
        <v>53</v>
      </c>
      <c r="C92" s="98" t="s">
        <v>1159</v>
      </c>
      <c r="D92" s="212">
        <v>45139</v>
      </c>
      <c r="E92" s="136"/>
      <c r="F92" s="136"/>
      <c r="G92" s="98">
        <v>1</v>
      </c>
      <c r="H92" s="98">
        <v>98023</v>
      </c>
      <c r="I92" s="98" t="s">
        <v>50</v>
      </c>
      <c r="J92" s="98" t="s">
        <v>80</v>
      </c>
      <c r="K92" s="98" t="s">
        <v>40</v>
      </c>
      <c r="L92" s="53">
        <f>+VLOOKUP(A92,COMISIONES!$C$2:$AQ$33,41,0)</f>
        <v>60</v>
      </c>
      <c r="M92" s="7">
        <f>+VLOOKUP(A92,COMISIONES!$C$2:$C$33,1,0)</f>
        <v>20004566</v>
      </c>
    </row>
    <row r="93" spans="1:13">
      <c r="A93" s="98">
        <v>20006162</v>
      </c>
      <c r="B93" s="133" t="s">
        <v>53</v>
      </c>
      <c r="C93" s="98" t="s">
        <v>1168</v>
      </c>
      <c r="D93" s="212">
        <v>45139</v>
      </c>
      <c r="E93" s="136"/>
      <c r="F93" s="136"/>
      <c r="G93" s="98">
        <v>1</v>
      </c>
      <c r="H93" s="98">
        <v>98069</v>
      </c>
      <c r="I93" s="98" t="s">
        <v>50</v>
      </c>
      <c r="J93" s="98" t="s">
        <v>80</v>
      </c>
      <c r="K93" s="98" t="s">
        <v>40</v>
      </c>
      <c r="L93" s="53">
        <f>+VLOOKUP(A93,COMISIONES!$C$2:$AQ$33,41,0)</f>
        <v>60</v>
      </c>
      <c r="M93" s="7">
        <f>+VLOOKUP(A93,COMISIONES!$C$2:$C$33,1,0)</f>
        <v>20006162</v>
      </c>
    </row>
    <row r="94" spans="1:13">
      <c r="A94" s="98">
        <v>20004161</v>
      </c>
      <c r="B94" s="133" t="s">
        <v>53</v>
      </c>
      <c r="C94" s="98" t="s">
        <v>1174</v>
      </c>
      <c r="D94" s="212">
        <v>45139</v>
      </c>
      <c r="E94" s="136"/>
      <c r="F94" s="136"/>
      <c r="G94" s="98">
        <v>1</v>
      </c>
      <c r="H94" s="98">
        <v>98019</v>
      </c>
      <c r="I94" s="98" t="s">
        <v>49</v>
      </c>
      <c r="J94" s="98" t="s">
        <v>80</v>
      </c>
      <c r="K94" s="98" t="s">
        <v>40</v>
      </c>
      <c r="L94" s="53">
        <f>+VLOOKUP(A94,COMISIONES!$C$2:$AQ$33,41,0)</f>
        <v>95</v>
      </c>
      <c r="M94" s="7">
        <f>+VLOOKUP(A94,COMISIONES!$C$2:$C$33,1,0)</f>
        <v>20004161</v>
      </c>
    </row>
    <row r="95" spans="1:13">
      <c r="A95" s="98">
        <v>20010262</v>
      </c>
      <c r="B95" s="133" t="s">
        <v>53</v>
      </c>
      <c r="C95" s="98" t="s">
        <v>1190</v>
      </c>
      <c r="D95" s="212">
        <v>45139</v>
      </c>
      <c r="E95" s="136"/>
      <c r="F95" s="136"/>
      <c r="G95" s="98">
        <v>1</v>
      </c>
      <c r="H95" s="98">
        <v>98073</v>
      </c>
      <c r="I95" s="98" t="s">
        <v>52</v>
      </c>
      <c r="J95" s="98" t="s">
        <v>80</v>
      </c>
      <c r="K95" s="98" t="s">
        <v>40</v>
      </c>
      <c r="L95" s="53">
        <f>+VLOOKUP(A95,COMISIONES!$C$2:$AQ$33,41,0)</f>
        <v>45</v>
      </c>
      <c r="M95" s="7">
        <f>+VLOOKUP(A95,COMISIONES!$C$2:$C$33,1,0)</f>
        <v>20010262</v>
      </c>
    </row>
    <row r="96" spans="1:13">
      <c r="A96" s="98">
        <v>20010101</v>
      </c>
      <c r="B96" s="133" t="s">
        <v>53</v>
      </c>
      <c r="C96" s="98" t="s">
        <v>1193</v>
      </c>
      <c r="D96" s="212">
        <v>45139</v>
      </c>
      <c r="E96" s="136"/>
      <c r="F96" s="136"/>
      <c r="G96" s="98">
        <v>1</v>
      </c>
      <c r="H96" s="98">
        <v>98072</v>
      </c>
      <c r="I96" s="98" t="s">
        <v>49</v>
      </c>
      <c r="J96" s="98" t="s">
        <v>80</v>
      </c>
      <c r="K96" s="98" t="s">
        <v>40</v>
      </c>
      <c r="L96" s="53">
        <f>+VLOOKUP(A96,COMISIONES!$C$2:$AQ$33,41,0)</f>
        <v>90</v>
      </c>
      <c r="M96" s="7">
        <f>+VLOOKUP(A96,COMISIONES!$C$2:$C$33,1,0)</f>
        <v>20010101</v>
      </c>
    </row>
    <row r="97" spans="1:13">
      <c r="A97" s="98">
        <v>20004566</v>
      </c>
      <c r="B97" s="133" t="s">
        <v>53</v>
      </c>
      <c r="C97" s="98" t="s">
        <v>1207</v>
      </c>
      <c r="D97" s="212">
        <v>45139</v>
      </c>
      <c r="E97" s="136"/>
      <c r="F97" s="136"/>
      <c r="G97" s="98">
        <v>1</v>
      </c>
      <c r="H97" s="98">
        <v>98023</v>
      </c>
      <c r="I97" s="98" t="s">
        <v>50</v>
      </c>
      <c r="J97" s="98" t="s">
        <v>80</v>
      </c>
      <c r="K97" s="98" t="s">
        <v>40</v>
      </c>
      <c r="L97" s="53">
        <f>+VLOOKUP(A97,COMISIONES!$C$2:$AQ$33,41,0)</f>
        <v>60</v>
      </c>
      <c r="M97" s="7">
        <f>+VLOOKUP(A97,COMISIONES!$C$2:$C$33,1,0)</f>
        <v>20004566</v>
      </c>
    </row>
    <row r="98" spans="1:13">
      <c r="A98" s="98">
        <v>20004638</v>
      </c>
      <c r="B98" s="133" t="s">
        <v>53</v>
      </c>
      <c r="C98" s="98" t="s">
        <v>1210</v>
      </c>
      <c r="D98" s="212">
        <v>45139</v>
      </c>
      <c r="E98" s="136"/>
      <c r="F98" s="136"/>
      <c r="G98" s="98">
        <v>1</v>
      </c>
      <c r="H98" s="98">
        <v>98009</v>
      </c>
      <c r="I98" s="98" t="s">
        <v>51</v>
      </c>
      <c r="J98" s="98" t="s">
        <v>80</v>
      </c>
      <c r="K98" s="98" t="s">
        <v>40</v>
      </c>
      <c r="L98" s="53">
        <f>+VLOOKUP(A98,COMISIONES!$C$2:$AQ$33,41,0)</f>
        <v>30</v>
      </c>
      <c r="M98" s="7">
        <f>+VLOOKUP(A98,COMISIONES!$C$2:$C$33,1,0)</f>
        <v>20004638</v>
      </c>
    </row>
    <row r="99" spans="1:13">
      <c r="A99" s="98">
        <v>20004566</v>
      </c>
      <c r="B99" s="133" t="s">
        <v>53</v>
      </c>
      <c r="C99" s="98" t="s">
        <v>1233</v>
      </c>
      <c r="D99" s="212">
        <v>45139</v>
      </c>
      <c r="E99" s="136"/>
      <c r="F99" s="136"/>
      <c r="G99" s="98">
        <v>1</v>
      </c>
      <c r="H99" s="98">
        <v>98023</v>
      </c>
      <c r="I99" s="98" t="s">
        <v>50</v>
      </c>
      <c r="J99" s="98" t="s">
        <v>80</v>
      </c>
      <c r="K99" s="98" t="s">
        <v>40</v>
      </c>
      <c r="L99" s="53">
        <f>+VLOOKUP(A99,COMISIONES!$C$2:$AQ$33,41,0)</f>
        <v>60</v>
      </c>
      <c r="M99" s="7">
        <f>+VLOOKUP(A99,COMISIONES!$C$2:$C$33,1,0)</f>
        <v>20004566</v>
      </c>
    </row>
    <row r="100" spans="1:13">
      <c r="A100" s="98">
        <v>20005527</v>
      </c>
      <c r="B100" s="133" t="s">
        <v>53</v>
      </c>
      <c r="C100" s="98" t="s">
        <v>1242</v>
      </c>
      <c r="D100" s="212">
        <v>45139</v>
      </c>
      <c r="E100" s="136"/>
      <c r="F100" s="136"/>
      <c r="G100" s="98">
        <v>1</v>
      </c>
      <c r="H100" s="98">
        <v>98041</v>
      </c>
      <c r="I100" s="98" t="s">
        <v>52</v>
      </c>
      <c r="J100" s="98" t="s">
        <v>80</v>
      </c>
      <c r="K100" s="98" t="s">
        <v>40</v>
      </c>
      <c r="L100" s="53">
        <f>+VLOOKUP(A100,COMISIONES!$C$2:$AQ$33,41,0)</f>
        <v>30</v>
      </c>
      <c r="M100" s="7">
        <f>+VLOOKUP(A100,COMISIONES!$C$2:$C$33,1,0)</f>
        <v>20005527</v>
      </c>
    </row>
    <row r="101" spans="1:13">
      <c r="A101" s="98">
        <v>20006233</v>
      </c>
      <c r="B101" s="133" t="s">
        <v>53</v>
      </c>
      <c r="C101" s="98" t="s">
        <v>1261</v>
      </c>
      <c r="D101" s="212">
        <v>45139</v>
      </c>
      <c r="E101" s="136"/>
      <c r="F101" s="136"/>
      <c r="G101" s="98">
        <v>1</v>
      </c>
      <c r="H101" s="98">
        <v>98008</v>
      </c>
      <c r="I101" s="98" t="s">
        <v>52</v>
      </c>
      <c r="J101" s="98" t="s">
        <v>80</v>
      </c>
      <c r="K101" s="98" t="s">
        <v>40</v>
      </c>
      <c r="L101" s="53">
        <f>+VLOOKUP(A101,COMISIONES!$C$2:$AQ$33,41,0)</f>
        <v>45</v>
      </c>
      <c r="M101" s="7">
        <f>+VLOOKUP(A101,COMISIONES!$C$2:$C$33,1,0)</f>
        <v>20006233</v>
      </c>
    </row>
    <row r="102" spans="1:13">
      <c r="A102" s="98">
        <v>20009592</v>
      </c>
      <c r="B102" s="133" t="s">
        <v>53</v>
      </c>
      <c r="C102" s="98" t="s">
        <v>1264</v>
      </c>
      <c r="D102" s="212">
        <v>45139</v>
      </c>
      <c r="E102" s="136"/>
      <c r="F102" s="136"/>
      <c r="G102" s="98">
        <v>1</v>
      </c>
      <c r="H102" s="98">
        <v>98076</v>
      </c>
      <c r="I102" s="98" t="s">
        <v>52</v>
      </c>
      <c r="J102" s="98" t="s">
        <v>80</v>
      </c>
      <c r="K102" s="98" t="s">
        <v>40</v>
      </c>
      <c r="L102" s="53">
        <f>+VLOOKUP(A102,COMISIONES!$C$2:$AQ$33,41,0)</f>
        <v>30</v>
      </c>
      <c r="M102" s="7">
        <f>+VLOOKUP(A102,COMISIONES!$C$2:$C$33,1,0)</f>
        <v>20009592</v>
      </c>
    </row>
    <row r="103" spans="1:13">
      <c r="A103" s="98">
        <v>20010262</v>
      </c>
      <c r="B103" s="133" t="s">
        <v>53</v>
      </c>
      <c r="C103" s="98" t="s">
        <v>1267</v>
      </c>
      <c r="D103" s="212">
        <v>45139</v>
      </c>
      <c r="E103" s="136"/>
      <c r="F103" s="136"/>
      <c r="G103" s="98">
        <v>1</v>
      </c>
      <c r="H103" s="98">
        <v>98073</v>
      </c>
      <c r="I103" s="98" t="s">
        <v>52</v>
      </c>
      <c r="J103" s="98" t="s">
        <v>80</v>
      </c>
      <c r="K103" s="98" t="s">
        <v>40</v>
      </c>
      <c r="L103" s="53">
        <f>+VLOOKUP(A103,COMISIONES!$C$2:$AQ$33,41,0)</f>
        <v>45</v>
      </c>
      <c r="M103" s="7">
        <f>+VLOOKUP(A103,COMISIONES!$C$2:$C$33,1,0)</f>
        <v>20010262</v>
      </c>
    </row>
    <row r="104" spans="1:13">
      <c r="A104" s="98">
        <v>20008625</v>
      </c>
      <c r="B104" s="133" t="s">
        <v>53</v>
      </c>
      <c r="C104" s="98" t="s">
        <v>1279</v>
      </c>
      <c r="D104" s="212">
        <v>45139</v>
      </c>
      <c r="E104" s="136"/>
      <c r="F104" s="136"/>
      <c r="G104" s="98">
        <v>1</v>
      </c>
      <c r="H104" s="98">
        <v>98053</v>
      </c>
      <c r="I104" s="98" t="s">
        <v>49</v>
      </c>
      <c r="J104" s="98" t="s">
        <v>80</v>
      </c>
      <c r="K104" s="98" t="s">
        <v>40</v>
      </c>
      <c r="L104" s="53">
        <f>+VLOOKUP(A104,COMISIONES!$C$2:$AQ$33,41,0)</f>
        <v>30</v>
      </c>
      <c r="M104" s="7">
        <f>+VLOOKUP(A104,COMISIONES!$C$2:$C$33,1,0)</f>
        <v>20008625</v>
      </c>
    </row>
    <row r="105" spans="1:13">
      <c r="A105" s="98">
        <v>20001487</v>
      </c>
      <c r="B105" s="133" t="s">
        <v>53</v>
      </c>
      <c r="C105" s="98" t="s">
        <v>1282</v>
      </c>
      <c r="D105" s="212">
        <v>45139</v>
      </c>
      <c r="E105" s="136"/>
      <c r="F105" s="136"/>
      <c r="G105" s="98">
        <v>1</v>
      </c>
      <c r="H105" s="98">
        <v>98003</v>
      </c>
      <c r="I105" s="98" t="s">
        <v>51</v>
      </c>
      <c r="J105" s="98" t="s">
        <v>80</v>
      </c>
      <c r="K105" s="98" t="s">
        <v>40</v>
      </c>
      <c r="L105" s="53">
        <f>+VLOOKUP(A105,COMISIONES!$C$2:$AQ$33,41,0)</f>
        <v>90</v>
      </c>
      <c r="M105" s="7">
        <f>+VLOOKUP(A105,COMISIONES!$C$2:$C$33,1,0)</f>
        <v>20001487</v>
      </c>
    </row>
    <row r="106" spans="1:13">
      <c r="A106" s="98">
        <v>20009174</v>
      </c>
      <c r="B106" s="133" t="s">
        <v>53</v>
      </c>
      <c r="C106" s="98" t="s">
        <v>1291</v>
      </c>
      <c r="D106" s="212">
        <v>45139</v>
      </c>
      <c r="E106" s="136"/>
      <c r="F106" s="136"/>
      <c r="G106" s="98">
        <v>1</v>
      </c>
      <c r="H106" s="98">
        <v>98064</v>
      </c>
      <c r="I106" s="98" t="s">
        <v>52</v>
      </c>
      <c r="J106" s="98" t="s">
        <v>80</v>
      </c>
      <c r="K106" s="98" t="s">
        <v>40</v>
      </c>
      <c r="L106" s="53">
        <f>+VLOOKUP(A106,COMISIONES!$C$2:$AQ$33,41,0)</f>
        <v>60</v>
      </c>
      <c r="M106" s="7">
        <f>+VLOOKUP(A106,COMISIONES!$C$2:$C$33,1,0)</f>
        <v>20009174</v>
      </c>
    </row>
    <row r="107" spans="1:13">
      <c r="A107" s="98">
        <v>20010262</v>
      </c>
      <c r="B107" s="133" t="s">
        <v>53</v>
      </c>
      <c r="C107" s="98" t="s">
        <v>1294</v>
      </c>
      <c r="D107" s="212">
        <v>45139</v>
      </c>
      <c r="E107" s="136"/>
      <c r="F107" s="136"/>
      <c r="G107" s="98">
        <v>1</v>
      </c>
      <c r="H107" s="98">
        <v>98073</v>
      </c>
      <c r="I107" s="98" t="s">
        <v>52</v>
      </c>
      <c r="J107" s="98" t="s">
        <v>80</v>
      </c>
      <c r="K107" s="98" t="s">
        <v>40</v>
      </c>
      <c r="L107" s="53">
        <f>+VLOOKUP(A107,COMISIONES!$C$2:$AQ$33,41,0)</f>
        <v>45</v>
      </c>
      <c r="M107" s="7">
        <f>+VLOOKUP(A107,COMISIONES!$C$2:$C$33,1,0)</f>
        <v>20010262</v>
      </c>
    </row>
    <row r="108" spans="1:13">
      <c r="A108" s="98">
        <v>20001487</v>
      </c>
      <c r="B108" s="133" t="s">
        <v>53</v>
      </c>
      <c r="C108" s="98" t="s">
        <v>1312</v>
      </c>
      <c r="D108" s="212">
        <v>45139</v>
      </c>
      <c r="E108" s="136"/>
      <c r="F108" s="136"/>
      <c r="G108" s="98">
        <v>1</v>
      </c>
      <c r="H108" s="98">
        <v>98003</v>
      </c>
      <c r="I108" s="98" t="s">
        <v>51</v>
      </c>
      <c r="J108" s="98" t="s">
        <v>80</v>
      </c>
      <c r="K108" s="98" t="s">
        <v>40</v>
      </c>
      <c r="L108" s="53">
        <f>+VLOOKUP(A108,COMISIONES!$C$2:$AQ$33,41,0)</f>
        <v>90</v>
      </c>
      <c r="M108" s="7">
        <f>+VLOOKUP(A108,COMISIONES!$C$2:$C$33,1,0)</f>
        <v>20001487</v>
      </c>
    </row>
    <row r="109" spans="1:13">
      <c r="A109" s="98">
        <v>20002708</v>
      </c>
      <c r="B109" s="133" t="s">
        <v>53</v>
      </c>
      <c r="C109" s="98" t="s">
        <v>1320</v>
      </c>
      <c r="D109" s="212">
        <v>45139</v>
      </c>
      <c r="E109" s="136"/>
      <c r="F109" s="136"/>
      <c r="G109" s="98">
        <v>1</v>
      </c>
      <c r="H109" s="98">
        <v>98021</v>
      </c>
      <c r="I109" s="98" t="s">
        <v>49</v>
      </c>
      <c r="J109" s="98" t="s">
        <v>80</v>
      </c>
      <c r="K109" s="98" t="s">
        <v>40</v>
      </c>
      <c r="L109" s="53">
        <f>+VLOOKUP(A109,COMISIONES!$C$2:$AQ$33,41,0)</f>
        <v>45</v>
      </c>
      <c r="M109" s="7">
        <f>+VLOOKUP(A109,COMISIONES!$C$2:$C$33,1,0)</f>
        <v>20002708</v>
      </c>
    </row>
    <row r="110" spans="1:13">
      <c r="A110" s="98">
        <v>20007726</v>
      </c>
      <c r="B110" s="133" t="s">
        <v>53</v>
      </c>
      <c r="C110" s="98" t="s">
        <v>1323</v>
      </c>
      <c r="D110" s="212">
        <v>45139</v>
      </c>
      <c r="E110" s="136"/>
      <c r="F110" s="136"/>
      <c r="G110" s="98">
        <v>1</v>
      </c>
      <c r="H110" s="98">
        <v>98051</v>
      </c>
      <c r="I110" s="98" t="s">
        <v>49</v>
      </c>
      <c r="J110" s="98" t="s">
        <v>80</v>
      </c>
      <c r="K110" s="98" t="s">
        <v>40</v>
      </c>
      <c r="L110" s="53">
        <f>+VLOOKUP(A110,COMISIONES!$C$2:$AQ$33,41,0)</f>
        <v>90</v>
      </c>
      <c r="M110" s="7">
        <f>+VLOOKUP(A110,COMISIONES!$C$2:$C$33,1,0)</f>
        <v>20007726</v>
      </c>
    </row>
    <row r="111" spans="1:13">
      <c r="A111" s="98">
        <v>20009174</v>
      </c>
      <c r="B111" s="133" t="s">
        <v>53</v>
      </c>
      <c r="C111" s="98" t="s">
        <v>1326</v>
      </c>
      <c r="D111" s="212">
        <v>45139</v>
      </c>
      <c r="E111" s="136"/>
      <c r="F111" s="136"/>
      <c r="G111" s="98">
        <v>1</v>
      </c>
      <c r="H111" s="98">
        <v>98064</v>
      </c>
      <c r="I111" s="98" t="s">
        <v>52</v>
      </c>
      <c r="J111" s="98" t="s">
        <v>80</v>
      </c>
      <c r="K111" s="98" t="s">
        <v>40</v>
      </c>
      <c r="L111" s="53">
        <f>+VLOOKUP(A111,COMISIONES!$C$2:$AQ$33,41,0)</f>
        <v>60</v>
      </c>
      <c r="M111" s="7">
        <f>+VLOOKUP(A111,COMISIONES!$C$2:$C$33,1,0)</f>
        <v>20009174</v>
      </c>
    </row>
    <row r="112" spans="1:13">
      <c r="A112" s="98">
        <v>20006162</v>
      </c>
      <c r="B112" s="133" t="s">
        <v>53</v>
      </c>
      <c r="C112" s="98" t="s">
        <v>1335</v>
      </c>
      <c r="D112" s="212">
        <v>45139</v>
      </c>
      <c r="E112" s="136"/>
      <c r="F112" s="136"/>
      <c r="G112" s="98">
        <v>1</v>
      </c>
      <c r="H112" s="98">
        <v>98069</v>
      </c>
      <c r="I112" s="98" t="s">
        <v>50</v>
      </c>
      <c r="J112" s="98" t="s">
        <v>80</v>
      </c>
      <c r="K112" s="98" t="s">
        <v>40</v>
      </c>
      <c r="L112" s="53">
        <f>+VLOOKUP(A112,COMISIONES!$C$2:$AQ$33,41,0)</f>
        <v>60</v>
      </c>
      <c r="M112" s="7">
        <f>+VLOOKUP(A112,COMISIONES!$C$2:$C$33,1,0)</f>
        <v>20006162</v>
      </c>
    </row>
    <row r="113" spans="1:13">
      <c r="A113" s="98">
        <v>20004161</v>
      </c>
      <c r="B113" s="133" t="s">
        <v>53</v>
      </c>
      <c r="C113" s="98" t="s">
        <v>1341</v>
      </c>
      <c r="D113" s="212">
        <v>45139</v>
      </c>
      <c r="E113" s="136"/>
      <c r="F113" s="136"/>
      <c r="G113" s="98">
        <v>1</v>
      </c>
      <c r="H113" s="98">
        <v>98019</v>
      </c>
      <c r="I113" s="98" t="s">
        <v>49</v>
      </c>
      <c r="J113" s="98" t="s">
        <v>80</v>
      </c>
      <c r="K113" s="98" t="s">
        <v>40</v>
      </c>
      <c r="L113" s="53">
        <f>+VLOOKUP(A113,COMISIONES!$C$2:$AQ$33,41,0)</f>
        <v>95</v>
      </c>
      <c r="M113" s="7">
        <f>+VLOOKUP(A113,COMISIONES!$C$2:$C$33,1,0)</f>
        <v>20004161</v>
      </c>
    </row>
    <row r="114" spans="1:13">
      <c r="A114" s="98">
        <v>20006162</v>
      </c>
      <c r="B114" s="133" t="s">
        <v>53</v>
      </c>
      <c r="C114" s="98" t="s">
        <v>1377</v>
      </c>
      <c r="D114" s="212">
        <v>45139</v>
      </c>
      <c r="E114" s="136"/>
      <c r="F114" s="136"/>
      <c r="G114" s="98">
        <v>1</v>
      </c>
      <c r="H114" s="98">
        <v>98069</v>
      </c>
      <c r="I114" s="98" t="s">
        <v>50</v>
      </c>
      <c r="J114" s="98" t="s">
        <v>80</v>
      </c>
      <c r="K114" s="98" t="s">
        <v>40</v>
      </c>
      <c r="L114" s="53">
        <f>+VLOOKUP(A114,COMISIONES!$C$2:$AQ$33,41,0)</f>
        <v>60</v>
      </c>
      <c r="M114" s="7">
        <f>+VLOOKUP(A114,COMISIONES!$C$2:$C$33,1,0)</f>
        <v>20006162</v>
      </c>
    </row>
    <row r="115" spans="1:13">
      <c r="A115" s="98">
        <v>20010262</v>
      </c>
      <c r="B115" s="133" t="s">
        <v>53</v>
      </c>
      <c r="C115" s="98" t="s">
        <v>1380</v>
      </c>
      <c r="D115" s="212">
        <v>45139</v>
      </c>
      <c r="E115" s="136"/>
      <c r="F115" s="136"/>
      <c r="G115" s="98">
        <v>1</v>
      </c>
      <c r="H115" s="98">
        <v>98073</v>
      </c>
      <c r="I115" s="98" t="s">
        <v>52</v>
      </c>
      <c r="J115" s="98" t="s">
        <v>80</v>
      </c>
      <c r="K115" s="98" t="s">
        <v>40</v>
      </c>
      <c r="L115" s="53">
        <f>+VLOOKUP(A115,COMISIONES!$C$2:$AQ$33,41,0)</f>
        <v>45</v>
      </c>
      <c r="M115" s="7">
        <f>+VLOOKUP(A115,COMISIONES!$C$2:$C$33,1,0)</f>
        <v>20010262</v>
      </c>
    </row>
    <row r="116" spans="1:13">
      <c r="A116" s="98">
        <v>20010262</v>
      </c>
      <c r="B116" s="133" t="s">
        <v>53</v>
      </c>
      <c r="C116" s="98" t="s">
        <v>1406</v>
      </c>
      <c r="D116" s="212">
        <v>45139</v>
      </c>
      <c r="E116" s="136"/>
      <c r="F116" s="136"/>
      <c r="G116" s="98">
        <v>1</v>
      </c>
      <c r="H116" s="98">
        <v>98073</v>
      </c>
      <c r="I116" s="98" t="s">
        <v>52</v>
      </c>
      <c r="J116" s="98" t="s">
        <v>80</v>
      </c>
      <c r="K116" s="98" t="s">
        <v>40</v>
      </c>
      <c r="L116" s="53">
        <f>+VLOOKUP(A116,COMISIONES!$C$2:$AQ$33,41,0)</f>
        <v>45</v>
      </c>
      <c r="M116" s="7">
        <f>+VLOOKUP(A116,COMISIONES!$C$2:$C$33,1,0)</f>
        <v>20010262</v>
      </c>
    </row>
    <row r="117" spans="1:13">
      <c r="A117" s="98">
        <v>20000033</v>
      </c>
      <c r="B117" s="133" t="s">
        <v>53</v>
      </c>
      <c r="C117" s="98" t="s">
        <v>1409</v>
      </c>
      <c r="D117" s="212">
        <v>45139</v>
      </c>
      <c r="E117" s="136"/>
      <c r="F117" s="136"/>
      <c r="G117" s="98">
        <v>1</v>
      </c>
      <c r="H117" s="98">
        <v>98000</v>
      </c>
      <c r="I117" s="98" t="s">
        <v>51</v>
      </c>
      <c r="J117" s="98" t="s">
        <v>80</v>
      </c>
      <c r="K117" s="98" t="s">
        <v>40</v>
      </c>
      <c r="L117" s="53">
        <f>+VLOOKUP(A117,COMISIONES!$C$2:$AQ$33,41,0)</f>
        <v>45</v>
      </c>
      <c r="M117" s="7">
        <f>+VLOOKUP(A117,COMISIONES!$C$2:$C$33,1,0)</f>
        <v>20000033</v>
      </c>
    </row>
    <row r="118" spans="1:13">
      <c r="A118" s="98">
        <v>20009174</v>
      </c>
      <c r="B118" s="133" t="s">
        <v>53</v>
      </c>
      <c r="C118" s="98" t="s">
        <v>1415</v>
      </c>
      <c r="D118" s="212">
        <v>45139</v>
      </c>
      <c r="E118" s="136"/>
      <c r="F118" s="136"/>
      <c r="G118" s="98">
        <v>1</v>
      </c>
      <c r="H118" s="98">
        <v>98064</v>
      </c>
      <c r="I118" s="98" t="s">
        <v>52</v>
      </c>
      <c r="J118" s="98" t="s">
        <v>80</v>
      </c>
      <c r="K118" s="98" t="s">
        <v>40</v>
      </c>
      <c r="L118" s="53">
        <f>+VLOOKUP(A118,COMISIONES!$C$2:$AQ$33,41,0)</f>
        <v>60</v>
      </c>
      <c r="M118" s="7">
        <f>+VLOOKUP(A118,COMISIONES!$C$2:$C$33,1,0)</f>
        <v>20009174</v>
      </c>
    </row>
    <row r="119" spans="1:13">
      <c r="A119" s="98">
        <v>20004638</v>
      </c>
      <c r="B119" s="133" t="s">
        <v>53</v>
      </c>
      <c r="C119" s="98" t="s">
        <v>1418</v>
      </c>
      <c r="D119" s="212">
        <v>45139</v>
      </c>
      <c r="E119" s="136"/>
      <c r="F119" s="136"/>
      <c r="G119" s="98">
        <v>1</v>
      </c>
      <c r="H119" s="98">
        <v>98009</v>
      </c>
      <c r="I119" s="98" t="s">
        <v>51</v>
      </c>
      <c r="J119" s="98" t="s">
        <v>80</v>
      </c>
      <c r="K119" s="98" t="s">
        <v>40</v>
      </c>
      <c r="L119" s="53">
        <f>+VLOOKUP(A119,COMISIONES!$C$2:$AQ$33,41,0)</f>
        <v>30</v>
      </c>
      <c r="M119" s="7">
        <f>+VLOOKUP(A119,COMISIONES!$C$2:$C$33,1,0)</f>
        <v>20004638</v>
      </c>
    </row>
    <row r="120" spans="1:13">
      <c r="A120" s="98">
        <v>20007943</v>
      </c>
      <c r="B120" s="133" t="s">
        <v>53</v>
      </c>
      <c r="C120" s="98" t="s">
        <v>1424</v>
      </c>
      <c r="D120" s="212">
        <v>45139</v>
      </c>
      <c r="E120" s="136"/>
      <c r="F120" s="136"/>
      <c r="G120" s="98">
        <v>1</v>
      </c>
      <c r="H120" s="98">
        <v>98077</v>
      </c>
      <c r="I120" s="98" t="s">
        <v>51</v>
      </c>
      <c r="J120" s="98" t="s">
        <v>80</v>
      </c>
      <c r="K120" s="98" t="s">
        <v>40</v>
      </c>
      <c r="L120" s="53">
        <f>+VLOOKUP(A120,COMISIONES!$C$2:$AQ$33,41,0)</f>
        <v>30</v>
      </c>
      <c r="M120" s="7">
        <f>+VLOOKUP(A120,COMISIONES!$C$2:$C$33,1,0)</f>
        <v>20007943</v>
      </c>
    </row>
    <row r="121" spans="1:13">
      <c r="A121" s="98">
        <v>20007020</v>
      </c>
      <c r="B121" s="133" t="s">
        <v>53</v>
      </c>
      <c r="C121" s="98" t="s">
        <v>1427</v>
      </c>
      <c r="D121" s="212">
        <v>45139</v>
      </c>
      <c r="E121" s="136"/>
      <c r="F121" s="136"/>
      <c r="G121" s="98">
        <v>1</v>
      </c>
      <c r="H121" s="98">
        <v>98047</v>
      </c>
      <c r="I121" s="98" t="s">
        <v>50</v>
      </c>
      <c r="J121" s="98" t="s">
        <v>80</v>
      </c>
      <c r="K121" s="98" t="s">
        <v>40</v>
      </c>
      <c r="L121" s="53">
        <f>+VLOOKUP(A121,COMISIONES!$C$2:$AQ$33,41,0)</f>
        <v>30</v>
      </c>
      <c r="M121" s="7">
        <f>+VLOOKUP(A121,COMISIONES!$C$2:$C$33,1,0)</f>
        <v>20007020</v>
      </c>
    </row>
    <row r="122" spans="1:13">
      <c r="A122" s="98">
        <v>20004161</v>
      </c>
      <c r="B122" s="133" t="s">
        <v>53</v>
      </c>
      <c r="C122" s="98" t="s">
        <v>1457</v>
      </c>
      <c r="D122" s="212">
        <v>45139</v>
      </c>
      <c r="E122" s="136"/>
      <c r="F122" s="136"/>
      <c r="G122" s="98">
        <v>1</v>
      </c>
      <c r="H122" s="98">
        <v>98019</v>
      </c>
      <c r="I122" s="98" t="s">
        <v>49</v>
      </c>
      <c r="J122" s="98" t="s">
        <v>80</v>
      </c>
      <c r="K122" s="98" t="s">
        <v>40</v>
      </c>
      <c r="L122" s="53">
        <f>+VLOOKUP(A122,COMISIONES!$C$2:$AQ$33,41,0)</f>
        <v>95</v>
      </c>
      <c r="M122" s="7">
        <f>+VLOOKUP(A122,COMISIONES!$C$2:$C$33,1,0)</f>
        <v>20004161</v>
      </c>
    </row>
    <row r="123" spans="1:13">
      <c r="A123" s="98">
        <v>20007726</v>
      </c>
      <c r="B123" s="133" t="s">
        <v>53</v>
      </c>
      <c r="C123" s="98" t="s">
        <v>1466</v>
      </c>
      <c r="D123" s="212">
        <v>45139</v>
      </c>
      <c r="E123" s="136"/>
      <c r="F123" s="136"/>
      <c r="G123" s="98">
        <v>1</v>
      </c>
      <c r="H123" s="98">
        <v>98051</v>
      </c>
      <c r="I123" s="98" t="s">
        <v>49</v>
      </c>
      <c r="J123" s="98" t="s">
        <v>80</v>
      </c>
      <c r="K123" s="98" t="s">
        <v>40</v>
      </c>
      <c r="L123" s="53">
        <f>+VLOOKUP(A123,COMISIONES!$C$2:$AQ$33,41,0)</f>
        <v>90</v>
      </c>
      <c r="M123" s="7">
        <f>+VLOOKUP(A123,COMISIONES!$C$2:$C$33,1,0)</f>
        <v>20007726</v>
      </c>
    </row>
    <row r="124" spans="1:13">
      <c r="A124" s="98">
        <v>20009174</v>
      </c>
      <c r="B124" s="133" t="s">
        <v>53</v>
      </c>
      <c r="C124" s="98" t="s">
        <v>1479</v>
      </c>
      <c r="D124" s="212">
        <v>45139</v>
      </c>
      <c r="E124" s="136"/>
      <c r="F124" s="136"/>
      <c r="G124" s="98">
        <v>1</v>
      </c>
      <c r="H124" s="98">
        <v>98064</v>
      </c>
      <c r="I124" s="98" t="s">
        <v>52</v>
      </c>
      <c r="J124" s="98" t="s">
        <v>80</v>
      </c>
      <c r="K124" s="98" t="s">
        <v>40</v>
      </c>
      <c r="L124" s="53">
        <f>+VLOOKUP(A124,COMISIONES!$C$2:$AQ$33,41,0)</f>
        <v>60</v>
      </c>
      <c r="M124" s="7">
        <f>+VLOOKUP(A124,COMISIONES!$C$2:$C$33,1,0)</f>
        <v>20009174</v>
      </c>
    </row>
    <row r="125" spans="1:13">
      <c r="A125" s="98">
        <v>20004235</v>
      </c>
      <c r="B125" s="133" t="s">
        <v>53</v>
      </c>
      <c r="C125" s="98" t="s">
        <v>1488</v>
      </c>
      <c r="D125" s="212">
        <v>45139</v>
      </c>
      <c r="E125" s="136"/>
      <c r="F125" s="136"/>
      <c r="G125" s="98">
        <v>1</v>
      </c>
      <c r="H125" s="98">
        <v>98002</v>
      </c>
      <c r="I125" s="98" t="s">
        <v>49</v>
      </c>
      <c r="J125" s="98" t="s">
        <v>80</v>
      </c>
      <c r="K125" s="98" t="s">
        <v>40</v>
      </c>
      <c r="L125" s="53">
        <f>+VLOOKUP(A125,COMISIONES!$C$2:$AQ$33,41,0)</f>
        <v>45</v>
      </c>
      <c r="M125" s="7">
        <f>+VLOOKUP(A125,COMISIONES!$C$2:$C$33,1,0)</f>
        <v>20004235</v>
      </c>
    </row>
    <row r="126" spans="1:13">
      <c r="A126" s="98">
        <v>20008439</v>
      </c>
      <c r="B126" s="133" t="s">
        <v>53</v>
      </c>
      <c r="C126" s="98" t="s">
        <v>1500</v>
      </c>
      <c r="D126" s="212">
        <v>45139</v>
      </c>
      <c r="E126" s="136"/>
      <c r="F126" s="136"/>
      <c r="G126" s="98">
        <v>1</v>
      </c>
      <c r="H126" s="98">
        <v>98049</v>
      </c>
      <c r="I126" s="98" t="s">
        <v>50</v>
      </c>
      <c r="J126" s="98" t="s">
        <v>80</v>
      </c>
      <c r="K126" s="98" t="s">
        <v>40</v>
      </c>
      <c r="L126" s="53">
        <f>+VLOOKUP(A126,COMISIONES!$C$2:$AQ$33,41,0)</f>
        <v>45</v>
      </c>
      <c r="M126" s="7">
        <f>+VLOOKUP(A126,COMISIONES!$C$2:$C$33,1,0)</f>
        <v>20008439</v>
      </c>
    </row>
    <row r="127" spans="1:13">
      <c r="A127" s="98">
        <v>20009174</v>
      </c>
      <c r="B127" s="133" t="s">
        <v>53</v>
      </c>
      <c r="C127" s="98" t="s">
        <v>1515</v>
      </c>
      <c r="D127" s="212">
        <v>45139</v>
      </c>
      <c r="E127" s="136"/>
      <c r="F127" s="136"/>
      <c r="G127" s="98">
        <v>1</v>
      </c>
      <c r="H127" s="98">
        <v>98064</v>
      </c>
      <c r="I127" s="98" t="s">
        <v>52</v>
      </c>
      <c r="J127" s="98" t="s">
        <v>80</v>
      </c>
      <c r="K127" s="98" t="s">
        <v>40</v>
      </c>
      <c r="L127" s="53">
        <f>+VLOOKUP(A127,COMISIONES!$C$2:$AQ$33,41,0)</f>
        <v>60</v>
      </c>
      <c r="M127" s="7">
        <f>+VLOOKUP(A127,COMISIONES!$C$2:$C$33,1,0)</f>
        <v>20009174</v>
      </c>
    </row>
    <row r="128" spans="1:13">
      <c r="A128" s="98">
        <v>20007726</v>
      </c>
      <c r="B128" s="133" t="s">
        <v>53</v>
      </c>
      <c r="C128" s="98" t="s">
        <v>1518</v>
      </c>
      <c r="D128" s="212">
        <v>45139</v>
      </c>
      <c r="E128" s="136"/>
      <c r="F128" s="136"/>
      <c r="G128" s="98">
        <v>1</v>
      </c>
      <c r="H128" s="98">
        <v>98051</v>
      </c>
      <c r="I128" s="98" t="s">
        <v>49</v>
      </c>
      <c r="J128" s="98" t="s">
        <v>80</v>
      </c>
      <c r="K128" s="98" t="s">
        <v>40</v>
      </c>
      <c r="L128" s="53">
        <f>+VLOOKUP(A128,COMISIONES!$C$2:$AQ$33,41,0)</f>
        <v>90</v>
      </c>
      <c r="M128" s="7">
        <f>+VLOOKUP(A128,COMISIONES!$C$2:$C$33,1,0)</f>
        <v>20007726</v>
      </c>
    </row>
    <row r="129" spans="1:13">
      <c r="A129" s="98">
        <v>20007020</v>
      </c>
      <c r="B129" s="133" t="s">
        <v>53</v>
      </c>
      <c r="C129" s="98" t="s">
        <v>1527</v>
      </c>
      <c r="D129" s="212">
        <v>45139</v>
      </c>
      <c r="E129" s="136"/>
      <c r="F129" s="136"/>
      <c r="G129" s="98">
        <v>1</v>
      </c>
      <c r="H129" s="98">
        <v>98047</v>
      </c>
      <c r="I129" s="98" t="s">
        <v>50</v>
      </c>
      <c r="J129" s="98" t="s">
        <v>80</v>
      </c>
      <c r="K129" s="98" t="s">
        <v>40</v>
      </c>
      <c r="L129" s="53">
        <f>+VLOOKUP(A129,COMISIONES!$C$2:$AQ$33,41,0)</f>
        <v>30</v>
      </c>
      <c r="M129" s="7">
        <f>+VLOOKUP(A129,COMISIONES!$C$2:$C$33,1,0)</f>
        <v>20007020</v>
      </c>
    </row>
    <row r="130" spans="1:13">
      <c r="A130" s="98">
        <v>20009592</v>
      </c>
      <c r="B130" s="133" t="s">
        <v>53</v>
      </c>
      <c r="C130" s="98" t="s">
        <v>1530</v>
      </c>
      <c r="D130" s="212">
        <v>45139</v>
      </c>
      <c r="E130" s="136"/>
      <c r="F130" s="136"/>
      <c r="G130" s="98">
        <v>1</v>
      </c>
      <c r="H130" s="98">
        <v>98076</v>
      </c>
      <c r="I130" s="98" t="s">
        <v>52</v>
      </c>
      <c r="J130" s="98" t="s">
        <v>80</v>
      </c>
      <c r="K130" s="98" t="s">
        <v>40</v>
      </c>
      <c r="L130" s="53">
        <f>+VLOOKUP(A130,COMISIONES!$C$2:$AQ$33,41,0)</f>
        <v>30</v>
      </c>
      <c r="M130" s="7">
        <f>+VLOOKUP(A130,COMISIONES!$C$2:$C$33,1,0)</f>
        <v>20009592</v>
      </c>
    </row>
    <row r="131" spans="1:13">
      <c r="A131" s="98">
        <v>20001487</v>
      </c>
      <c r="B131" s="133" t="s">
        <v>53</v>
      </c>
      <c r="C131" s="98" t="s">
        <v>1545</v>
      </c>
      <c r="D131" s="212">
        <v>45139</v>
      </c>
      <c r="E131" s="136"/>
      <c r="F131" s="136"/>
      <c r="G131" s="98">
        <v>1</v>
      </c>
      <c r="H131" s="98">
        <v>98003</v>
      </c>
      <c r="I131" s="98" t="s">
        <v>51</v>
      </c>
      <c r="J131" s="98" t="s">
        <v>80</v>
      </c>
      <c r="K131" s="98" t="s">
        <v>40</v>
      </c>
      <c r="L131" s="53">
        <f>+VLOOKUP(A131,COMISIONES!$C$2:$AQ$33,41,0)</f>
        <v>90</v>
      </c>
      <c r="M131" s="7">
        <f>+VLOOKUP(A131,COMISIONES!$C$2:$C$33,1,0)</f>
        <v>20001487</v>
      </c>
    </row>
    <row r="132" spans="1:13">
      <c r="A132" s="98">
        <v>20004235</v>
      </c>
      <c r="B132" s="133" t="s">
        <v>53</v>
      </c>
      <c r="C132" s="98" t="s">
        <v>1548</v>
      </c>
      <c r="D132" s="212">
        <v>45139</v>
      </c>
      <c r="E132" s="136"/>
      <c r="F132" s="136"/>
      <c r="G132" s="98">
        <v>1</v>
      </c>
      <c r="H132" s="98">
        <v>98002</v>
      </c>
      <c r="I132" s="98" t="s">
        <v>49</v>
      </c>
      <c r="J132" s="98" t="s">
        <v>80</v>
      </c>
      <c r="K132" s="98" t="s">
        <v>40</v>
      </c>
      <c r="L132" s="53">
        <f>+VLOOKUP(A132,COMISIONES!$C$2:$AQ$33,41,0)</f>
        <v>45</v>
      </c>
      <c r="M132" s="7">
        <f>+VLOOKUP(A132,COMISIONES!$C$2:$C$33,1,0)</f>
        <v>20004235</v>
      </c>
    </row>
    <row r="133" spans="1:13">
      <c r="A133" s="98">
        <v>20009690</v>
      </c>
      <c r="B133" s="133" t="s">
        <v>53</v>
      </c>
      <c r="C133" s="98" t="s">
        <v>1551</v>
      </c>
      <c r="D133" s="212">
        <v>45139</v>
      </c>
      <c r="E133" s="136"/>
      <c r="F133" s="136"/>
      <c r="G133" s="98">
        <v>1</v>
      </c>
      <c r="H133" s="98">
        <v>98068</v>
      </c>
      <c r="I133" s="98" t="s">
        <v>49</v>
      </c>
      <c r="J133" s="98" t="s">
        <v>80</v>
      </c>
      <c r="K133" s="98" t="s">
        <v>40</v>
      </c>
      <c r="L133" s="53">
        <f>+VLOOKUP(A133,COMISIONES!$C$2:$AQ$33,41,0)</f>
        <v>90</v>
      </c>
      <c r="M133" s="7">
        <f>+VLOOKUP(A133,COMISIONES!$C$2:$C$33,1,0)</f>
        <v>20009690</v>
      </c>
    </row>
    <row r="134" spans="1:13">
      <c r="A134" s="98">
        <v>20009592</v>
      </c>
      <c r="B134" s="133" t="s">
        <v>53</v>
      </c>
      <c r="C134" s="98" t="s">
        <v>1560</v>
      </c>
      <c r="D134" s="212">
        <v>45139</v>
      </c>
      <c r="E134" s="136"/>
      <c r="F134" s="136"/>
      <c r="G134" s="98">
        <v>1</v>
      </c>
      <c r="H134" s="98">
        <v>98076</v>
      </c>
      <c r="I134" s="98" t="s">
        <v>52</v>
      </c>
      <c r="J134" s="98" t="s">
        <v>80</v>
      </c>
      <c r="K134" s="98" t="s">
        <v>40</v>
      </c>
      <c r="L134" s="53">
        <f>+VLOOKUP(A134,COMISIONES!$C$2:$AQ$33,41,0)</f>
        <v>30</v>
      </c>
      <c r="M134" s="7">
        <f>+VLOOKUP(A134,COMISIONES!$C$2:$C$33,1,0)</f>
        <v>20009592</v>
      </c>
    </row>
    <row r="135" spans="1:13">
      <c r="A135" s="98">
        <v>20010101</v>
      </c>
      <c r="B135" s="133" t="s">
        <v>53</v>
      </c>
      <c r="C135" s="98" t="s">
        <v>1569</v>
      </c>
      <c r="D135" s="212">
        <v>45139</v>
      </c>
      <c r="E135" s="136"/>
      <c r="F135" s="136"/>
      <c r="G135" s="98">
        <v>1</v>
      </c>
      <c r="H135" s="98">
        <v>98072</v>
      </c>
      <c r="I135" s="98" t="s">
        <v>49</v>
      </c>
      <c r="J135" s="98" t="s">
        <v>80</v>
      </c>
      <c r="K135" s="98" t="s">
        <v>40</v>
      </c>
      <c r="L135" s="53">
        <f>+VLOOKUP(A135,COMISIONES!$C$2:$AQ$33,41,0)</f>
        <v>90</v>
      </c>
      <c r="M135" s="7">
        <f>+VLOOKUP(A135,COMISIONES!$C$2:$C$33,1,0)</f>
        <v>20010101</v>
      </c>
    </row>
    <row r="136" spans="1:13">
      <c r="A136" s="98">
        <v>20006360</v>
      </c>
      <c r="B136" s="133" t="s">
        <v>53</v>
      </c>
      <c r="C136" s="98" t="s">
        <v>1575</v>
      </c>
      <c r="D136" s="212">
        <v>45139</v>
      </c>
      <c r="E136" s="136"/>
      <c r="F136" s="136"/>
      <c r="G136" s="98">
        <v>1</v>
      </c>
      <c r="H136" s="98">
        <v>98012</v>
      </c>
      <c r="I136" s="98" t="s">
        <v>50</v>
      </c>
      <c r="J136" s="98" t="s">
        <v>80</v>
      </c>
      <c r="K136" s="98" t="s">
        <v>40</v>
      </c>
      <c r="L136" s="53">
        <f>+VLOOKUP(A136,COMISIONES!$C$2:$AQ$33,41,0)</f>
        <v>30</v>
      </c>
      <c r="M136" s="7">
        <f>+VLOOKUP(A136,COMISIONES!$C$2:$C$33,1,0)</f>
        <v>20006360</v>
      </c>
    </row>
    <row r="137" spans="1:13">
      <c r="A137" s="98">
        <v>20000661</v>
      </c>
      <c r="B137" s="133" t="s">
        <v>53</v>
      </c>
      <c r="C137" s="98" t="s">
        <v>1587</v>
      </c>
      <c r="D137" s="212">
        <v>45139</v>
      </c>
      <c r="E137" s="136"/>
      <c r="F137" s="136"/>
      <c r="G137" s="98">
        <v>1</v>
      </c>
      <c r="H137" s="98">
        <v>98013</v>
      </c>
      <c r="I137" s="98" t="s">
        <v>51</v>
      </c>
      <c r="J137" s="98" t="s">
        <v>80</v>
      </c>
      <c r="K137" s="98" t="s">
        <v>40</v>
      </c>
      <c r="L137" s="53">
        <f>+VLOOKUP(A137,COMISIONES!$C$2:$AQ$33,41,0)</f>
        <v>45</v>
      </c>
      <c r="M137" s="7">
        <f>+VLOOKUP(A137,COMISIONES!$C$2:$C$33,1,0)</f>
        <v>20000661</v>
      </c>
    </row>
    <row r="138" spans="1:13">
      <c r="A138" s="98">
        <v>20007726</v>
      </c>
      <c r="B138" s="133" t="s">
        <v>53</v>
      </c>
      <c r="C138" s="98" t="s">
        <v>1593</v>
      </c>
      <c r="D138" s="212">
        <v>45139</v>
      </c>
      <c r="E138" s="136"/>
      <c r="F138" s="136"/>
      <c r="G138" s="98">
        <v>1</v>
      </c>
      <c r="H138" s="98">
        <v>98051</v>
      </c>
      <c r="I138" s="98" t="s">
        <v>49</v>
      </c>
      <c r="J138" s="98" t="s">
        <v>80</v>
      </c>
      <c r="K138" s="98" t="s">
        <v>40</v>
      </c>
      <c r="L138" s="53">
        <f>+VLOOKUP(A138,COMISIONES!$C$2:$AQ$33,41,0)</f>
        <v>90</v>
      </c>
      <c r="M138" s="7">
        <f>+VLOOKUP(A138,COMISIONES!$C$2:$C$33,1,0)</f>
        <v>20007726</v>
      </c>
    </row>
    <row r="139" spans="1:13">
      <c r="A139" s="98">
        <v>20001487</v>
      </c>
      <c r="B139" s="133" t="s">
        <v>53</v>
      </c>
      <c r="C139" s="98" t="s">
        <v>1617</v>
      </c>
      <c r="D139" s="212">
        <v>45139</v>
      </c>
      <c r="E139" s="136"/>
      <c r="F139" s="136"/>
      <c r="G139" s="98">
        <v>1</v>
      </c>
      <c r="H139" s="98">
        <v>98003</v>
      </c>
      <c r="I139" s="98" t="s">
        <v>51</v>
      </c>
      <c r="J139" s="98" t="s">
        <v>80</v>
      </c>
      <c r="K139" s="98" t="s">
        <v>40</v>
      </c>
      <c r="L139" s="53">
        <f>+VLOOKUP(A139,COMISIONES!$C$2:$AQ$33,41,0)</f>
        <v>90</v>
      </c>
      <c r="M139" s="7">
        <f>+VLOOKUP(A139,COMISIONES!$C$2:$C$33,1,0)</f>
        <v>20001487</v>
      </c>
    </row>
    <row r="140" spans="1:13">
      <c r="A140" s="98">
        <v>20005527</v>
      </c>
      <c r="B140" s="133" t="s">
        <v>53</v>
      </c>
      <c r="C140" s="98" t="s">
        <v>1620</v>
      </c>
      <c r="D140" s="212">
        <v>45139</v>
      </c>
      <c r="E140" s="136"/>
      <c r="F140" s="136"/>
      <c r="G140" s="98">
        <v>1</v>
      </c>
      <c r="H140" s="98">
        <v>98041</v>
      </c>
      <c r="I140" s="98" t="s">
        <v>52</v>
      </c>
      <c r="J140" s="98" t="s">
        <v>80</v>
      </c>
      <c r="K140" s="98" t="s">
        <v>40</v>
      </c>
      <c r="L140" s="53">
        <f>+VLOOKUP(A140,COMISIONES!$C$2:$AQ$33,41,0)</f>
        <v>30</v>
      </c>
      <c r="M140" s="7">
        <f>+VLOOKUP(A140,COMISIONES!$C$2:$C$33,1,0)</f>
        <v>20005527</v>
      </c>
    </row>
    <row r="141" spans="1:13">
      <c r="A141" s="98">
        <v>20007726</v>
      </c>
      <c r="B141" s="133" t="s">
        <v>53</v>
      </c>
      <c r="C141" s="98" t="s">
        <v>1632</v>
      </c>
      <c r="D141" s="212">
        <v>45139</v>
      </c>
      <c r="E141" s="136"/>
      <c r="F141" s="136"/>
      <c r="G141" s="98">
        <v>1</v>
      </c>
      <c r="H141" s="98">
        <v>98051</v>
      </c>
      <c r="I141" s="98" t="s">
        <v>49</v>
      </c>
      <c r="J141" s="98" t="s">
        <v>80</v>
      </c>
      <c r="K141" s="98" t="s">
        <v>40</v>
      </c>
      <c r="L141" s="53">
        <f>+VLOOKUP(A141,COMISIONES!$C$2:$AQ$33,41,0)</f>
        <v>90</v>
      </c>
      <c r="M141" s="7">
        <f>+VLOOKUP(A141,COMISIONES!$C$2:$C$33,1,0)</f>
        <v>20007726</v>
      </c>
    </row>
    <row r="142" spans="1:13">
      <c r="A142" s="98">
        <v>20008625</v>
      </c>
      <c r="B142" s="133" t="s">
        <v>53</v>
      </c>
      <c r="C142" s="98" t="s">
        <v>1635</v>
      </c>
      <c r="D142" s="212">
        <v>45139</v>
      </c>
      <c r="E142" s="136"/>
      <c r="F142" s="136"/>
      <c r="G142" s="98">
        <v>1</v>
      </c>
      <c r="H142" s="98">
        <v>98053</v>
      </c>
      <c r="I142" s="98" t="s">
        <v>49</v>
      </c>
      <c r="J142" s="98" t="s">
        <v>80</v>
      </c>
      <c r="K142" s="98" t="s">
        <v>40</v>
      </c>
      <c r="L142" s="53">
        <f>+VLOOKUP(A142,COMISIONES!$C$2:$AQ$33,41,0)</f>
        <v>30</v>
      </c>
      <c r="M142" s="7">
        <f>+VLOOKUP(A142,COMISIONES!$C$2:$C$33,1,0)</f>
        <v>20008625</v>
      </c>
    </row>
    <row r="143" spans="1:13">
      <c r="A143" s="98">
        <v>20010604</v>
      </c>
      <c r="B143" s="133" t="s">
        <v>53</v>
      </c>
      <c r="C143" s="98" t="s">
        <v>1671</v>
      </c>
      <c r="D143" s="212">
        <v>45139</v>
      </c>
      <c r="E143" s="136"/>
      <c r="F143" s="136"/>
      <c r="G143" s="98">
        <v>1</v>
      </c>
      <c r="H143" s="98">
        <v>98078</v>
      </c>
      <c r="I143" s="98" t="s">
        <v>50</v>
      </c>
      <c r="J143" s="98" t="s">
        <v>80</v>
      </c>
      <c r="K143" s="98" t="s">
        <v>40</v>
      </c>
      <c r="L143" s="53">
        <f>+VLOOKUP(A143,COMISIONES!$C$2:$AQ$33,41,0)</f>
        <v>30</v>
      </c>
      <c r="M143" s="7">
        <f>+VLOOKUP(A143,COMISIONES!$C$2:$C$33,1,0)</f>
        <v>20010604</v>
      </c>
    </row>
    <row r="144" spans="1:13">
      <c r="A144" s="98">
        <v>20004566</v>
      </c>
      <c r="B144" s="133" t="s">
        <v>53</v>
      </c>
      <c r="C144" s="98" t="s">
        <v>1674</v>
      </c>
      <c r="D144" s="212">
        <v>45139</v>
      </c>
      <c r="E144" s="136"/>
      <c r="F144" s="136"/>
      <c r="G144" s="98">
        <v>1</v>
      </c>
      <c r="H144" s="98">
        <v>98023</v>
      </c>
      <c r="I144" s="98" t="s">
        <v>50</v>
      </c>
      <c r="J144" s="98" t="s">
        <v>80</v>
      </c>
      <c r="K144" s="98" t="s">
        <v>40</v>
      </c>
      <c r="L144" s="53">
        <f>+VLOOKUP(A144,COMISIONES!$C$2:$AQ$33,41,0)</f>
        <v>60</v>
      </c>
      <c r="M144" s="7">
        <f>+VLOOKUP(A144,COMISIONES!$C$2:$C$33,1,0)</f>
        <v>20004566</v>
      </c>
    </row>
    <row r="145" spans="1:13">
      <c r="A145" s="98">
        <v>20009174</v>
      </c>
      <c r="B145" s="133" t="s">
        <v>53</v>
      </c>
      <c r="C145" s="98" t="s">
        <v>1680</v>
      </c>
      <c r="D145" s="212">
        <v>45139</v>
      </c>
      <c r="E145" s="136"/>
      <c r="F145" s="136"/>
      <c r="G145" s="98">
        <v>1</v>
      </c>
      <c r="H145" s="98">
        <v>98064</v>
      </c>
      <c r="I145" s="98" t="s">
        <v>52</v>
      </c>
      <c r="J145" s="98" t="s">
        <v>80</v>
      </c>
      <c r="K145" s="98" t="s">
        <v>40</v>
      </c>
      <c r="L145" s="53">
        <f>+VLOOKUP(A145,COMISIONES!$C$2:$AQ$33,41,0)</f>
        <v>60</v>
      </c>
      <c r="M145" s="7">
        <f>+VLOOKUP(A145,COMISIONES!$C$2:$C$33,1,0)</f>
        <v>20009174</v>
      </c>
    </row>
    <row r="146" spans="1:13">
      <c r="A146" s="98">
        <v>20006162</v>
      </c>
      <c r="B146" s="133" t="s">
        <v>53</v>
      </c>
      <c r="C146" s="98" t="s">
        <v>1695</v>
      </c>
      <c r="D146" s="212">
        <v>45139</v>
      </c>
      <c r="E146" s="136"/>
      <c r="F146" s="136"/>
      <c r="G146" s="98">
        <v>1</v>
      </c>
      <c r="H146" s="98">
        <v>98069</v>
      </c>
      <c r="I146" s="98" t="s">
        <v>50</v>
      </c>
      <c r="J146" s="98" t="s">
        <v>80</v>
      </c>
      <c r="K146" s="98" t="s">
        <v>40</v>
      </c>
      <c r="L146" s="53">
        <f>+VLOOKUP(A146,COMISIONES!$C$2:$AQ$33,41,0)</f>
        <v>60</v>
      </c>
      <c r="M146" s="7">
        <f>+VLOOKUP(A146,COMISIONES!$C$2:$C$33,1,0)</f>
        <v>20006162</v>
      </c>
    </row>
    <row r="147" spans="1:13">
      <c r="A147" s="98">
        <v>20007726</v>
      </c>
      <c r="B147" s="133" t="s">
        <v>53</v>
      </c>
      <c r="C147" s="98" t="s">
        <v>1704</v>
      </c>
      <c r="D147" s="212">
        <v>45139</v>
      </c>
      <c r="E147" s="136"/>
      <c r="F147" s="136"/>
      <c r="G147" s="98">
        <v>1</v>
      </c>
      <c r="H147" s="98">
        <v>98051</v>
      </c>
      <c r="I147" s="98" t="s">
        <v>49</v>
      </c>
      <c r="J147" s="98" t="s">
        <v>80</v>
      </c>
      <c r="K147" s="98" t="s">
        <v>40</v>
      </c>
      <c r="L147" s="53">
        <f>+VLOOKUP(A147,COMISIONES!$C$2:$AQ$33,41,0)</f>
        <v>90</v>
      </c>
      <c r="M147" s="7">
        <f>+VLOOKUP(A147,COMISIONES!$C$2:$C$33,1,0)</f>
        <v>20007726</v>
      </c>
    </row>
    <row r="148" spans="1:13">
      <c r="A148" s="98">
        <v>20007020</v>
      </c>
      <c r="B148" s="133" t="s">
        <v>53</v>
      </c>
      <c r="C148" s="98" t="s">
        <v>1713</v>
      </c>
      <c r="D148" s="212">
        <v>45139</v>
      </c>
      <c r="E148" s="136"/>
      <c r="F148" s="136"/>
      <c r="G148" s="98">
        <v>1</v>
      </c>
      <c r="H148" s="98">
        <v>98047</v>
      </c>
      <c r="I148" s="98" t="s">
        <v>50</v>
      </c>
      <c r="J148" s="98" t="s">
        <v>80</v>
      </c>
      <c r="K148" s="98" t="s">
        <v>40</v>
      </c>
      <c r="L148" s="53">
        <f>+VLOOKUP(A148,COMISIONES!$C$2:$AQ$33,41,0)</f>
        <v>30</v>
      </c>
      <c r="M148" s="7">
        <f>+VLOOKUP(A148,COMISIONES!$C$2:$C$33,1,0)</f>
        <v>20007020</v>
      </c>
    </row>
    <row r="149" spans="1:13">
      <c r="A149" s="98">
        <v>20004161</v>
      </c>
      <c r="B149" s="133" t="s">
        <v>53</v>
      </c>
      <c r="C149" s="98" t="s">
        <v>1733</v>
      </c>
      <c r="D149" s="212">
        <v>45139</v>
      </c>
      <c r="E149" s="136"/>
      <c r="F149" s="136"/>
      <c r="G149" s="98">
        <v>1</v>
      </c>
      <c r="H149" s="98">
        <v>98019</v>
      </c>
      <c r="I149" s="98" t="s">
        <v>49</v>
      </c>
      <c r="J149" s="98" t="s">
        <v>80</v>
      </c>
      <c r="K149" s="98" t="s">
        <v>40</v>
      </c>
      <c r="L149" s="53">
        <f>+VLOOKUP(A149,COMISIONES!$C$2:$AQ$33,41,0)</f>
        <v>95</v>
      </c>
      <c r="M149" s="7">
        <f>+VLOOKUP(A149,COMISIONES!$C$2:$C$33,1,0)</f>
        <v>20004161</v>
      </c>
    </row>
    <row r="150" spans="1:13">
      <c r="A150" s="98">
        <v>20004235</v>
      </c>
      <c r="B150" s="133" t="s">
        <v>53</v>
      </c>
      <c r="C150" s="98" t="s">
        <v>1739</v>
      </c>
      <c r="D150" s="212">
        <v>45139</v>
      </c>
      <c r="E150" s="136"/>
      <c r="F150" s="136"/>
      <c r="G150" s="98">
        <v>1</v>
      </c>
      <c r="H150" s="98">
        <v>98002</v>
      </c>
      <c r="I150" s="98" t="s">
        <v>49</v>
      </c>
      <c r="J150" s="98" t="s">
        <v>80</v>
      </c>
      <c r="K150" s="98" t="s">
        <v>40</v>
      </c>
      <c r="L150" s="53">
        <f>+VLOOKUP(A150,COMISIONES!$C$2:$AQ$33,41,0)</f>
        <v>45</v>
      </c>
      <c r="M150" s="7">
        <f>+VLOOKUP(A150,COMISIONES!$C$2:$C$33,1,0)</f>
        <v>20004235</v>
      </c>
    </row>
    <row r="151" spans="1:13">
      <c r="A151" s="98">
        <v>20009688</v>
      </c>
      <c r="B151" s="133" t="s">
        <v>53</v>
      </c>
      <c r="C151" s="98" t="s">
        <v>1754</v>
      </c>
      <c r="D151" s="212">
        <v>45139</v>
      </c>
      <c r="E151" s="136"/>
      <c r="F151" s="136"/>
      <c r="G151" s="98">
        <v>1</v>
      </c>
      <c r="H151" s="98">
        <v>98075</v>
      </c>
      <c r="I151" s="98" t="s">
        <v>52</v>
      </c>
      <c r="J151" s="98" t="s">
        <v>80</v>
      </c>
      <c r="K151" s="98" t="s">
        <v>40</v>
      </c>
      <c r="L151" s="53">
        <f>+VLOOKUP(A151,COMISIONES!$C$2:$AQ$33,41,0)</f>
        <v>45</v>
      </c>
      <c r="M151" s="7">
        <f>+VLOOKUP(A151,COMISIONES!$C$2:$C$33,1,0)</f>
        <v>20009688</v>
      </c>
    </row>
    <row r="152" spans="1:13">
      <c r="A152" s="98">
        <v>20001487</v>
      </c>
      <c r="B152" s="133" t="s">
        <v>53</v>
      </c>
      <c r="C152" s="98" t="s">
        <v>1760</v>
      </c>
      <c r="D152" s="212">
        <v>45139</v>
      </c>
      <c r="E152" s="136"/>
      <c r="F152" s="136"/>
      <c r="G152" s="98">
        <v>1</v>
      </c>
      <c r="H152" s="98">
        <v>98003</v>
      </c>
      <c r="I152" s="98" t="s">
        <v>51</v>
      </c>
      <c r="J152" s="98" t="s">
        <v>80</v>
      </c>
      <c r="K152" s="98" t="s">
        <v>40</v>
      </c>
      <c r="L152" s="53">
        <f>+VLOOKUP(A152,COMISIONES!$C$2:$AQ$33,41,0)</f>
        <v>90</v>
      </c>
      <c r="M152" s="7">
        <f>+VLOOKUP(A152,COMISIONES!$C$2:$C$33,1,0)</f>
        <v>20001487</v>
      </c>
    </row>
    <row r="153" spans="1:13">
      <c r="A153" s="98">
        <v>20009690</v>
      </c>
      <c r="B153" s="133" t="s">
        <v>53</v>
      </c>
      <c r="C153" s="98" t="s">
        <v>1766</v>
      </c>
      <c r="D153" s="212">
        <v>45139</v>
      </c>
      <c r="E153" s="136"/>
      <c r="F153" s="136"/>
      <c r="G153" s="98">
        <v>1</v>
      </c>
      <c r="H153" s="98">
        <v>98068</v>
      </c>
      <c r="I153" s="98" t="s">
        <v>49</v>
      </c>
      <c r="J153" s="98" t="s">
        <v>80</v>
      </c>
      <c r="K153" s="98" t="s">
        <v>40</v>
      </c>
      <c r="L153" s="53">
        <f>+VLOOKUP(A153,COMISIONES!$C$2:$AQ$33,41,0)</f>
        <v>90</v>
      </c>
      <c r="M153" s="7">
        <f>+VLOOKUP(A153,COMISIONES!$C$2:$C$33,1,0)</f>
        <v>20009690</v>
      </c>
    </row>
    <row r="154" spans="1:13">
      <c r="A154" s="98">
        <v>20000661</v>
      </c>
      <c r="B154" s="133" t="s">
        <v>53</v>
      </c>
      <c r="C154" s="98" t="s">
        <v>1778</v>
      </c>
      <c r="D154" s="212">
        <v>45139</v>
      </c>
      <c r="E154" s="136"/>
      <c r="F154" s="136"/>
      <c r="G154" s="98">
        <v>1</v>
      </c>
      <c r="H154" s="98">
        <v>98013</v>
      </c>
      <c r="I154" s="98" t="s">
        <v>51</v>
      </c>
      <c r="J154" s="98" t="s">
        <v>80</v>
      </c>
      <c r="K154" s="98" t="s">
        <v>40</v>
      </c>
      <c r="L154" s="53">
        <f>+VLOOKUP(A154,COMISIONES!$C$2:$AQ$33,41,0)</f>
        <v>45</v>
      </c>
      <c r="M154" s="7">
        <f>+VLOOKUP(A154,COMISIONES!$C$2:$C$33,1,0)</f>
        <v>20000661</v>
      </c>
    </row>
    <row r="155" spans="1:13">
      <c r="A155" s="98">
        <v>20009690</v>
      </c>
      <c r="B155" s="133" t="s">
        <v>53</v>
      </c>
      <c r="C155" s="98" t="s">
        <v>1790</v>
      </c>
      <c r="D155" s="212">
        <v>45139</v>
      </c>
      <c r="E155" s="136"/>
      <c r="F155" s="136"/>
      <c r="G155" s="98">
        <v>1</v>
      </c>
      <c r="H155" s="98">
        <v>98068</v>
      </c>
      <c r="I155" s="98" t="s">
        <v>49</v>
      </c>
      <c r="J155" s="98" t="s">
        <v>80</v>
      </c>
      <c r="K155" s="98" t="s">
        <v>40</v>
      </c>
      <c r="L155" s="53">
        <f>+VLOOKUP(A155,COMISIONES!$C$2:$AQ$33,41,0)</f>
        <v>90</v>
      </c>
      <c r="M155" s="7">
        <f>+VLOOKUP(A155,COMISIONES!$C$2:$C$33,1,0)</f>
        <v>20009690</v>
      </c>
    </row>
    <row r="156" spans="1:13">
      <c r="A156" s="98">
        <v>20002708</v>
      </c>
      <c r="B156" s="133" t="s">
        <v>53</v>
      </c>
      <c r="C156" s="98" t="s">
        <v>1793</v>
      </c>
      <c r="D156" s="212">
        <v>45139</v>
      </c>
      <c r="E156" s="136"/>
      <c r="F156" s="136"/>
      <c r="G156" s="98">
        <v>1</v>
      </c>
      <c r="H156" s="98">
        <v>98021</v>
      </c>
      <c r="I156" s="98" t="s">
        <v>49</v>
      </c>
      <c r="J156" s="98" t="s">
        <v>80</v>
      </c>
      <c r="K156" s="98" t="s">
        <v>40</v>
      </c>
      <c r="L156" s="53">
        <f>+VLOOKUP(A156,COMISIONES!$C$2:$AQ$33,41,0)</f>
        <v>45</v>
      </c>
      <c r="M156" s="7">
        <f>+VLOOKUP(A156,COMISIONES!$C$2:$C$33,1,0)</f>
        <v>20002708</v>
      </c>
    </row>
    <row r="157" spans="1:13">
      <c r="A157" s="98">
        <v>20007726</v>
      </c>
      <c r="B157" s="133" t="s">
        <v>53</v>
      </c>
      <c r="C157" s="98" t="s">
        <v>1802</v>
      </c>
      <c r="D157" s="212">
        <v>45139</v>
      </c>
      <c r="E157" s="136"/>
      <c r="F157" s="136"/>
      <c r="G157" s="98">
        <v>1</v>
      </c>
      <c r="H157" s="98">
        <v>98051</v>
      </c>
      <c r="I157" s="98" t="s">
        <v>49</v>
      </c>
      <c r="J157" s="98" t="s">
        <v>80</v>
      </c>
      <c r="K157" s="98" t="s">
        <v>40</v>
      </c>
      <c r="L157" s="53">
        <f>+VLOOKUP(A157,COMISIONES!$C$2:$AQ$33,41,0)</f>
        <v>90</v>
      </c>
      <c r="M157" s="7">
        <f>+VLOOKUP(A157,COMISIONES!$C$2:$C$33,1,0)</f>
        <v>20007726</v>
      </c>
    </row>
    <row r="158" spans="1:13">
      <c r="A158" s="98">
        <v>20010262</v>
      </c>
      <c r="B158" s="133" t="s">
        <v>53</v>
      </c>
      <c r="C158" s="98" t="s">
        <v>1805</v>
      </c>
      <c r="D158" s="212">
        <v>45139</v>
      </c>
      <c r="E158" s="136"/>
      <c r="F158" s="136"/>
      <c r="G158" s="98">
        <v>1</v>
      </c>
      <c r="H158" s="98">
        <v>98073</v>
      </c>
      <c r="I158" s="98" t="s">
        <v>52</v>
      </c>
      <c r="J158" s="98" t="s">
        <v>80</v>
      </c>
      <c r="K158" s="98" t="s">
        <v>40</v>
      </c>
      <c r="L158" s="53">
        <f>+VLOOKUP(A158,COMISIONES!$C$2:$AQ$33,41,0)</f>
        <v>45</v>
      </c>
      <c r="M158" s="7">
        <f>+VLOOKUP(A158,COMISIONES!$C$2:$C$33,1,0)</f>
        <v>20010262</v>
      </c>
    </row>
    <row r="159" spans="1:13">
      <c r="A159" s="98">
        <v>20010101</v>
      </c>
      <c r="B159" s="133" t="s">
        <v>53</v>
      </c>
      <c r="C159" s="98" t="s">
        <v>1811</v>
      </c>
      <c r="D159" s="212">
        <v>45139</v>
      </c>
      <c r="E159" s="136"/>
      <c r="F159" s="136"/>
      <c r="G159" s="98">
        <v>1</v>
      </c>
      <c r="H159" s="98">
        <v>98072</v>
      </c>
      <c r="I159" s="98" t="s">
        <v>49</v>
      </c>
      <c r="J159" s="98" t="s">
        <v>80</v>
      </c>
      <c r="K159" s="98" t="s">
        <v>40</v>
      </c>
      <c r="L159" s="53">
        <f>+VLOOKUP(A159,COMISIONES!$C$2:$AQ$33,41,0)</f>
        <v>90</v>
      </c>
      <c r="M159" s="7">
        <f>+VLOOKUP(A159,COMISIONES!$C$2:$C$33,1,0)</f>
        <v>20010101</v>
      </c>
    </row>
    <row r="160" spans="1:13">
      <c r="A160" s="98">
        <v>20009592</v>
      </c>
      <c r="B160" s="133" t="s">
        <v>53</v>
      </c>
      <c r="C160" s="98" t="s">
        <v>1820</v>
      </c>
      <c r="D160" s="212">
        <v>45139</v>
      </c>
      <c r="E160" s="136"/>
      <c r="F160" s="136"/>
      <c r="G160" s="98">
        <v>1</v>
      </c>
      <c r="H160" s="98">
        <v>98076</v>
      </c>
      <c r="I160" s="98" t="s">
        <v>52</v>
      </c>
      <c r="J160" s="98" t="s">
        <v>80</v>
      </c>
      <c r="K160" s="98" t="s">
        <v>40</v>
      </c>
      <c r="L160" s="53">
        <f>+VLOOKUP(A160,COMISIONES!$C$2:$AQ$33,41,0)</f>
        <v>30</v>
      </c>
      <c r="M160" s="7">
        <f>+VLOOKUP(A160,COMISIONES!$C$2:$C$33,1,0)</f>
        <v>20009592</v>
      </c>
    </row>
    <row r="161" spans="1:13">
      <c r="A161" s="98">
        <v>20006162</v>
      </c>
      <c r="B161" s="133" t="s">
        <v>53</v>
      </c>
      <c r="C161" s="98" t="s">
        <v>1832</v>
      </c>
      <c r="D161" s="212">
        <v>45139</v>
      </c>
      <c r="E161" s="136"/>
      <c r="F161" s="136"/>
      <c r="G161" s="98">
        <v>1</v>
      </c>
      <c r="H161" s="98">
        <v>98069</v>
      </c>
      <c r="I161" s="98" t="s">
        <v>50</v>
      </c>
      <c r="J161" s="98" t="s">
        <v>80</v>
      </c>
      <c r="K161" s="98" t="s">
        <v>40</v>
      </c>
      <c r="L161" s="53">
        <f>+VLOOKUP(A161,COMISIONES!$C$2:$AQ$33,41,0)</f>
        <v>60</v>
      </c>
      <c r="M161" s="7">
        <f>+VLOOKUP(A161,COMISIONES!$C$2:$C$33,1,0)</f>
        <v>20006162</v>
      </c>
    </row>
    <row r="162" spans="1:13">
      <c r="A162" s="98">
        <v>20010101</v>
      </c>
      <c r="B162" s="133" t="s">
        <v>53</v>
      </c>
      <c r="C162" s="98" t="s">
        <v>1838</v>
      </c>
      <c r="D162" s="212">
        <v>45139</v>
      </c>
      <c r="E162" s="136"/>
      <c r="F162" s="136"/>
      <c r="G162" s="98">
        <v>1</v>
      </c>
      <c r="H162" s="98">
        <v>98072</v>
      </c>
      <c r="I162" s="98" t="s">
        <v>49</v>
      </c>
      <c r="J162" s="98" t="s">
        <v>80</v>
      </c>
      <c r="K162" s="98" t="s">
        <v>40</v>
      </c>
      <c r="L162" s="53">
        <f>+VLOOKUP(A162,COMISIONES!$C$2:$AQ$33,41,0)</f>
        <v>90</v>
      </c>
      <c r="M162" s="7">
        <f>+VLOOKUP(A162,COMISIONES!$C$2:$C$33,1,0)</f>
        <v>20010101</v>
      </c>
    </row>
    <row r="163" spans="1:13">
      <c r="A163" s="98">
        <v>20004161</v>
      </c>
      <c r="B163" s="133" t="s">
        <v>53</v>
      </c>
      <c r="C163" s="98" t="s">
        <v>1850</v>
      </c>
      <c r="D163" s="212">
        <v>45139</v>
      </c>
      <c r="E163" s="136"/>
      <c r="F163" s="136"/>
      <c r="G163" s="98">
        <v>1</v>
      </c>
      <c r="H163" s="98">
        <v>98019</v>
      </c>
      <c r="I163" s="98" t="s">
        <v>49</v>
      </c>
      <c r="J163" s="98" t="s">
        <v>80</v>
      </c>
      <c r="K163" s="98" t="s">
        <v>40</v>
      </c>
      <c r="L163" s="53">
        <f>+VLOOKUP(A163,COMISIONES!$C$2:$AQ$33,41,0)</f>
        <v>95</v>
      </c>
      <c r="M163" s="7">
        <f>+VLOOKUP(A163,COMISIONES!$C$2:$C$33,1,0)</f>
        <v>20004161</v>
      </c>
    </row>
    <row r="164" spans="1:13">
      <c r="A164" s="98">
        <v>20009269</v>
      </c>
      <c r="B164" s="133" t="s">
        <v>53</v>
      </c>
      <c r="C164" s="98" t="s">
        <v>1853</v>
      </c>
      <c r="D164" s="212">
        <v>45139</v>
      </c>
      <c r="E164" s="136"/>
      <c r="F164" s="136"/>
      <c r="G164" s="98">
        <v>1</v>
      </c>
      <c r="H164" s="98">
        <v>98065</v>
      </c>
      <c r="I164" s="98" t="s">
        <v>49</v>
      </c>
      <c r="J164" s="98" t="s">
        <v>80</v>
      </c>
      <c r="K164" s="98" t="s">
        <v>40</v>
      </c>
      <c r="L164" s="53">
        <f>+VLOOKUP(A164,COMISIONES!$C$2:$AQ$33,41,0)</f>
        <v>90</v>
      </c>
      <c r="M164" s="7">
        <f>+VLOOKUP(A164,COMISIONES!$C$2:$C$33,1,0)</f>
        <v>20009269</v>
      </c>
    </row>
    <row r="165" spans="1:13">
      <c r="A165" s="98">
        <v>20008711</v>
      </c>
      <c r="B165" s="133" t="s">
        <v>53</v>
      </c>
      <c r="C165" s="98" t="s">
        <v>1865</v>
      </c>
      <c r="D165" s="212">
        <v>45139</v>
      </c>
      <c r="E165" s="136"/>
      <c r="F165" s="136"/>
      <c r="G165" s="98">
        <v>1</v>
      </c>
      <c r="H165" s="98">
        <v>98055</v>
      </c>
      <c r="I165" s="98" t="s">
        <v>50</v>
      </c>
      <c r="J165" s="98" t="s">
        <v>80</v>
      </c>
      <c r="K165" s="98" t="s">
        <v>40</v>
      </c>
      <c r="L165" s="53">
        <f>+VLOOKUP(A165,COMISIONES!$C$2:$AQ$33,41,0)</f>
        <v>45</v>
      </c>
      <c r="M165" s="7">
        <f>+VLOOKUP(A165,COMISIONES!$C$2:$C$33,1,0)</f>
        <v>20008711</v>
      </c>
    </row>
    <row r="166" spans="1:13">
      <c r="A166" s="98">
        <v>20009690</v>
      </c>
      <c r="B166" s="133" t="s">
        <v>53</v>
      </c>
      <c r="C166" s="98" t="s">
        <v>1868</v>
      </c>
      <c r="D166" s="212">
        <v>45139</v>
      </c>
      <c r="E166" s="136"/>
      <c r="F166" s="136"/>
      <c r="G166" s="98">
        <v>1</v>
      </c>
      <c r="H166" s="98">
        <v>98068</v>
      </c>
      <c r="I166" s="98" t="s">
        <v>49</v>
      </c>
      <c r="J166" s="98" t="s">
        <v>80</v>
      </c>
      <c r="K166" s="98" t="s">
        <v>40</v>
      </c>
      <c r="L166" s="53">
        <f>+VLOOKUP(A166,COMISIONES!$C$2:$AQ$33,41,0)</f>
        <v>90</v>
      </c>
      <c r="M166" s="7">
        <f>+VLOOKUP(A166,COMISIONES!$C$2:$C$33,1,0)</f>
        <v>20009690</v>
      </c>
    </row>
    <row r="167" spans="1:13">
      <c r="A167" s="98">
        <v>20004161</v>
      </c>
      <c r="B167" s="133" t="s">
        <v>53</v>
      </c>
      <c r="C167" s="98" t="s">
        <v>1874</v>
      </c>
      <c r="D167" s="212">
        <v>45139</v>
      </c>
      <c r="E167" s="136"/>
      <c r="F167" s="136"/>
      <c r="G167" s="98">
        <v>1</v>
      </c>
      <c r="H167" s="98">
        <v>98019</v>
      </c>
      <c r="I167" s="98" t="s">
        <v>49</v>
      </c>
      <c r="J167" s="98" t="s">
        <v>80</v>
      </c>
      <c r="K167" s="98" t="s">
        <v>40</v>
      </c>
      <c r="L167" s="53">
        <f>+VLOOKUP(A167,COMISIONES!$C$2:$AQ$33,41,0)</f>
        <v>95</v>
      </c>
      <c r="M167" s="7">
        <f>+VLOOKUP(A167,COMISIONES!$C$2:$C$33,1,0)</f>
        <v>20004161</v>
      </c>
    </row>
    <row r="168" spans="1:13">
      <c r="A168" s="98">
        <v>20000661</v>
      </c>
      <c r="B168" s="133" t="s">
        <v>53</v>
      </c>
      <c r="C168" s="98" t="s">
        <v>1880</v>
      </c>
      <c r="D168" s="212">
        <v>45139</v>
      </c>
      <c r="E168" s="136"/>
      <c r="F168" s="136"/>
      <c r="G168" s="98">
        <v>1</v>
      </c>
      <c r="H168" s="98">
        <v>98013</v>
      </c>
      <c r="I168" s="98" t="s">
        <v>51</v>
      </c>
      <c r="J168" s="98" t="s">
        <v>80</v>
      </c>
      <c r="K168" s="98" t="s">
        <v>40</v>
      </c>
      <c r="L168" s="53">
        <f>+VLOOKUP(A168,COMISIONES!$C$2:$AQ$33,41,0)</f>
        <v>45</v>
      </c>
      <c r="M168" s="7">
        <f>+VLOOKUP(A168,COMISIONES!$C$2:$C$33,1,0)</f>
        <v>20000661</v>
      </c>
    </row>
    <row r="169" spans="1:13">
      <c r="A169" s="98">
        <v>20006233</v>
      </c>
      <c r="B169" s="133" t="s">
        <v>53</v>
      </c>
      <c r="C169" s="98" t="s">
        <v>1886</v>
      </c>
      <c r="D169" s="212">
        <v>45139</v>
      </c>
      <c r="E169" s="136"/>
      <c r="F169" s="136"/>
      <c r="G169" s="98">
        <v>1</v>
      </c>
      <c r="H169" s="98">
        <v>98008</v>
      </c>
      <c r="I169" s="98" t="s">
        <v>52</v>
      </c>
      <c r="J169" s="98" t="s">
        <v>80</v>
      </c>
      <c r="K169" s="98" t="s">
        <v>40</v>
      </c>
      <c r="L169" s="53">
        <f>+VLOOKUP(A169,COMISIONES!$C$2:$AQ$33,41,0)</f>
        <v>45</v>
      </c>
      <c r="M169" s="7">
        <f>+VLOOKUP(A169,COMISIONES!$C$2:$C$33,1,0)</f>
        <v>20006233</v>
      </c>
    </row>
    <row r="170" spans="1:13">
      <c r="A170" s="98">
        <v>20009690</v>
      </c>
      <c r="B170" s="133" t="s">
        <v>53</v>
      </c>
      <c r="C170" s="98" t="s">
        <v>1889</v>
      </c>
      <c r="D170" s="212">
        <v>45139</v>
      </c>
      <c r="E170" s="136"/>
      <c r="F170" s="136"/>
      <c r="G170" s="98">
        <v>1</v>
      </c>
      <c r="H170" s="98">
        <v>98068</v>
      </c>
      <c r="I170" s="98" t="s">
        <v>49</v>
      </c>
      <c r="J170" s="98" t="s">
        <v>80</v>
      </c>
      <c r="K170" s="98" t="s">
        <v>40</v>
      </c>
      <c r="L170" s="53">
        <f>+VLOOKUP(A170,COMISIONES!$C$2:$AQ$33,41,0)</f>
        <v>90</v>
      </c>
      <c r="M170" s="7">
        <f>+VLOOKUP(A170,COMISIONES!$C$2:$C$33,1,0)</f>
        <v>20009690</v>
      </c>
    </row>
    <row r="171" spans="1:13">
      <c r="A171" s="98">
        <v>20009690</v>
      </c>
      <c r="B171" s="133" t="s">
        <v>53</v>
      </c>
      <c r="C171" s="98" t="s">
        <v>1898</v>
      </c>
      <c r="D171" s="212">
        <v>45139</v>
      </c>
      <c r="E171" s="136"/>
      <c r="F171" s="136"/>
      <c r="G171" s="98">
        <v>1</v>
      </c>
      <c r="H171" s="98">
        <v>98068</v>
      </c>
      <c r="I171" s="98" t="s">
        <v>49</v>
      </c>
      <c r="J171" s="98" t="s">
        <v>80</v>
      </c>
      <c r="K171" s="98" t="s">
        <v>40</v>
      </c>
      <c r="L171" s="53">
        <f>+VLOOKUP(A171,COMISIONES!$C$2:$AQ$33,41,0)</f>
        <v>90</v>
      </c>
      <c r="M171" s="7">
        <f>+VLOOKUP(A171,COMISIONES!$C$2:$C$33,1,0)</f>
        <v>20009690</v>
      </c>
    </row>
    <row r="172" spans="1:13">
      <c r="A172" s="98">
        <v>20009690</v>
      </c>
      <c r="B172" s="133" t="s">
        <v>53</v>
      </c>
      <c r="C172" s="98" t="s">
        <v>1922</v>
      </c>
      <c r="D172" s="212">
        <v>45139</v>
      </c>
      <c r="E172" s="136"/>
      <c r="F172" s="136"/>
      <c r="G172" s="98">
        <v>1</v>
      </c>
      <c r="H172" s="98">
        <v>98068</v>
      </c>
      <c r="I172" s="98" t="s">
        <v>49</v>
      </c>
      <c r="J172" s="98" t="s">
        <v>80</v>
      </c>
      <c r="K172" s="98" t="s">
        <v>40</v>
      </c>
      <c r="L172" s="53">
        <f>+VLOOKUP(A172,COMISIONES!$C$2:$AQ$33,41,0)</f>
        <v>90</v>
      </c>
      <c r="M172" s="7">
        <f>+VLOOKUP(A172,COMISIONES!$C$2:$C$33,1,0)</f>
        <v>20009690</v>
      </c>
    </row>
    <row r="173" spans="1:13">
      <c r="A173" s="98">
        <v>20009690</v>
      </c>
      <c r="B173" s="133" t="s">
        <v>53</v>
      </c>
      <c r="C173" s="98" t="s">
        <v>1925</v>
      </c>
      <c r="D173" s="212">
        <v>45139</v>
      </c>
      <c r="E173" s="136"/>
      <c r="F173" s="136"/>
      <c r="G173" s="98">
        <v>1</v>
      </c>
      <c r="H173" s="98">
        <v>98068</v>
      </c>
      <c r="I173" s="98" t="s">
        <v>49</v>
      </c>
      <c r="J173" s="98" t="s">
        <v>80</v>
      </c>
      <c r="K173" s="98" t="s">
        <v>40</v>
      </c>
      <c r="L173" s="53">
        <f>+VLOOKUP(A173,COMISIONES!$C$2:$AQ$33,41,0)</f>
        <v>90</v>
      </c>
      <c r="M173" s="7">
        <f>+VLOOKUP(A173,COMISIONES!$C$2:$C$33,1,0)</f>
        <v>20009690</v>
      </c>
    </row>
    <row r="174" spans="1:13">
      <c r="A174" s="98">
        <v>20007726</v>
      </c>
      <c r="B174" s="133" t="s">
        <v>53</v>
      </c>
      <c r="C174" s="98" t="s">
        <v>1934</v>
      </c>
      <c r="D174" s="212">
        <v>45139</v>
      </c>
      <c r="E174" s="136"/>
      <c r="F174" s="136"/>
      <c r="G174" s="98">
        <v>1</v>
      </c>
      <c r="H174" s="98">
        <v>98051</v>
      </c>
      <c r="I174" s="98" t="s">
        <v>49</v>
      </c>
      <c r="J174" s="98" t="s">
        <v>80</v>
      </c>
      <c r="K174" s="98" t="s">
        <v>40</v>
      </c>
      <c r="L174" s="53">
        <f>+VLOOKUP(A174,COMISIONES!$C$2:$AQ$33,41,0)</f>
        <v>90</v>
      </c>
      <c r="M174" s="7">
        <f>+VLOOKUP(A174,COMISIONES!$C$2:$C$33,1,0)</f>
        <v>20007726</v>
      </c>
    </row>
    <row r="175" spans="1:13">
      <c r="A175" s="98">
        <v>20008625</v>
      </c>
      <c r="B175" s="133" t="s">
        <v>53</v>
      </c>
      <c r="C175" s="98" t="s">
        <v>1937</v>
      </c>
      <c r="D175" s="212">
        <v>45139</v>
      </c>
      <c r="E175" s="136"/>
      <c r="F175" s="136"/>
      <c r="G175" s="98">
        <v>1</v>
      </c>
      <c r="H175" s="98">
        <v>98053</v>
      </c>
      <c r="I175" s="98" t="s">
        <v>49</v>
      </c>
      <c r="J175" s="98" t="s">
        <v>80</v>
      </c>
      <c r="K175" s="98" t="s">
        <v>40</v>
      </c>
      <c r="L175" s="53">
        <f>+VLOOKUP(A175,COMISIONES!$C$2:$AQ$33,41,0)</f>
        <v>30</v>
      </c>
      <c r="M175" s="7">
        <f>+VLOOKUP(A175,COMISIONES!$C$2:$C$33,1,0)</f>
        <v>20008625</v>
      </c>
    </row>
    <row r="176" spans="1:13">
      <c r="A176" s="98">
        <v>20006893</v>
      </c>
      <c r="B176" s="133" t="s">
        <v>53</v>
      </c>
      <c r="C176" s="98" t="s">
        <v>1954</v>
      </c>
      <c r="D176" s="212">
        <v>45139</v>
      </c>
      <c r="E176" s="136"/>
      <c r="F176" s="136"/>
      <c r="G176" s="98">
        <v>1</v>
      </c>
      <c r="H176" s="98">
        <v>98071</v>
      </c>
      <c r="I176" s="98" t="s">
        <v>51</v>
      </c>
      <c r="J176" s="98" t="s">
        <v>80</v>
      </c>
      <c r="K176" s="98" t="s">
        <v>40</v>
      </c>
      <c r="L176" s="53">
        <f>+VLOOKUP(A176,COMISIONES!$C$2:$AQ$33,41,0)</f>
        <v>45</v>
      </c>
      <c r="M176" s="7">
        <f>+VLOOKUP(A176,COMISIONES!$C$2:$C$33,1,0)</f>
        <v>20006893</v>
      </c>
    </row>
    <row r="177" spans="1:13">
      <c r="A177" s="98">
        <v>20001487</v>
      </c>
      <c r="B177" s="133" t="s">
        <v>53</v>
      </c>
      <c r="C177" s="98" t="s">
        <v>1957</v>
      </c>
      <c r="D177" s="212">
        <v>45139</v>
      </c>
      <c r="E177" s="136"/>
      <c r="F177" s="136"/>
      <c r="G177" s="98">
        <v>1</v>
      </c>
      <c r="H177" s="98">
        <v>98003</v>
      </c>
      <c r="I177" s="98" t="s">
        <v>51</v>
      </c>
      <c r="J177" s="98" t="s">
        <v>80</v>
      </c>
      <c r="K177" s="98" t="s">
        <v>40</v>
      </c>
      <c r="L177" s="53">
        <f>+VLOOKUP(A177,COMISIONES!$C$2:$AQ$33,41,0)</f>
        <v>90</v>
      </c>
      <c r="M177" s="7">
        <f>+VLOOKUP(A177,COMISIONES!$C$2:$C$33,1,0)</f>
        <v>20001487</v>
      </c>
    </row>
    <row r="178" spans="1:13">
      <c r="A178" s="98">
        <v>20002708</v>
      </c>
      <c r="B178" s="133" t="s">
        <v>53</v>
      </c>
      <c r="C178" s="98" t="s">
        <v>1960</v>
      </c>
      <c r="D178" s="212">
        <v>45139</v>
      </c>
      <c r="E178" s="136"/>
      <c r="F178" s="136"/>
      <c r="G178" s="98">
        <v>1</v>
      </c>
      <c r="H178" s="98">
        <v>98021</v>
      </c>
      <c r="I178" s="98" t="s">
        <v>49</v>
      </c>
      <c r="J178" s="98" t="s">
        <v>80</v>
      </c>
      <c r="K178" s="98" t="s">
        <v>40</v>
      </c>
      <c r="L178" s="53">
        <f>+VLOOKUP(A178,COMISIONES!$C$2:$AQ$33,41,0)</f>
        <v>45</v>
      </c>
      <c r="M178" s="7">
        <f>+VLOOKUP(A178,COMISIONES!$C$2:$C$33,1,0)</f>
        <v>20002708</v>
      </c>
    </row>
    <row r="179" spans="1:13">
      <c r="A179" s="98">
        <v>20009592</v>
      </c>
      <c r="B179" s="133" t="s">
        <v>53</v>
      </c>
      <c r="C179" s="98" t="s">
        <v>1966</v>
      </c>
      <c r="D179" s="212">
        <v>45139</v>
      </c>
      <c r="E179" s="136"/>
      <c r="F179" s="136"/>
      <c r="G179" s="98">
        <v>1</v>
      </c>
      <c r="H179" s="98">
        <v>98076</v>
      </c>
      <c r="I179" s="98" t="s">
        <v>52</v>
      </c>
      <c r="J179" s="98" t="s">
        <v>80</v>
      </c>
      <c r="K179" s="98" t="s">
        <v>40</v>
      </c>
      <c r="L179" s="53">
        <f>+VLOOKUP(A179,COMISIONES!$C$2:$AQ$33,41,0)</f>
        <v>30</v>
      </c>
      <c r="M179" s="7">
        <f>+VLOOKUP(A179,COMISIONES!$C$2:$C$33,1,0)</f>
        <v>20009592</v>
      </c>
    </row>
    <row r="180" spans="1:13">
      <c r="A180" s="98">
        <v>20000661</v>
      </c>
      <c r="B180" s="133" t="s">
        <v>53</v>
      </c>
      <c r="C180" s="98" t="s">
        <v>1972</v>
      </c>
      <c r="D180" s="212">
        <v>45139</v>
      </c>
      <c r="E180" s="136"/>
      <c r="F180" s="136"/>
      <c r="G180" s="98">
        <v>1</v>
      </c>
      <c r="H180" s="98">
        <v>98013</v>
      </c>
      <c r="I180" s="98" t="s">
        <v>51</v>
      </c>
      <c r="J180" s="98" t="s">
        <v>80</v>
      </c>
      <c r="K180" s="98" t="s">
        <v>40</v>
      </c>
      <c r="L180" s="53">
        <f>+VLOOKUP(A180,COMISIONES!$C$2:$AQ$33,41,0)</f>
        <v>45</v>
      </c>
      <c r="M180" s="7">
        <f>+VLOOKUP(A180,COMISIONES!$C$2:$C$33,1,0)</f>
        <v>20000661</v>
      </c>
    </row>
    <row r="181" spans="1:13">
      <c r="A181" s="98">
        <v>20001487</v>
      </c>
      <c r="B181" s="133" t="s">
        <v>53</v>
      </c>
      <c r="C181" s="98" t="s">
        <v>1975</v>
      </c>
      <c r="D181" s="212">
        <v>45139</v>
      </c>
      <c r="E181" s="136"/>
      <c r="F181" s="136"/>
      <c r="G181" s="98">
        <v>1</v>
      </c>
      <c r="H181" s="98">
        <v>98003</v>
      </c>
      <c r="I181" s="98" t="s">
        <v>51</v>
      </c>
      <c r="J181" s="98" t="s">
        <v>80</v>
      </c>
      <c r="K181" s="98" t="s">
        <v>40</v>
      </c>
      <c r="L181" s="53">
        <f>+VLOOKUP(A181,COMISIONES!$C$2:$AQ$33,41,0)</f>
        <v>90</v>
      </c>
      <c r="M181" s="7">
        <f>+VLOOKUP(A181,COMISIONES!$C$2:$C$33,1,0)</f>
        <v>20001487</v>
      </c>
    </row>
    <row r="182" spans="1:13">
      <c r="A182" s="98">
        <v>20010766</v>
      </c>
      <c r="B182" s="133" t="s">
        <v>53</v>
      </c>
      <c r="C182" s="98" t="s">
        <v>1978</v>
      </c>
      <c r="D182" s="212">
        <v>45139</v>
      </c>
      <c r="E182" s="136"/>
      <c r="F182" s="136"/>
      <c r="G182" s="98">
        <v>1</v>
      </c>
      <c r="H182" s="98">
        <v>98080</v>
      </c>
      <c r="I182" s="98" t="s">
        <v>51</v>
      </c>
      <c r="J182" s="98" t="s">
        <v>80</v>
      </c>
      <c r="K182" s="98" t="s">
        <v>40</v>
      </c>
      <c r="L182" s="53">
        <f>+VLOOKUP(A182,COMISIONES!$C$2:$AQ$33,41,0)</f>
        <v>30</v>
      </c>
      <c r="M182" s="7">
        <f>+VLOOKUP(A182,COMISIONES!$C$2:$C$33,1,0)</f>
        <v>20010766</v>
      </c>
    </row>
    <row r="183" spans="1:13">
      <c r="A183" s="98">
        <v>20004161</v>
      </c>
      <c r="B183" s="133" t="s">
        <v>53</v>
      </c>
      <c r="C183" s="98" t="s">
        <v>1993</v>
      </c>
      <c r="D183" s="212">
        <v>45139</v>
      </c>
      <c r="E183" s="136"/>
      <c r="F183" s="136"/>
      <c r="G183" s="98">
        <v>1</v>
      </c>
      <c r="H183" s="98">
        <v>98019</v>
      </c>
      <c r="I183" s="98" t="s">
        <v>49</v>
      </c>
      <c r="J183" s="98" t="s">
        <v>80</v>
      </c>
      <c r="K183" s="98" t="s">
        <v>40</v>
      </c>
      <c r="L183" s="53">
        <f>+VLOOKUP(A183,COMISIONES!$C$2:$AQ$33,41,0)</f>
        <v>95</v>
      </c>
      <c r="M183" s="7">
        <f>+VLOOKUP(A183,COMISIONES!$C$2:$C$33,1,0)</f>
        <v>20004161</v>
      </c>
    </row>
    <row r="184" spans="1:13">
      <c r="A184" s="98">
        <v>20000033</v>
      </c>
      <c r="B184" s="133" t="s">
        <v>53</v>
      </c>
      <c r="C184" s="98" t="s">
        <v>2038</v>
      </c>
      <c r="D184" s="212">
        <v>45139</v>
      </c>
      <c r="E184" s="136"/>
      <c r="F184" s="136"/>
      <c r="G184" s="98">
        <v>1</v>
      </c>
      <c r="H184" s="98">
        <v>98000</v>
      </c>
      <c r="I184" s="98" t="s">
        <v>51</v>
      </c>
      <c r="J184" s="98" t="s">
        <v>80</v>
      </c>
      <c r="K184" s="98" t="s">
        <v>40</v>
      </c>
      <c r="L184" s="53">
        <f>+VLOOKUP(A184,COMISIONES!$C$2:$AQ$33,41,0)</f>
        <v>45</v>
      </c>
      <c r="M184" s="7">
        <f>+VLOOKUP(A184,COMISIONES!$C$2:$C$33,1,0)</f>
        <v>20000033</v>
      </c>
    </row>
    <row r="185" spans="1:13">
      <c r="A185" s="98">
        <v>20002636</v>
      </c>
      <c r="B185" s="133" t="s">
        <v>53</v>
      </c>
      <c r="C185" s="98" t="s">
        <v>2071</v>
      </c>
      <c r="D185" s="212">
        <v>45139</v>
      </c>
      <c r="E185" s="136"/>
      <c r="F185" s="136"/>
      <c r="G185" s="98">
        <v>1</v>
      </c>
      <c r="H185" s="98">
        <v>98007</v>
      </c>
      <c r="I185" s="98" t="s">
        <v>51</v>
      </c>
      <c r="J185" s="98" t="s">
        <v>80</v>
      </c>
      <c r="K185" s="98" t="s">
        <v>40</v>
      </c>
      <c r="L185" s="53">
        <f>+VLOOKUP(A185,COMISIONES!$C$2:$AQ$33,41,0)</f>
        <v>45</v>
      </c>
      <c r="M185" s="7">
        <f>+VLOOKUP(A185,COMISIONES!$C$2:$C$33,1,0)</f>
        <v>20002636</v>
      </c>
    </row>
    <row r="186" spans="1:13">
      <c r="A186" s="98">
        <v>20008711</v>
      </c>
      <c r="B186" s="133" t="s">
        <v>53</v>
      </c>
      <c r="C186" s="98" t="s">
        <v>2089</v>
      </c>
      <c r="D186" s="212">
        <v>45139</v>
      </c>
      <c r="E186" s="136"/>
      <c r="F186" s="136"/>
      <c r="G186" s="98">
        <v>1</v>
      </c>
      <c r="H186" s="98">
        <v>98055</v>
      </c>
      <c r="I186" s="98" t="s">
        <v>50</v>
      </c>
      <c r="J186" s="98" t="s">
        <v>80</v>
      </c>
      <c r="K186" s="98" t="s">
        <v>40</v>
      </c>
      <c r="L186" s="53">
        <f>+VLOOKUP(A186,COMISIONES!$C$2:$AQ$33,41,0)</f>
        <v>45</v>
      </c>
      <c r="M186" s="7">
        <f>+VLOOKUP(A186,COMISIONES!$C$2:$C$33,1,0)</f>
        <v>20008711</v>
      </c>
    </row>
    <row r="187" spans="1:13">
      <c r="A187" s="98">
        <v>20000033</v>
      </c>
      <c r="B187" s="133" t="s">
        <v>53</v>
      </c>
      <c r="C187" s="98" t="s">
        <v>2095</v>
      </c>
      <c r="D187" s="212">
        <v>45139</v>
      </c>
      <c r="E187" s="136"/>
      <c r="F187" s="136"/>
      <c r="G187" s="98">
        <v>1</v>
      </c>
      <c r="H187" s="98">
        <v>98000</v>
      </c>
      <c r="I187" s="98" t="s">
        <v>51</v>
      </c>
      <c r="J187" s="98" t="s">
        <v>80</v>
      </c>
      <c r="K187" s="98" t="s">
        <v>40</v>
      </c>
      <c r="L187" s="53">
        <f>+VLOOKUP(A187,COMISIONES!$C$2:$AQ$33,41,0)</f>
        <v>45</v>
      </c>
      <c r="M187" s="7">
        <f>+VLOOKUP(A187,COMISIONES!$C$2:$C$33,1,0)</f>
        <v>20000033</v>
      </c>
    </row>
    <row r="188" spans="1:13">
      <c r="A188" s="98">
        <v>20004161</v>
      </c>
      <c r="B188" s="133" t="s">
        <v>53</v>
      </c>
      <c r="C188" s="98" t="s">
        <v>2101</v>
      </c>
      <c r="D188" s="212">
        <v>45139</v>
      </c>
      <c r="E188" s="136"/>
      <c r="F188" s="136"/>
      <c r="G188" s="98">
        <v>1</v>
      </c>
      <c r="H188" s="98">
        <v>98019</v>
      </c>
      <c r="I188" s="98" t="s">
        <v>49</v>
      </c>
      <c r="J188" s="98" t="s">
        <v>80</v>
      </c>
      <c r="K188" s="98" t="s">
        <v>40</v>
      </c>
      <c r="L188" s="53">
        <f>+VLOOKUP(A188,COMISIONES!$C$2:$AQ$33,41,0)</f>
        <v>95</v>
      </c>
      <c r="M188" s="7">
        <f>+VLOOKUP(A188,COMISIONES!$C$2:$C$33,1,0)</f>
        <v>20004161</v>
      </c>
    </row>
    <row r="189" spans="1:13">
      <c r="A189" s="98">
        <v>20009174</v>
      </c>
      <c r="B189" s="133" t="s">
        <v>53</v>
      </c>
      <c r="C189" s="98" t="s">
        <v>2110</v>
      </c>
      <c r="D189" s="212">
        <v>45139</v>
      </c>
      <c r="E189" s="136"/>
      <c r="F189" s="136"/>
      <c r="G189" s="98">
        <v>1</v>
      </c>
      <c r="H189" s="98">
        <v>98064</v>
      </c>
      <c r="I189" s="98" t="s">
        <v>52</v>
      </c>
      <c r="J189" s="98" t="s">
        <v>80</v>
      </c>
      <c r="K189" s="98" t="s">
        <v>40</v>
      </c>
      <c r="L189" s="53">
        <f>+VLOOKUP(A189,COMISIONES!$C$2:$AQ$33,41,0)</f>
        <v>60</v>
      </c>
      <c r="M189" s="7">
        <f>+VLOOKUP(A189,COMISIONES!$C$2:$C$33,1,0)</f>
        <v>20009174</v>
      </c>
    </row>
    <row r="190" spans="1:13">
      <c r="A190" s="98">
        <v>20001487</v>
      </c>
      <c r="B190" s="133" t="s">
        <v>53</v>
      </c>
      <c r="C190" s="98" t="s">
        <v>2131</v>
      </c>
      <c r="D190" s="212">
        <v>45139</v>
      </c>
      <c r="E190" s="136"/>
      <c r="F190" s="136"/>
      <c r="G190" s="98">
        <v>1</v>
      </c>
      <c r="H190" s="98">
        <v>98003</v>
      </c>
      <c r="I190" s="98" t="s">
        <v>51</v>
      </c>
      <c r="J190" s="98" t="s">
        <v>80</v>
      </c>
      <c r="K190" s="98" t="s">
        <v>40</v>
      </c>
      <c r="L190" s="53">
        <f>+VLOOKUP(A190,COMISIONES!$C$2:$AQ$33,41,0)</f>
        <v>90</v>
      </c>
      <c r="M190" s="7">
        <f>+VLOOKUP(A190,COMISIONES!$C$2:$C$33,1,0)</f>
        <v>20001487</v>
      </c>
    </row>
    <row r="191" spans="1:13">
      <c r="A191" s="98">
        <v>20009269</v>
      </c>
      <c r="B191" s="133" t="s">
        <v>53</v>
      </c>
      <c r="C191" s="98" t="s">
        <v>2134</v>
      </c>
      <c r="D191" s="212">
        <v>45139</v>
      </c>
      <c r="E191" s="136"/>
      <c r="F191" s="136"/>
      <c r="G191" s="98">
        <v>1</v>
      </c>
      <c r="H191" s="98">
        <v>98065</v>
      </c>
      <c r="I191" s="98" t="s">
        <v>49</v>
      </c>
      <c r="J191" s="98" t="s">
        <v>80</v>
      </c>
      <c r="K191" s="98" t="s">
        <v>40</v>
      </c>
      <c r="L191" s="53">
        <f>+VLOOKUP(A191,COMISIONES!$C$2:$AQ$33,41,0)</f>
        <v>90</v>
      </c>
      <c r="M191" s="7">
        <f>+VLOOKUP(A191,COMISIONES!$C$2:$C$33,1,0)</f>
        <v>20009269</v>
      </c>
    </row>
    <row r="192" spans="1:13">
      <c r="A192" s="98">
        <v>20010766</v>
      </c>
      <c r="B192" s="133" t="s">
        <v>53</v>
      </c>
      <c r="C192" s="98" t="s">
        <v>2152</v>
      </c>
      <c r="D192" s="212">
        <v>45139</v>
      </c>
      <c r="E192" s="98"/>
      <c r="F192" s="98"/>
      <c r="G192" s="98">
        <v>1</v>
      </c>
      <c r="H192" s="98">
        <v>98080</v>
      </c>
      <c r="I192" s="98" t="s">
        <v>51</v>
      </c>
      <c r="J192" s="98" t="s">
        <v>80</v>
      </c>
      <c r="K192" s="98" t="s">
        <v>40</v>
      </c>
      <c r="L192" s="53">
        <f>+VLOOKUP(A192,COMISIONES!$C$2:$AQ$33,41,0)</f>
        <v>30</v>
      </c>
      <c r="M192" s="7">
        <f>+VLOOKUP(A192,COMISIONES!$C$2:$C$33,1,0)</f>
        <v>20010766</v>
      </c>
    </row>
    <row r="193" spans="1:13">
      <c r="A193" s="98">
        <v>20009269</v>
      </c>
      <c r="B193" s="133" t="s">
        <v>53</v>
      </c>
      <c r="C193" s="98" t="s">
        <v>2182</v>
      </c>
      <c r="D193" s="212">
        <v>45139</v>
      </c>
      <c r="E193" s="98"/>
      <c r="F193" s="98"/>
      <c r="G193" s="98">
        <v>1</v>
      </c>
      <c r="H193" s="98">
        <v>98065</v>
      </c>
      <c r="I193" s="98" t="s">
        <v>49</v>
      </c>
      <c r="J193" s="98" t="s">
        <v>80</v>
      </c>
      <c r="K193" s="98" t="s">
        <v>40</v>
      </c>
      <c r="L193" s="53">
        <f>+VLOOKUP(A193,COMISIONES!$C$2:$AQ$33,41,0)</f>
        <v>90</v>
      </c>
      <c r="M193" s="7">
        <f>+VLOOKUP(A193,COMISIONES!$C$2:$C$33,1,0)</f>
        <v>20009269</v>
      </c>
    </row>
    <row r="194" spans="1:13">
      <c r="A194" s="98">
        <v>20004161</v>
      </c>
      <c r="B194" s="133" t="s">
        <v>53</v>
      </c>
      <c r="C194" s="98" t="s">
        <v>2194</v>
      </c>
      <c r="D194" s="212">
        <v>45139</v>
      </c>
      <c r="E194" s="98"/>
      <c r="F194" s="98"/>
      <c r="G194" s="98">
        <v>1</v>
      </c>
      <c r="H194" s="98">
        <v>98019</v>
      </c>
      <c r="I194" s="98" t="s">
        <v>49</v>
      </c>
      <c r="J194" s="98" t="s">
        <v>80</v>
      </c>
      <c r="K194" s="98" t="s">
        <v>40</v>
      </c>
      <c r="L194" s="53">
        <f>+VLOOKUP(A194,COMISIONES!$C$2:$AQ$33,41,0)</f>
        <v>95</v>
      </c>
      <c r="M194" s="7">
        <f>+VLOOKUP(A194,COMISIONES!$C$2:$C$33,1,0)</f>
        <v>20004161</v>
      </c>
    </row>
    <row r="195" spans="1:13">
      <c r="A195" s="98">
        <v>20008439</v>
      </c>
      <c r="B195" s="133" t="s">
        <v>53</v>
      </c>
      <c r="C195" s="98" t="s">
        <v>2203</v>
      </c>
      <c r="D195" s="212">
        <v>45139</v>
      </c>
      <c r="E195" s="98"/>
      <c r="F195" s="98"/>
      <c r="G195" s="98">
        <v>1</v>
      </c>
      <c r="H195" s="98">
        <v>98049</v>
      </c>
      <c r="I195" s="98" t="s">
        <v>50</v>
      </c>
      <c r="J195" s="98" t="s">
        <v>80</v>
      </c>
      <c r="K195" s="98" t="s">
        <v>40</v>
      </c>
      <c r="L195" s="53">
        <f>+VLOOKUP(A195,COMISIONES!$C$2:$AQ$33,41,0)</f>
        <v>45</v>
      </c>
      <c r="M195" s="7">
        <f>+VLOOKUP(A195,COMISIONES!$C$2:$C$33,1,0)</f>
        <v>20008439</v>
      </c>
    </row>
    <row r="196" spans="1:13">
      <c r="A196" s="98">
        <v>20004566</v>
      </c>
      <c r="B196" s="133" t="s">
        <v>53</v>
      </c>
      <c r="C196" s="98" t="s">
        <v>2206</v>
      </c>
      <c r="D196" s="212">
        <v>45139</v>
      </c>
      <c r="E196" s="98"/>
      <c r="F196" s="98"/>
      <c r="G196" s="98">
        <v>1</v>
      </c>
      <c r="H196" s="98">
        <v>98023</v>
      </c>
      <c r="I196" s="98" t="s">
        <v>50</v>
      </c>
      <c r="J196" s="98" t="s">
        <v>80</v>
      </c>
      <c r="K196" s="98" t="s">
        <v>40</v>
      </c>
      <c r="L196" s="53">
        <f>+VLOOKUP(A196,COMISIONES!$C$2:$AQ$33,41,0)</f>
        <v>60</v>
      </c>
      <c r="M196" s="7">
        <f>+VLOOKUP(A196,COMISIONES!$C$2:$C$33,1,0)</f>
        <v>20004566</v>
      </c>
    </row>
    <row r="197" spans="1:13">
      <c r="A197" s="98">
        <v>20009690</v>
      </c>
      <c r="B197" s="133" t="s">
        <v>53</v>
      </c>
      <c r="C197" s="98" t="s">
        <v>2230</v>
      </c>
      <c r="D197" s="212">
        <v>45139</v>
      </c>
      <c r="E197" s="98"/>
      <c r="F197" s="98"/>
      <c r="G197" s="98">
        <v>1</v>
      </c>
      <c r="H197" s="98">
        <v>98068</v>
      </c>
      <c r="I197" s="98" t="s">
        <v>49</v>
      </c>
      <c r="J197" s="98" t="s">
        <v>80</v>
      </c>
      <c r="K197" s="98" t="s">
        <v>40</v>
      </c>
      <c r="L197" s="53">
        <f>+VLOOKUP(A197,COMISIONES!$C$2:$AQ$33,41,0)</f>
        <v>90</v>
      </c>
      <c r="M197" s="7">
        <f>+VLOOKUP(A197,COMISIONES!$C$2:$C$33,1,0)</f>
        <v>20009690</v>
      </c>
    </row>
    <row r="198" spans="1:13">
      <c r="A198" s="98">
        <v>20002636</v>
      </c>
      <c r="B198" s="133" t="s">
        <v>53</v>
      </c>
      <c r="C198" s="98" t="s">
        <v>2233</v>
      </c>
      <c r="D198" s="212">
        <v>45139</v>
      </c>
      <c r="E198" s="98"/>
      <c r="F198" s="98"/>
      <c r="G198" s="98">
        <v>1</v>
      </c>
      <c r="H198" s="98">
        <v>98007</v>
      </c>
      <c r="I198" s="98" t="s">
        <v>51</v>
      </c>
      <c r="J198" s="98" t="s">
        <v>80</v>
      </c>
      <c r="K198" s="98" t="s">
        <v>40</v>
      </c>
      <c r="L198" s="53">
        <f>+VLOOKUP(A198,COMISIONES!$C$2:$AQ$33,41,0)</f>
        <v>45</v>
      </c>
      <c r="M198" s="7">
        <f>+VLOOKUP(A198,COMISIONES!$C$2:$C$33,1,0)</f>
        <v>20002636</v>
      </c>
    </row>
    <row r="199" spans="1:13">
      <c r="A199" s="98">
        <v>20001487</v>
      </c>
      <c r="B199" s="133" t="s">
        <v>53</v>
      </c>
      <c r="C199" s="98" t="s">
        <v>2236</v>
      </c>
      <c r="D199" s="212">
        <v>45139</v>
      </c>
      <c r="E199" s="98"/>
      <c r="F199" s="98"/>
      <c r="G199" s="98">
        <v>1</v>
      </c>
      <c r="H199" s="98">
        <v>98003</v>
      </c>
      <c r="I199" s="98" t="s">
        <v>51</v>
      </c>
      <c r="J199" s="98" t="s">
        <v>80</v>
      </c>
      <c r="K199" s="98" t="s">
        <v>40</v>
      </c>
      <c r="L199" s="53">
        <f>+VLOOKUP(A199,COMISIONES!$C$2:$AQ$33,41,0)</f>
        <v>90</v>
      </c>
      <c r="M199" s="7">
        <f>+VLOOKUP(A199,COMISIONES!$C$2:$C$33,1,0)</f>
        <v>20001487</v>
      </c>
    </row>
    <row r="200" spans="1:13">
      <c r="A200" s="98">
        <v>20008711</v>
      </c>
      <c r="B200" s="133" t="s">
        <v>53</v>
      </c>
      <c r="C200" s="98" t="s">
        <v>2263</v>
      </c>
      <c r="D200" s="212">
        <v>45139</v>
      </c>
      <c r="E200" s="98"/>
      <c r="F200" s="98"/>
      <c r="G200" s="98">
        <v>1</v>
      </c>
      <c r="H200" s="98">
        <v>98055</v>
      </c>
      <c r="I200" s="98" t="s">
        <v>50</v>
      </c>
      <c r="J200" s="98" t="s">
        <v>80</v>
      </c>
      <c r="K200" s="98" t="s">
        <v>40</v>
      </c>
      <c r="L200" s="53">
        <f>+VLOOKUP(A200,COMISIONES!$C$2:$AQ$33,41,0)</f>
        <v>45</v>
      </c>
      <c r="M200" s="7">
        <f>+VLOOKUP(A200,COMISIONES!$C$2:$C$33,1,0)</f>
        <v>20008711</v>
      </c>
    </row>
    <row r="201" spans="1:13">
      <c r="A201" s="98">
        <v>20008625</v>
      </c>
      <c r="B201" s="133" t="s">
        <v>53</v>
      </c>
      <c r="C201" s="98" t="s">
        <v>2344</v>
      </c>
      <c r="D201" s="212">
        <v>45139</v>
      </c>
      <c r="E201" s="98"/>
      <c r="F201" s="98"/>
      <c r="G201" s="98">
        <v>1</v>
      </c>
      <c r="H201" s="98">
        <v>98053</v>
      </c>
      <c r="I201" s="98" t="s">
        <v>49</v>
      </c>
      <c r="J201" s="98" t="s">
        <v>80</v>
      </c>
      <c r="K201" s="98" t="s">
        <v>40</v>
      </c>
      <c r="L201" s="53">
        <f>+VLOOKUP(A201,COMISIONES!$C$2:$AQ$33,41,0)</f>
        <v>30</v>
      </c>
      <c r="M201" s="7">
        <f>+VLOOKUP(A201,COMISIONES!$C$2:$C$33,1,0)</f>
        <v>20008625</v>
      </c>
    </row>
    <row r="202" spans="1:13">
      <c r="A202" s="98">
        <v>20010262</v>
      </c>
      <c r="B202" s="133" t="s">
        <v>53</v>
      </c>
      <c r="C202" s="98" t="s">
        <v>2394</v>
      </c>
      <c r="D202" s="212">
        <v>45139</v>
      </c>
      <c r="E202" s="98"/>
      <c r="F202" s="98"/>
      <c r="G202" s="98">
        <v>1</v>
      </c>
      <c r="H202" s="98">
        <v>98073</v>
      </c>
      <c r="I202" s="98" t="s">
        <v>52</v>
      </c>
      <c r="J202" s="98" t="s">
        <v>80</v>
      </c>
      <c r="K202" s="98" t="s">
        <v>40</v>
      </c>
      <c r="L202" s="53">
        <f>+VLOOKUP(A202,COMISIONES!$C$2:$AQ$33,41,0)</f>
        <v>45</v>
      </c>
      <c r="M202" s="7">
        <f>+VLOOKUP(A202,COMISIONES!$C$2:$C$33,1,0)</f>
        <v>20010262</v>
      </c>
    </row>
    <row r="203" spans="1:13">
      <c r="A203" s="98">
        <v>20008711</v>
      </c>
      <c r="B203" s="133" t="s">
        <v>53</v>
      </c>
      <c r="C203" s="98" t="s">
        <v>2397</v>
      </c>
      <c r="D203" s="212">
        <v>45139</v>
      </c>
      <c r="E203" s="98"/>
      <c r="F203" s="98"/>
      <c r="G203" s="98">
        <v>1</v>
      </c>
      <c r="H203" s="98">
        <v>98055</v>
      </c>
      <c r="I203" s="98" t="s">
        <v>50</v>
      </c>
      <c r="J203" s="98" t="s">
        <v>80</v>
      </c>
      <c r="K203" s="98" t="s">
        <v>40</v>
      </c>
      <c r="L203" s="53">
        <f>+VLOOKUP(A203,COMISIONES!$C$2:$AQ$33,41,0)</f>
        <v>45</v>
      </c>
      <c r="M203" s="7">
        <f>+VLOOKUP(A203,COMISIONES!$C$2:$C$33,1,0)</f>
        <v>20008711</v>
      </c>
    </row>
    <row r="204" spans="1:13">
      <c r="A204" s="98">
        <v>20008439</v>
      </c>
      <c r="B204" s="133" t="s">
        <v>53</v>
      </c>
      <c r="C204" s="98" t="s">
        <v>2400</v>
      </c>
      <c r="D204" s="212">
        <v>45139</v>
      </c>
      <c r="E204" s="98"/>
      <c r="F204" s="98"/>
      <c r="G204" s="98">
        <v>1</v>
      </c>
      <c r="H204" s="98">
        <v>98049</v>
      </c>
      <c r="I204" s="98" t="s">
        <v>50</v>
      </c>
      <c r="J204" s="98" t="s">
        <v>80</v>
      </c>
      <c r="K204" s="98" t="s">
        <v>40</v>
      </c>
      <c r="L204" s="53">
        <f>+VLOOKUP(A204,COMISIONES!$C$2:$AQ$33,41,0)</f>
        <v>45</v>
      </c>
      <c r="M204" s="7">
        <f>+VLOOKUP(A204,COMISIONES!$C$2:$C$33,1,0)</f>
        <v>20008439</v>
      </c>
    </row>
    <row r="205" spans="1:13">
      <c r="A205" s="98">
        <v>20002708</v>
      </c>
      <c r="B205" s="133" t="s">
        <v>53</v>
      </c>
      <c r="C205" s="98" t="s">
        <v>2406</v>
      </c>
      <c r="D205" s="212">
        <v>45139</v>
      </c>
      <c r="E205" s="98"/>
      <c r="F205" s="98"/>
      <c r="G205" s="98">
        <v>1</v>
      </c>
      <c r="H205" s="98">
        <v>98021</v>
      </c>
      <c r="I205" s="98" t="s">
        <v>49</v>
      </c>
      <c r="J205" s="98" t="s">
        <v>80</v>
      </c>
      <c r="K205" s="98" t="s">
        <v>40</v>
      </c>
      <c r="L205" s="53">
        <f>+VLOOKUP(A205,COMISIONES!$C$2:$AQ$33,41,0)</f>
        <v>45</v>
      </c>
      <c r="M205" s="7">
        <f>+VLOOKUP(A205,COMISIONES!$C$2:$C$33,1,0)</f>
        <v>20002708</v>
      </c>
    </row>
    <row r="206" spans="1:13">
      <c r="A206" s="98">
        <v>20002708</v>
      </c>
      <c r="B206" s="133" t="s">
        <v>53</v>
      </c>
      <c r="C206" s="98" t="s">
        <v>2443</v>
      </c>
      <c r="D206" s="212">
        <v>45139</v>
      </c>
      <c r="E206" s="98"/>
      <c r="F206" s="98"/>
      <c r="G206" s="98">
        <v>1</v>
      </c>
      <c r="H206" s="98">
        <v>98021</v>
      </c>
      <c r="I206" s="98" t="s">
        <v>49</v>
      </c>
      <c r="J206" s="98" t="s">
        <v>80</v>
      </c>
      <c r="K206" s="98" t="s">
        <v>40</v>
      </c>
      <c r="L206" s="53">
        <f>+VLOOKUP(A206,COMISIONES!$C$2:$AQ$33,41,0)</f>
        <v>45</v>
      </c>
      <c r="M206" s="7">
        <f>+VLOOKUP(A206,COMISIONES!$C$2:$C$33,1,0)</f>
        <v>20002708</v>
      </c>
    </row>
    <row r="207" spans="1:13">
      <c r="A207" s="98">
        <v>20001487</v>
      </c>
      <c r="B207" s="133" t="s">
        <v>53</v>
      </c>
      <c r="C207" s="98" t="s">
        <v>2449</v>
      </c>
      <c r="D207" s="212">
        <v>45139</v>
      </c>
      <c r="E207" s="98"/>
      <c r="F207" s="98"/>
      <c r="G207" s="98">
        <v>1</v>
      </c>
      <c r="H207" s="98">
        <v>98003</v>
      </c>
      <c r="I207" s="98" t="s">
        <v>51</v>
      </c>
      <c r="J207" s="98" t="s">
        <v>80</v>
      </c>
      <c r="K207" s="98" t="s">
        <v>40</v>
      </c>
      <c r="L207" s="53">
        <f>+VLOOKUP(A207,COMISIONES!$C$2:$AQ$33,41,0)</f>
        <v>90</v>
      </c>
      <c r="M207" s="7">
        <f>+VLOOKUP(A207,COMISIONES!$C$2:$C$33,1,0)</f>
        <v>20001487</v>
      </c>
    </row>
    <row r="208" spans="1:13">
      <c r="A208" s="98">
        <v>20008625</v>
      </c>
      <c r="B208" s="133" t="s">
        <v>53</v>
      </c>
      <c r="C208" s="98" t="s">
        <v>2464</v>
      </c>
      <c r="D208" s="212">
        <v>45139</v>
      </c>
      <c r="E208" s="98"/>
      <c r="F208" s="98"/>
      <c r="G208" s="98">
        <v>1</v>
      </c>
      <c r="H208" s="98">
        <v>98053</v>
      </c>
      <c r="I208" s="98" t="s">
        <v>49</v>
      </c>
      <c r="J208" s="98" t="s">
        <v>80</v>
      </c>
      <c r="K208" s="98" t="s">
        <v>40</v>
      </c>
      <c r="L208" s="53">
        <f>+VLOOKUP(A208,COMISIONES!$C$2:$AQ$33,41,0)</f>
        <v>30</v>
      </c>
      <c r="M208" s="7">
        <f>+VLOOKUP(A208,COMISIONES!$C$2:$C$33,1,0)</f>
        <v>20008625</v>
      </c>
    </row>
    <row r="209" spans="1:13">
      <c r="A209" s="98">
        <v>20008439</v>
      </c>
      <c r="B209" s="133" t="s">
        <v>53</v>
      </c>
      <c r="C209" s="98" t="s">
        <v>2467</v>
      </c>
      <c r="D209" s="212">
        <v>45139</v>
      </c>
      <c r="E209" s="98"/>
      <c r="F209" s="98"/>
      <c r="G209" s="98">
        <v>1</v>
      </c>
      <c r="H209" s="98">
        <v>98049</v>
      </c>
      <c r="I209" s="98" t="s">
        <v>50</v>
      </c>
      <c r="J209" s="98" t="s">
        <v>80</v>
      </c>
      <c r="K209" s="98" t="s">
        <v>40</v>
      </c>
      <c r="L209" s="53">
        <f>+VLOOKUP(A209,COMISIONES!$C$2:$AQ$33,41,0)</f>
        <v>45</v>
      </c>
      <c r="M209" s="7">
        <f>+VLOOKUP(A209,COMISIONES!$C$2:$C$33,1,0)</f>
        <v>20008439</v>
      </c>
    </row>
    <row r="210" spans="1:13">
      <c r="A210" s="98">
        <v>20010101</v>
      </c>
      <c r="B210" s="133" t="s">
        <v>53</v>
      </c>
      <c r="C210" s="98" t="s">
        <v>2476</v>
      </c>
      <c r="D210" s="212">
        <v>45139</v>
      </c>
      <c r="E210" s="98"/>
      <c r="F210" s="98"/>
      <c r="G210" s="98">
        <v>1</v>
      </c>
      <c r="H210" s="98">
        <v>98072</v>
      </c>
      <c r="I210" s="98" t="s">
        <v>49</v>
      </c>
      <c r="J210" s="98" t="s">
        <v>80</v>
      </c>
      <c r="K210" s="98" t="s">
        <v>40</v>
      </c>
      <c r="L210" s="53">
        <f>+VLOOKUP(A210,COMISIONES!$C$2:$AQ$33,41,0)</f>
        <v>90</v>
      </c>
      <c r="M210" s="7">
        <f>+VLOOKUP(A210,COMISIONES!$C$2:$C$33,1,0)</f>
        <v>20010101</v>
      </c>
    </row>
    <row r="211" spans="1:13">
      <c r="A211" s="98">
        <v>20010766</v>
      </c>
      <c r="B211" s="133" t="s">
        <v>53</v>
      </c>
      <c r="C211" s="98" t="s">
        <v>2488</v>
      </c>
      <c r="D211" s="212">
        <v>45139</v>
      </c>
      <c r="E211" s="98"/>
      <c r="F211" s="98"/>
      <c r="G211" s="98">
        <v>1</v>
      </c>
      <c r="H211" s="98">
        <v>98080</v>
      </c>
      <c r="I211" s="98" t="s">
        <v>51</v>
      </c>
      <c r="J211" s="98" t="s">
        <v>80</v>
      </c>
      <c r="K211" s="98" t="s">
        <v>40</v>
      </c>
      <c r="L211" s="53">
        <f>+VLOOKUP(A211,COMISIONES!$C$2:$AQ$33,41,0)</f>
        <v>30</v>
      </c>
      <c r="M211" s="7">
        <f>+VLOOKUP(A211,COMISIONES!$C$2:$C$33,1,0)</f>
        <v>20010766</v>
      </c>
    </row>
    <row r="212" spans="1:13">
      <c r="A212" s="98">
        <v>20000033</v>
      </c>
      <c r="B212" s="133" t="s">
        <v>53</v>
      </c>
      <c r="C212" s="98" t="s">
        <v>2491</v>
      </c>
      <c r="D212" s="212">
        <v>45139</v>
      </c>
      <c r="E212" s="98"/>
      <c r="F212" s="98"/>
      <c r="G212" s="98">
        <v>1</v>
      </c>
      <c r="H212" s="98">
        <v>98000</v>
      </c>
      <c r="I212" s="98" t="s">
        <v>51</v>
      </c>
      <c r="J212" s="98" t="s">
        <v>80</v>
      </c>
      <c r="K212" s="98" t="s">
        <v>40</v>
      </c>
      <c r="L212" s="53">
        <f>+VLOOKUP(A212,COMISIONES!$C$2:$AQ$33,41,0)</f>
        <v>45</v>
      </c>
      <c r="M212" s="7">
        <f>+VLOOKUP(A212,COMISIONES!$C$2:$C$33,1,0)</f>
        <v>20000033</v>
      </c>
    </row>
    <row r="213" spans="1:13">
      <c r="A213" s="98">
        <v>20009592</v>
      </c>
      <c r="B213" s="133" t="s">
        <v>53</v>
      </c>
      <c r="C213" s="98" t="s">
        <v>2497</v>
      </c>
      <c r="D213" s="212">
        <v>45139</v>
      </c>
      <c r="E213" s="98"/>
      <c r="F213" s="98"/>
      <c r="G213" s="98">
        <v>1</v>
      </c>
      <c r="H213" s="98">
        <v>98076</v>
      </c>
      <c r="I213" s="98" t="s">
        <v>52</v>
      </c>
      <c r="J213" s="98" t="s">
        <v>80</v>
      </c>
      <c r="K213" s="98" t="s">
        <v>40</v>
      </c>
      <c r="L213" s="53">
        <f>+VLOOKUP(A213,COMISIONES!$C$2:$AQ$33,41,0)</f>
        <v>30</v>
      </c>
      <c r="M213" s="7">
        <f>+VLOOKUP(A213,COMISIONES!$C$2:$C$33,1,0)</f>
        <v>20009592</v>
      </c>
    </row>
    <row r="214" spans="1:13">
      <c r="A214" s="98">
        <v>20001487</v>
      </c>
      <c r="B214" s="133" t="s">
        <v>53</v>
      </c>
      <c r="C214" s="98" t="s">
        <v>2500</v>
      </c>
      <c r="D214" s="212">
        <v>45139</v>
      </c>
      <c r="E214" s="98"/>
      <c r="F214" s="98"/>
      <c r="G214" s="98">
        <v>1</v>
      </c>
      <c r="H214" s="98">
        <v>98003</v>
      </c>
      <c r="I214" s="98" t="s">
        <v>51</v>
      </c>
      <c r="J214" s="98" t="s">
        <v>80</v>
      </c>
      <c r="K214" s="98" t="s">
        <v>40</v>
      </c>
      <c r="L214" s="53">
        <f>+VLOOKUP(A214,COMISIONES!$C$2:$AQ$33,41,0)</f>
        <v>90</v>
      </c>
      <c r="M214" s="7">
        <f>+VLOOKUP(A214,COMISIONES!$C$2:$C$33,1,0)</f>
        <v>20001487</v>
      </c>
    </row>
    <row r="215" spans="1:13">
      <c r="A215" s="98">
        <v>20004566</v>
      </c>
      <c r="B215" s="133" t="s">
        <v>53</v>
      </c>
      <c r="C215" s="98" t="s">
        <v>2509</v>
      </c>
      <c r="D215" s="212">
        <v>45139</v>
      </c>
      <c r="E215" s="98"/>
      <c r="F215" s="98"/>
      <c r="G215" s="98">
        <v>1</v>
      </c>
      <c r="H215" s="98">
        <v>98023</v>
      </c>
      <c r="I215" s="98" t="s">
        <v>50</v>
      </c>
      <c r="J215" s="98" t="s">
        <v>80</v>
      </c>
      <c r="K215" s="98" t="s">
        <v>40</v>
      </c>
      <c r="L215" s="53">
        <f>+VLOOKUP(A215,COMISIONES!$C$2:$AQ$33,41,0)</f>
        <v>60</v>
      </c>
      <c r="M215" s="7">
        <f>+VLOOKUP(A215,COMISIONES!$C$2:$C$33,1,0)</f>
        <v>20004566</v>
      </c>
    </row>
    <row r="216" spans="1:13">
      <c r="A216" s="98">
        <v>20009690</v>
      </c>
      <c r="B216" s="133" t="s">
        <v>53</v>
      </c>
      <c r="C216" s="98" t="s">
        <v>2518</v>
      </c>
      <c r="D216" s="212">
        <v>45139</v>
      </c>
      <c r="E216" s="98"/>
      <c r="F216" s="98"/>
      <c r="G216" s="98">
        <v>1</v>
      </c>
      <c r="H216" s="98">
        <v>98068</v>
      </c>
      <c r="I216" s="98" t="s">
        <v>49</v>
      </c>
      <c r="J216" s="98" t="s">
        <v>80</v>
      </c>
      <c r="K216" s="98" t="s">
        <v>40</v>
      </c>
      <c r="L216" s="53">
        <f>+VLOOKUP(A216,COMISIONES!$C$2:$AQ$33,41,0)</f>
        <v>90</v>
      </c>
      <c r="M216" s="7">
        <f>+VLOOKUP(A216,COMISIONES!$C$2:$C$33,1,0)</f>
        <v>20009690</v>
      </c>
    </row>
    <row r="217" spans="1:13">
      <c r="A217" s="98">
        <v>20000033</v>
      </c>
      <c r="B217" s="133" t="s">
        <v>53</v>
      </c>
      <c r="C217" s="98" t="s">
        <v>2527</v>
      </c>
      <c r="D217" s="212">
        <v>45139</v>
      </c>
      <c r="E217" s="98"/>
      <c r="F217" s="98"/>
      <c r="G217" s="98">
        <v>1</v>
      </c>
      <c r="H217" s="98">
        <v>98000</v>
      </c>
      <c r="I217" s="98" t="s">
        <v>51</v>
      </c>
      <c r="J217" s="98" t="s">
        <v>80</v>
      </c>
      <c r="K217" s="98" t="s">
        <v>40</v>
      </c>
      <c r="L217" s="53">
        <f>+VLOOKUP(A217,COMISIONES!$C$2:$AQ$33,41,0)</f>
        <v>45</v>
      </c>
      <c r="M217" s="7">
        <f>+VLOOKUP(A217,COMISIONES!$C$2:$C$33,1,0)</f>
        <v>20000033</v>
      </c>
    </row>
    <row r="218" spans="1:13">
      <c r="A218" s="98">
        <v>20009688</v>
      </c>
      <c r="B218" s="133" t="s">
        <v>53</v>
      </c>
      <c r="C218" s="98" t="s">
        <v>2530</v>
      </c>
      <c r="D218" s="212">
        <v>45139</v>
      </c>
      <c r="E218" s="98"/>
      <c r="F218" s="98"/>
      <c r="G218" s="98">
        <v>1</v>
      </c>
      <c r="H218" s="98">
        <v>98075</v>
      </c>
      <c r="I218" s="98" t="s">
        <v>52</v>
      </c>
      <c r="J218" s="98" t="s">
        <v>80</v>
      </c>
      <c r="K218" s="98" t="s">
        <v>40</v>
      </c>
      <c r="L218" s="53">
        <f>+VLOOKUP(A218,COMISIONES!$C$2:$AQ$33,41,0)</f>
        <v>45</v>
      </c>
      <c r="M218" s="7">
        <f>+VLOOKUP(A218,COMISIONES!$C$2:$C$33,1,0)</f>
        <v>20009688</v>
      </c>
    </row>
    <row r="219" spans="1:13">
      <c r="A219" s="98">
        <v>20001487</v>
      </c>
      <c r="B219" s="133" t="s">
        <v>53</v>
      </c>
      <c r="C219" s="98" t="s">
        <v>2533</v>
      </c>
      <c r="D219" s="212">
        <v>45139</v>
      </c>
      <c r="E219" s="10"/>
      <c r="F219" s="10"/>
      <c r="G219" s="98">
        <v>1</v>
      </c>
      <c r="H219" s="98">
        <v>98003</v>
      </c>
      <c r="I219" s="98" t="s">
        <v>51</v>
      </c>
      <c r="J219" s="98" t="s">
        <v>80</v>
      </c>
      <c r="K219" s="98" t="s">
        <v>40</v>
      </c>
      <c r="L219" s="53">
        <f>+VLOOKUP(A219,COMISIONES!$C$2:$AQ$33,41,0)</f>
        <v>90</v>
      </c>
      <c r="M219" s="7">
        <f>+VLOOKUP(A219,COMISIONES!$C$2:$C$33,1,0)</f>
        <v>20001487</v>
      </c>
    </row>
    <row r="220" spans="1:13">
      <c r="A220" s="98">
        <v>20006893</v>
      </c>
      <c r="B220" s="133" t="s">
        <v>53</v>
      </c>
      <c r="C220" s="98" t="s">
        <v>2539</v>
      </c>
      <c r="D220" s="212">
        <v>45139</v>
      </c>
      <c r="E220" s="10"/>
      <c r="F220" s="10"/>
      <c r="G220" s="98">
        <v>1</v>
      </c>
      <c r="H220" s="98">
        <v>98071</v>
      </c>
      <c r="I220" s="98" t="s">
        <v>51</v>
      </c>
      <c r="J220" s="98" t="s">
        <v>80</v>
      </c>
      <c r="K220" s="98" t="s">
        <v>40</v>
      </c>
      <c r="L220" s="53">
        <f>+VLOOKUP(A220,COMISIONES!$C$2:$AQ$33,41,0)</f>
        <v>45</v>
      </c>
      <c r="M220" s="7">
        <f>+VLOOKUP(A220,COMISIONES!$C$2:$C$33,1,0)</f>
        <v>20006893</v>
      </c>
    </row>
    <row r="221" spans="1:13">
      <c r="A221" s="98">
        <v>20005527</v>
      </c>
      <c r="B221" s="133" t="s">
        <v>53</v>
      </c>
      <c r="C221" s="98" t="s">
        <v>2545</v>
      </c>
      <c r="D221" s="212">
        <v>45139</v>
      </c>
      <c r="E221" s="10"/>
      <c r="F221" s="10"/>
      <c r="G221" s="98">
        <v>1</v>
      </c>
      <c r="H221" s="98">
        <v>98041</v>
      </c>
      <c r="I221" s="98" t="s">
        <v>52</v>
      </c>
      <c r="J221" s="98" t="s">
        <v>80</v>
      </c>
      <c r="K221" s="98" t="s">
        <v>40</v>
      </c>
      <c r="L221" s="53">
        <f>+VLOOKUP(A221,COMISIONES!$C$2:$AQ$33,41,0)</f>
        <v>30</v>
      </c>
      <c r="M221" s="7">
        <f>+VLOOKUP(A221,COMISIONES!$C$2:$C$33,1,0)</f>
        <v>20005527</v>
      </c>
    </row>
    <row r="222" spans="1:13">
      <c r="A222" s="98">
        <v>20007020</v>
      </c>
      <c r="B222" s="133" t="s">
        <v>53</v>
      </c>
      <c r="C222" s="98" t="s">
        <v>2548</v>
      </c>
      <c r="D222" s="212">
        <v>45139</v>
      </c>
      <c r="E222" s="10"/>
      <c r="F222" s="10"/>
      <c r="G222" s="98">
        <v>1</v>
      </c>
      <c r="H222" s="98">
        <v>98047</v>
      </c>
      <c r="I222" s="98" t="s">
        <v>50</v>
      </c>
      <c r="J222" s="98" t="s">
        <v>80</v>
      </c>
      <c r="K222" s="98" t="s">
        <v>40</v>
      </c>
      <c r="L222" s="53">
        <f>+VLOOKUP(A222,COMISIONES!$C$2:$AQ$33,41,0)</f>
        <v>30</v>
      </c>
      <c r="M222" s="7">
        <f>+VLOOKUP(A222,COMISIONES!$C$2:$C$33,1,0)</f>
        <v>20007020</v>
      </c>
    </row>
    <row r="223" spans="1:13">
      <c r="A223" s="98">
        <v>20004161</v>
      </c>
      <c r="B223" s="133" t="s">
        <v>53</v>
      </c>
      <c r="C223" s="98" t="s">
        <v>2554</v>
      </c>
      <c r="D223" s="212">
        <v>45139</v>
      </c>
      <c r="E223" s="10"/>
      <c r="F223" s="10"/>
      <c r="G223" s="98">
        <v>1</v>
      </c>
      <c r="H223" s="98">
        <v>98019</v>
      </c>
      <c r="I223" s="98" t="s">
        <v>49</v>
      </c>
      <c r="J223" s="98" t="s">
        <v>80</v>
      </c>
      <c r="K223" s="98" t="s">
        <v>40</v>
      </c>
      <c r="L223" s="53">
        <f>+VLOOKUP(A223,COMISIONES!$C$2:$AQ$33,41,0)</f>
        <v>95</v>
      </c>
      <c r="M223" s="7">
        <f>+VLOOKUP(A223,COMISIONES!$C$2:$C$33,1,0)</f>
        <v>20004161</v>
      </c>
    </row>
    <row r="224" spans="1:13">
      <c r="A224" s="98">
        <v>20004566</v>
      </c>
      <c r="B224" s="133" t="s">
        <v>53</v>
      </c>
      <c r="C224" s="98" t="s">
        <v>2563</v>
      </c>
      <c r="D224" s="212">
        <v>45139</v>
      </c>
      <c r="E224" s="10"/>
      <c r="F224" s="10"/>
      <c r="G224" s="98">
        <v>1</v>
      </c>
      <c r="H224" s="98">
        <v>98023</v>
      </c>
      <c r="I224" s="98" t="s">
        <v>50</v>
      </c>
      <c r="J224" s="98" t="s">
        <v>80</v>
      </c>
      <c r="K224" s="98" t="s">
        <v>40</v>
      </c>
      <c r="L224" s="53">
        <f>+VLOOKUP(A224,COMISIONES!$C$2:$AQ$33,41,0)</f>
        <v>60</v>
      </c>
      <c r="M224" s="7">
        <f>+VLOOKUP(A224,COMISIONES!$C$2:$C$33,1,0)</f>
        <v>20004566</v>
      </c>
    </row>
    <row r="225" spans="1:13">
      <c r="A225" s="98">
        <v>20006233</v>
      </c>
      <c r="B225" s="133" t="s">
        <v>53</v>
      </c>
      <c r="C225" s="98" t="s">
        <v>2578</v>
      </c>
      <c r="D225" s="212">
        <v>45139</v>
      </c>
      <c r="E225" s="10"/>
      <c r="F225" s="10"/>
      <c r="G225" s="98">
        <v>1</v>
      </c>
      <c r="H225" s="98">
        <v>98008</v>
      </c>
      <c r="I225" s="98" t="s">
        <v>52</v>
      </c>
      <c r="J225" s="98" t="s">
        <v>80</v>
      </c>
      <c r="K225" s="98" t="s">
        <v>40</v>
      </c>
      <c r="L225" s="53">
        <f>+VLOOKUP(A225,COMISIONES!$C$2:$AQ$33,41,0)</f>
        <v>45</v>
      </c>
      <c r="M225" s="7">
        <f>+VLOOKUP(A225,COMISIONES!$C$2:$C$33,1,0)</f>
        <v>20006233</v>
      </c>
    </row>
    <row r="226" spans="1:13">
      <c r="A226" s="98">
        <v>20006360</v>
      </c>
      <c r="B226" s="133" t="s">
        <v>53</v>
      </c>
      <c r="C226" s="98" t="s">
        <v>2581</v>
      </c>
      <c r="D226" s="212">
        <v>45139</v>
      </c>
      <c r="E226" s="10"/>
      <c r="F226" s="10"/>
      <c r="G226" s="98">
        <v>1</v>
      </c>
      <c r="H226" s="98">
        <v>98012</v>
      </c>
      <c r="I226" s="98" t="s">
        <v>50</v>
      </c>
      <c r="J226" s="98" t="s">
        <v>80</v>
      </c>
      <c r="K226" s="98" t="s">
        <v>40</v>
      </c>
      <c r="L226" s="53">
        <f>+VLOOKUP(A226,COMISIONES!$C$2:$AQ$33,41,0)</f>
        <v>30</v>
      </c>
      <c r="M226" s="7">
        <f>+VLOOKUP(A226,COMISIONES!$C$2:$C$33,1,0)</f>
        <v>20006360</v>
      </c>
    </row>
    <row r="227" spans="1:13">
      <c r="A227" s="98">
        <v>20008625</v>
      </c>
      <c r="B227" s="133" t="s">
        <v>53</v>
      </c>
      <c r="C227" s="98" t="s">
        <v>2593</v>
      </c>
      <c r="D227" s="212">
        <v>45139</v>
      </c>
      <c r="E227" s="10"/>
      <c r="F227" s="10"/>
      <c r="G227" s="98">
        <v>1</v>
      </c>
      <c r="H227" s="98">
        <v>98053</v>
      </c>
      <c r="I227" s="98" t="s">
        <v>49</v>
      </c>
      <c r="J227" s="98" t="s">
        <v>80</v>
      </c>
      <c r="K227" s="98" t="s">
        <v>40</v>
      </c>
      <c r="L227" s="53">
        <f>+VLOOKUP(A227,COMISIONES!$C$2:$AQ$33,41,0)</f>
        <v>30</v>
      </c>
      <c r="M227" s="7">
        <f>+VLOOKUP(A227,COMISIONES!$C$2:$C$33,1,0)</f>
        <v>20008625</v>
      </c>
    </row>
    <row r="228" spans="1:13">
      <c r="A228" s="98">
        <v>20006360</v>
      </c>
      <c r="B228" s="133" t="s">
        <v>53</v>
      </c>
      <c r="C228" s="98" t="s">
        <v>2596</v>
      </c>
      <c r="D228" s="212">
        <v>45139</v>
      </c>
      <c r="E228" s="10"/>
      <c r="F228" s="10"/>
      <c r="G228" s="98">
        <v>1</v>
      </c>
      <c r="H228" s="98">
        <v>98012</v>
      </c>
      <c r="I228" s="98" t="s">
        <v>50</v>
      </c>
      <c r="J228" s="98" t="s">
        <v>80</v>
      </c>
      <c r="K228" s="98" t="s">
        <v>40</v>
      </c>
      <c r="L228" s="53">
        <f>+VLOOKUP(A228,COMISIONES!$C$2:$AQ$33,41,0)</f>
        <v>30</v>
      </c>
      <c r="M228" s="7">
        <f>+VLOOKUP(A228,COMISIONES!$C$2:$C$33,1,0)</f>
        <v>20006360</v>
      </c>
    </row>
    <row r="229" spans="1:13">
      <c r="A229" s="98">
        <v>20009269</v>
      </c>
      <c r="B229" s="133" t="s">
        <v>53</v>
      </c>
      <c r="C229" s="98" t="s">
        <v>2617</v>
      </c>
      <c r="D229" s="212">
        <v>45139</v>
      </c>
      <c r="E229" s="10"/>
      <c r="F229" s="10"/>
      <c r="G229" s="98">
        <v>1</v>
      </c>
      <c r="H229" s="98">
        <v>98065</v>
      </c>
      <c r="I229" s="98" t="s">
        <v>49</v>
      </c>
      <c r="J229" s="98" t="s">
        <v>80</v>
      </c>
      <c r="K229" s="98" t="s">
        <v>40</v>
      </c>
      <c r="L229" s="53">
        <f>+VLOOKUP(A229,COMISIONES!$C$2:$AQ$33,41,0)</f>
        <v>90</v>
      </c>
      <c r="M229" s="7">
        <f>+VLOOKUP(A229,COMISIONES!$C$2:$C$33,1,0)</f>
        <v>20009269</v>
      </c>
    </row>
    <row r="230" spans="1:13">
      <c r="A230" s="98">
        <v>20002708</v>
      </c>
      <c r="B230" s="133" t="s">
        <v>53</v>
      </c>
      <c r="C230" s="98" t="s">
        <v>2626</v>
      </c>
      <c r="D230" s="212">
        <v>45139</v>
      </c>
      <c r="E230" s="10"/>
      <c r="F230" s="10"/>
      <c r="G230" s="98">
        <v>1</v>
      </c>
      <c r="H230" s="98">
        <v>98021</v>
      </c>
      <c r="I230" s="98" t="s">
        <v>49</v>
      </c>
      <c r="J230" s="98" t="s">
        <v>80</v>
      </c>
      <c r="K230" s="98" t="s">
        <v>40</v>
      </c>
      <c r="L230" s="53">
        <f>+VLOOKUP(A230,COMISIONES!$C$2:$AQ$33,41,0)</f>
        <v>45</v>
      </c>
      <c r="M230" s="7">
        <f>+VLOOKUP(A230,COMISIONES!$C$2:$C$33,1,0)</f>
        <v>20002708</v>
      </c>
    </row>
    <row r="231" spans="1:13">
      <c r="A231" s="98">
        <v>20008711</v>
      </c>
      <c r="B231" s="133" t="s">
        <v>53</v>
      </c>
      <c r="C231" s="98" t="s">
        <v>2632</v>
      </c>
      <c r="D231" s="212">
        <v>45139</v>
      </c>
      <c r="E231" s="10"/>
      <c r="F231" s="10"/>
      <c r="G231" s="98">
        <v>1</v>
      </c>
      <c r="H231" s="98">
        <v>98055</v>
      </c>
      <c r="I231" s="98" t="s">
        <v>50</v>
      </c>
      <c r="J231" s="98" t="s">
        <v>80</v>
      </c>
      <c r="K231" s="98" t="s">
        <v>40</v>
      </c>
      <c r="L231" s="53">
        <f>+VLOOKUP(A231,COMISIONES!$C$2:$AQ$33,41,0)</f>
        <v>45</v>
      </c>
      <c r="M231" s="7">
        <f>+VLOOKUP(A231,COMISIONES!$C$2:$C$33,1,0)</f>
        <v>20008711</v>
      </c>
    </row>
    <row r="232" spans="1:13">
      <c r="A232" s="98">
        <v>20009690</v>
      </c>
      <c r="B232" s="133" t="s">
        <v>53</v>
      </c>
      <c r="C232" s="98" t="s">
        <v>2635</v>
      </c>
      <c r="D232" s="212">
        <v>45139</v>
      </c>
      <c r="E232" s="10"/>
      <c r="F232" s="10"/>
      <c r="G232" s="98">
        <v>1</v>
      </c>
      <c r="H232" s="98">
        <v>98068</v>
      </c>
      <c r="I232" s="98" t="s">
        <v>49</v>
      </c>
      <c r="J232" s="98" t="s">
        <v>80</v>
      </c>
      <c r="K232" s="98" t="s">
        <v>40</v>
      </c>
      <c r="L232" s="53">
        <f>+VLOOKUP(A232,COMISIONES!$C$2:$AQ$33,41,0)</f>
        <v>90</v>
      </c>
      <c r="M232" s="7">
        <f>+VLOOKUP(A232,COMISIONES!$C$2:$C$33,1,0)</f>
        <v>20009690</v>
      </c>
    </row>
    <row r="233" spans="1:13">
      <c r="A233" s="98">
        <v>20009690</v>
      </c>
      <c r="B233" s="133" t="s">
        <v>53</v>
      </c>
      <c r="C233" s="98" t="s">
        <v>2641</v>
      </c>
      <c r="D233" s="212">
        <v>45139</v>
      </c>
      <c r="E233" s="10"/>
      <c r="F233" s="10"/>
      <c r="G233" s="98">
        <v>1</v>
      </c>
      <c r="H233" s="98">
        <v>98068</v>
      </c>
      <c r="I233" s="98" t="s">
        <v>49</v>
      </c>
      <c r="J233" s="98" t="s">
        <v>80</v>
      </c>
      <c r="K233" s="98" t="s">
        <v>40</v>
      </c>
      <c r="L233" s="53">
        <f>+VLOOKUP(A233,COMISIONES!$C$2:$AQ$33,41,0)</f>
        <v>90</v>
      </c>
      <c r="M233" s="7">
        <f>+VLOOKUP(A233,COMISIONES!$C$2:$C$33,1,0)</f>
        <v>20009690</v>
      </c>
    </row>
    <row r="234" spans="1:13">
      <c r="A234" s="98">
        <v>20000661</v>
      </c>
      <c r="B234" s="133" t="s">
        <v>53</v>
      </c>
      <c r="C234" s="98" t="s">
        <v>2680</v>
      </c>
      <c r="D234" s="212">
        <v>45139</v>
      </c>
      <c r="E234" s="10"/>
      <c r="F234" s="10"/>
      <c r="G234" s="98">
        <v>1</v>
      </c>
      <c r="H234" s="98">
        <v>98013</v>
      </c>
      <c r="I234" s="98" t="s">
        <v>51</v>
      </c>
      <c r="J234" s="98" t="s">
        <v>80</v>
      </c>
      <c r="K234" s="98" t="s">
        <v>40</v>
      </c>
      <c r="L234" s="53">
        <f>+VLOOKUP(A234,COMISIONES!$C$2:$AQ$33,41,0)</f>
        <v>45</v>
      </c>
      <c r="M234" s="7">
        <f>+VLOOKUP(A234,COMISIONES!$C$2:$C$33,1,0)</f>
        <v>20000661</v>
      </c>
    </row>
    <row r="235" spans="1:13">
      <c r="A235" s="98">
        <v>20010262</v>
      </c>
      <c r="B235" s="133" t="s">
        <v>53</v>
      </c>
      <c r="C235" s="98" t="s">
        <v>2689</v>
      </c>
      <c r="D235" s="212">
        <v>45139</v>
      </c>
      <c r="E235" s="10"/>
      <c r="F235" s="10"/>
      <c r="G235" s="98">
        <v>1</v>
      </c>
      <c r="H235" s="98">
        <v>98073</v>
      </c>
      <c r="I235" s="98" t="s">
        <v>52</v>
      </c>
      <c r="J235" s="98" t="s">
        <v>80</v>
      </c>
      <c r="K235" s="98" t="s">
        <v>40</v>
      </c>
      <c r="L235" s="53">
        <f>+VLOOKUP(A235,COMISIONES!$C$2:$AQ$33,41,0)</f>
        <v>45</v>
      </c>
      <c r="M235" s="7">
        <f>+VLOOKUP(A235,COMISIONES!$C$2:$C$33,1,0)</f>
        <v>20010262</v>
      </c>
    </row>
    <row r="236" spans="1:13">
      <c r="A236" s="98">
        <v>20008439</v>
      </c>
      <c r="B236" s="133" t="s">
        <v>53</v>
      </c>
      <c r="C236" s="98" t="s">
        <v>2704</v>
      </c>
      <c r="D236" s="212">
        <v>45139</v>
      </c>
      <c r="E236" s="10"/>
      <c r="F236" s="10"/>
      <c r="G236" s="98">
        <v>1</v>
      </c>
      <c r="H236" s="98">
        <v>98049</v>
      </c>
      <c r="I236" s="98" t="s">
        <v>50</v>
      </c>
      <c r="J236" s="98" t="s">
        <v>80</v>
      </c>
      <c r="K236" s="98" t="s">
        <v>40</v>
      </c>
      <c r="L236" s="53">
        <f>+VLOOKUP(A236,COMISIONES!$C$2:$AQ$33,41,0)</f>
        <v>45</v>
      </c>
      <c r="M236" s="7">
        <f>+VLOOKUP(A236,COMISIONES!$C$2:$C$33,1,0)</f>
        <v>20008439</v>
      </c>
    </row>
    <row r="237" spans="1:13">
      <c r="A237" s="98">
        <v>20004161</v>
      </c>
      <c r="B237" s="133" t="s">
        <v>53</v>
      </c>
      <c r="C237" s="98" t="s">
        <v>2707</v>
      </c>
      <c r="D237" s="212">
        <v>45139</v>
      </c>
      <c r="E237" s="10"/>
      <c r="F237" s="10"/>
      <c r="G237" s="98">
        <v>1</v>
      </c>
      <c r="H237" s="98">
        <v>98019</v>
      </c>
      <c r="I237" s="98" t="s">
        <v>49</v>
      </c>
      <c r="J237" s="98" t="s">
        <v>80</v>
      </c>
      <c r="K237" s="98" t="s">
        <v>40</v>
      </c>
      <c r="L237" s="53">
        <f>+VLOOKUP(A237,COMISIONES!$C$2:$AQ$33,41,0)</f>
        <v>95</v>
      </c>
      <c r="M237" s="7">
        <f>+VLOOKUP(A237,COMISIONES!$C$2:$C$33,1,0)</f>
        <v>20004161</v>
      </c>
    </row>
    <row r="238" spans="1:13">
      <c r="A238" s="98">
        <v>20000033</v>
      </c>
      <c r="B238" s="133" t="s">
        <v>53</v>
      </c>
      <c r="C238" s="98" t="s">
        <v>2713</v>
      </c>
      <c r="D238" s="212">
        <v>45139</v>
      </c>
      <c r="E238" s="10"/>
      <c r="F238" s="10"/>
      <c r="G238" s="98">
        <v>1</v>
      </c>
      <c r="H238" s="98">
        <v>98000</v>
      </c>
      <c r="I238" s="98" t="s">
        <v>51</v>
      </c>
      <c r="J238" s="98" t="s">
        <v>80</v>
      </c>
      <c r="K238" s="98" t="s">
        <v>40</v>
      </c>
      <c r="L238" s="53">
        <f>+VLOOKUP(A238,COMISIONES!$C$2:$AQ$33,41,0)</f>
        <v>45</v>
      </c>
      <c r="M238" s="7">
        <f>+VLOOKUP(A238,COMISIONES!$C$2:$C$33,1,0)</f>
        <v>20000033</v>
      </c>
    </row>
    <row r="239" spans="1:13">
      <c r="A239" s="98">
        <v>20008439</v>
      </c>
      <c r="B239" s="133" t="s">
        <v>53</v>
      </c>
      <c r="C239" s="98" t="s">
        <v>2722</v>
      </c>
      <c r="D239" s="212">
        <v>45139</v>
      </c>
      <c r="E239" s="10"/>
      <c r="F239" s="10"/>
      <c r="G239" s="98">
        <v>1</v>
      </c>
      <c r="H239" s="98">
        <v>98049</v>
      </c>
      <c r="I239" s="98" t="s">
        <v>50</v>
      </c>
      <c r="J239" s="98" t="s">
        <v>80</v>
      </c>
      <c r="K239" s="98" t="s">
        <v>40</v>
      </c>
      <c r="L239" s="53">
        <f>+VLOOKUP(A239,COMISIONES!$C$2:$AQ$33,41,0)</f>
        <v>45</v>
      </c>
      <c r="M239" s="7">
        <f>+VLOOKUP(A239,COMISIONES!$C$2:$C$33,1,0)</f>
        <v>20008439</v>
      </c>
    </row>
    <row r="240" spans="1:13">
      <c r="A240" s="98">
        <v>20009174</v>
      </c>
      <c r="B240" s="133" t="s">
        <v>53</v>
      </c>
      <c r="C240" s="98" t="s">
        <v>2728</v>
      </c>
      <c r="D240" s="212">
        <v>45139</v>
      </c>
      <c r="E240" s="10"/>
      <c r="F240" s="10"/>
      <c r="G240" s="98">
        <v>1</v>
      </c>
      <c r="H240" s="98">
        <v>98064</v>
      </c>
      <c r="I240" s="98" t="s">
        <v>52</v>
      </c>
      <c r="J240" s="98" t="s">
        <v>80</v>
      </c>
      <c r="K240" s="98" t="s">
        <v>40</v>
      </c>
      <c r="L240" s="53">
        <f>+VLOOKUP(A240,COMISIONES!$C$2:$AQ$33,41,0)</f>
        <v>60</v>
      </c>
      <c r="M240" s="7">
        <f>+VLOOKUP(A240,COMISIONES!$C$2:$C$33,1,0)</f>
        <v>20009174</v>
      </c>
    </row>
    <row r="241" spans="1:13">
      <c r="A241" s="98">
        <v>20009592</v>
      </c>
      <c r="B241" s="133" t="s">
        <v>53</v>
      </c>
      <c r="C241" s="98" t="s">
        <v>2731</v>
      </c>
      <c r="D241" s="212">
        <v>45139</v>
      </c>
      <c r="E241" s="10"/>
      <c r="F241" s="10"/>
      <c r="G241" s="98">
        <v>1</v>
      </c>
      <c r="H241" s="98">
        <v>98076</v>
      </c>
      <c r="I241" s="98" t="s">
        <v>52</v>
      </c>
      <c r="J241" s="98" t="s">
        <v>80</v>
      </c>
      <c r="K241" s="98" t="s">
        <v>40</v>
      </c>
      <c r="L241" s="53">
        <f>+VLOOKUP(A241,COMISIONES!$C$2:$AQ$33,41,0)</f>
        <v>30</v>
      </c>
      <c r="M241" s="7">
        <f>+VLOOKUP(A241,COMISIONES!$C$2:$C$33,1,0)</f>
        <v>20009592</v>
      </c>
    </row>
    <row r="242" spans="1:13">
      <c r="A242" s="98">
        <v>20010101</v>
      </c>
      <c r="B242" s="133" t="s">
        <v>53</v>
      </c>
      <c r="C242" s="98" t="s">
        <v>2746</v>
      </c>
      <c r="D242" s="212">
        <v>45139</v>
      </c>
      <c r="E242" s="10"/>
      <c r="F242" s="10"/>
      <c r="G242" s="98">
        <v>1</v>
      </c>
      <c r="H242" s="98">
        <v>98072</v>
      </c>
      <c r="I242" s="98" t="s">
        <v>49</v>
      </c>
      <c r="J242" s="98" t="s">
        <v>80</v>
      </c>
      <c r="K242" s="98" t="s">
        <v>40</v>
      </c>
      <c r="L242" s="53">
        <f>+VLOOKUP(A242,COMISIONES!$C$2:$AQ$33,41,0)</f>
        <v>90</v>
      </c>
      <c r="M242" s="7">
        <f>+VLOOKUP(A242,COMISIONES!$C$2:$C$33,1,0)</f>
        <v>20010101</v>
      </c>
    </row>
    <row r="243" spans="1:13">
      <c r="A243" s="98">
        <v>20000661</v>
      </c>
      <c r="B243" s="133" t="s">
        <v>53</v>
      </c>
      <c r="C243" s="98" t="s">
        <v>2749</v>
      </c>
      <c r="D243" s="212">
        <v>45139</v>
      </c>
      <c r="E243" s="10"/>
      <c r="F243" s="10"/>
      <c r="G243" s="98">
        <v>1</v>
      </c>
      <c r="H243" s="98">
        <v>98013</v>
      </c>
      <c r="I243" s="98" t="s">
        <v>51</v>
      </c>
      <c r="J243" s="98" t="s">
        <v>80</v>
      </c>
      <c r="K243" s="98" t="s">
        <v>40</v>
      </c>
      <c r="L243" s="53">
        <f>+VLOOKUP(A243,COMISIONES!$C$2:$AQ$33,41,0)</f>
        <v>45</v>
      </c>
      <c r="M243" s="7">
        <f>+VLOOKUP(A243,COMISIONES!$C$2:$C$33,1,0)</f>
        <v>20000661</v>
      </c>
    </row>
    <row r="244" spans="1:13">
      <c r="A244" s="98">
        <v>20009269</v>
      </c>
      <c r="B244" s="133" t="s">
        <v>53</v>
      </c>
      <c r="C244" s="98" t="s">
        <v>2770</v>
      </c>
      <c r="D244" s="212">
        <v>45139</v>
      </c>
      <c r="E244" s="10"/>
      <c r="F244" s="10"/>
      <c r="G244" s="98">
        <v>1</v>
      </c>
      <c r="H244" s="98">
        <v>98065</v>
      </c>
      <c r="I244" s="98" t="s">
        <v>49</v>
      </c>
      <c r="J244" s="98" t="s">
        <v>80</v>
      </c>
      <c r="K244" s="98" t="s">
        <v>40</v>
      </c>
      <c r="L244" s="53">
        <f>+VLOOKUP(A244,COMISIONES!$C$2:$AQ$33,41,0)</f>
        <v>90</v>
      </c>
      <c r="M244" s="7">
        <f>+VLOOKUP(A244,COMISIONES!$C$2:$C$33,1,0)</f>
        <v>20009269</v>
      </c>
    </row>
    <row r="245" spans="1:13">
      <c r="A245" s="98">
        <v>20010766</v>
      </c>
      <c r="B245" s="133" t="s">
        <v>53</v>
      </c>
      <c r="C245" s="98" t="s">
        <v>2776</v>
      </c>
      <c r="D245" s="212">
        <v>45139</v>
      </c>
      <c r="E245" s="10"/>
      <c r="F245" s="10"/>
      <c r="G245" s="98">
        <v>1</v>
      </c>
      <c r="H245" s="98">
        <v>98080</v>
      </c>
      <c r="I245" s="98" t="s">
        <v>51</v>
      </c>
      <c r="J245" s="98" t="s">
        <v>80</v>
      </c>
      <c r="K245" s="98" t="s">
        <v>40</v>
      </c>
      <c r="L245" s="53">
        <f>+VLOOKUP(A245,COMISIONES!$C$2:$AQ$33,41,0)</f>
        <v>30</v>
      </c>
      <c r="M245" s="7">
        <f>+VLOOKUP(A245,COMISIONES!$C$2:$C$33,1,0)</f>
        <v>20010766</v>
      </c>
    </row>
    <row r="246" spans="1:13">
      <c r="A246" s="98">
        <v>20004566</v>
      </c>
      <c r="B246" s="133" t="s">
        <v>53</v>
      </c>
      <c r="C246" s="98" t="s">
        <v>2788</v>
      </c>
      <c r="D246" s="212">
        <v>45139</v>
      </c>
      <c r="E246" s="10"/>
      <c r="F246" s="10"/>
      <c r="G246" s="98">
        <v>1</v>
      </c>
      <c r="H246" s="98">
        <v>98023</v>
      </c>
      <c r="I246" s="98" t="s">
        <v>50</v>
      </c>
      <c r="J246" s="98" t="s">
        <v>80</v>
      </c>
      <c r="K246" s="98" t="s">
        <v>40</v>
      </c>
      <c r="L246" s="53">
        <f>+VLOOKUP(A246,COMISIONES!$C$2:$AQ$33,41,0)</f>
        <v>60</v>
      </c>
      <c r="M246" s="7">
        <f>+VLOOKUP(A246,COMISIONES!$C$2:$C$33,1,0)</f>
        <v>20004566</v>
      </c>
    </row>
    <row r="247" spans="1:13">
      <c r="A247" s="98">
        <v>20010617</v>
      </c>
      <c r="B247" s="133" t="s">
        <v>53</v>
      </c>
      <c r="C247" s="98" t="s">
        <v>3203</v>
      </c>
      <c r="D247" s="212">
        <v>45139</v>
      </c>
      <c r="E247" s="10"/>
      <c r="F247" s="10"/>
      <c r="G247" s="98">
        <v>1</v>
      </c>
      <c r="H247" s="98">
        <v>98079</v>
      </c>
      <c r="I247" s="98" t="s">
        <v>49</v>
      </c>
      <c r="J247" s="98" t="s">
        <v>80</v>
      </c>
      <c r="K247" s="98" t="s">
        <v>40</v>
      </c>
      <c r="L247" s="53">
        <f>+VLOOKUP(A247,COMISIONES!$C$2:$AQ$33,41,0)</f>
        <v>15</v>
      </c>
      <c r="M247" s="7">
        <f>+VLOOKUP(A247,COMISIONES!$C$2:$C$33,1,0)</f>
        <v>20010617</v>
      </c>
    </row>
    <row r="248" spans="1:13">
      <c r="A248" s="98">
        <v>20009174</v>
      </c>
      <c r="B248" s="133" t="s">
        <v>53</v>
      </c>
      <c r="C248" s="98" t="s">
        <v>3204</v>
      </c>
      <c r="D248" s="212">
        <v>45139</v>
      </c>
      <c r="E248" s="10"/>
      <c r="F248" s="10"/>
      <c r="G248" s="98">
        <v>1</v>
      </c>
      <c r="H248" s="98">
        <v>98064</v>
      </c>
      <c r="I248" s="98" t="s">
        <v>52</v>
      </c>
      <c r="J248" s="98" t="s">
        <v>80</v>
      </c>
      <c r="K248" s="98" t="s">
        <v>40</v>
      </c>
      <c r="L248" s="53">
        <f>+VLOOKUP(A248,COMISIONES!$C$2:$AQ$33,41,0)</f>
        <v>60</v>
      </c>
      <c r="M248" s="7">
        <f>+VLOOKUP(A248,COMISIONES!$C$2:$C$33,1,0)</f>
        <v>20009174</v>
      </c>
    </row>
    <row r="249" spans="1:13">
      <c r="A249" s="98">
        <v>20009174</v>
      </c>
      <c r="B249" s="133" t="s">
        <v>53</v>
      </c>
      <c r="C249" s="98" t="s">
        <v>3205</v>
      </c>
      <c r="D249" s="212">
        <v>45139</v>
      </c>
      <c r="E249" s="10"/>
      <c r="F249" s="10"/>
      <c r="G249" s="98">
        <v>1</v>
      </c>
      <c r="H249" s="98">
        <v>98064</v>
      </c>
      <c r="I249" s="98" t="s">
        <v>52</v>
      </c>
      <c r="J249" s="98" t="s">
        <v>80</v>
      </c>
      <c r="K249" s="98" t="s">
        <v>40</v>
      </c>
      <c r="L249" s="53">
        <f>+VLOOKUP(A249,COMISIONES!$C$2:$AQ$33,41,0)</f>
        <v>60</v>
      </c>
      <c r="M249" s="7">
        <f>+VLOOKUP(A249,COMISIONES!$C$2:$C$33,1,0)</f>
        <v>20009174</v>
      </c>
    </row>
    <row r="250" spans="1:13">
      <c r="A250" s="98">
        <v>20007943</v>
      </c>
      <c r="B250" s="133" t="s">
        <v>53</v>
      </c>
      <c r="C250" s="98" t="s">
        <v>3206</v>
      </c>
      <c r="D250" s="212">
        <v>45139</v>
      </c>
      <c r="E250" s="10"/>
      <c r="F250" s="10"/>
      <c r="G250" s="98">
        <v>1</v>
      </c>
      <c r="H250" s="98">
        <v>98077</v>
      </c>
      <c r="I250" s="98" t="s">
        <v>51</v>
      </c>
      <c r="J250" s="98" t="s">
        <v>80</v>
      </c>
      <c r="K250" s="98" t="s">
        <v>40</v>
      </c>
      <c r="L250" s="53">
        <f>+VLOOKUP(A250,COMISIONES!$C$2:$AQ$33,41,0)</f>
        <v>30</v>
      </c>
      <c r="M250" s="7">
        <f>+VLOOKUP(A250,COMISIONES!$C$2:$C$33,1,0)</f>
        <v>20007943</v>
      </c>
    </row>
    <row r="251" spans="1:13">
      <c r="A251" s="98">
        <v>20009690</v>
      </c>
      <c r="B251" s="133" t="s">
        <v>53</v>
      </c>
      <c r="C251" s="98" t="s">
        <v>3207</v>
      </c>
      <c r="D251" s="212">
        <v>45139</v>
      </c>
      <c r="E251" s="136"/>
      <c r="F251" s="136"/>
      <c r="G251" s="98">
        <v>1</v>
      </c>
      <c r="H251" s="98">
        <v>98068</v>
      </c>
      <c r="I251" s="98" t="s">
        <v>49</v>
      </c>
      <c r="J251" s="98" t="s">
        <v>80</v>
      </c>
      <c r="K251" s="98" t="s">
        <v>40</v>
      </c>
      <c r="L251" s="53">
        <f>+VLOOKUP(A251,COMISIONES!$C$2:$AQ$33,41,0)</f>
        <v>90</v>
      </c>
      <c r="M251" s="7">
        <f>+VLOOKUP(A251,COMISIONES!$C$2:$C$33,1,0)</f>
        <v>20009690</v>
      </c>
    </row>
    <row r="252" spans="1:13">
      <c r="A252" s="98">
        <v>20006162</v>
      </c>
      <c r="B252" s="133" t="s">
        <v>53</v>
      </c>
      <c r="C252" s="98" t="s">
        <v>3208</v>
      </c>
      <c r="D252" s="212">
        <v>45139</v>
      </c>
      <c r="E252" s="136"/>
      <c r="F252" s="136"/>
      <c r="G252" s="98">
        <v>1</v>
      </c>
      <c r="H252" s="98">
        <v>98069</v>
      </c>
      <c r="I252" s="98" t="s">
        <v>50</v>
      </c>
      <c r="J252" s="98" t="s">
        <v>80</v>
      </c>
      <c r="K252" s="98" t="s">
        <v>40</v>
      </c>
      <c r="L252" s="53">
        <f>+VLOOKUP(A252,COMISIONES!$C$2:$AQ$33,41,0)</f>
        <v>60</v>
      </c>
      <c r="M252" s="7">
        <f>+VLOOKUP(A252,COMISIONES!$C$2:$C$33,1,0)</f>
        <v>20006162</v>
      </c>
    </row>
    <row r="253" spans="1:13">
      <c r="A253" s="98">
        <v>20008700</v>
      </c>
      <c r="B253" s="133" t="s">
        <v>53</v>
      </c>
      <c r="C253" s="98" t="s">
        <v>3209</v>
      </c>
      <c r="D253" s="212">
        <v>45139</v>
      </c>
      <c r="E253" s="136"/>
      <c r="F253" s="136"/>
      <c r="G253" s="98">
        <v>1</v>
      </c>
      <c r="H253" s="98">
        <v>98056</v>
      </c>
      <c r="I253" s="98" t="s">
        <v>50</v>
      </c>
      <c r="J253" s="98" t="s">
        <v>80</v>
      </c>
      <c r="K253" s="98" t="s">
        <v>40</v>
      </c>
      <c r="L253" s="53">
        <f>+VLOOKUP(A253,COMISIONES!$C$2:$AQ$33,41,0)</f>
        <v>30</v>
      </c>
      <c r="M253" s="7">
        <f>+VLOOKUP(A253,COMISIONES!$C$2:$C$33,1,0)</f>
        <v>20008700</v>
      </c>
    </row>
    <row r="254" spans="1:13">
      <c r="A254" s="98">
        <v>20009690</v>
      </c>
      <c r="B254" s="133" t="s">
        <v>53</v>
      </c>
      <c r="C254" s="98" t="s">
        <v>3210</v>
      </c>
      <c r="D254" s="212">
        <v>45139</v>
      </c>
      <c r="E254" s="136"/>
      <c r="F254" s="136"/>
      <c r="G254" s="98">
        <v>1</v>
      </c>
      <c r="H254" s="98">
        <v>98068</v>
      </c>
      <c r="I254" s="98" t="s">
        <v>49</v>
      </c>
      <c r="J254" s="98" t="s">
        <v>80</v>
      </c>
      <c r="K254" s="98" t="s">
        <v>40</v>
      </c>
      <c r="L254" s="53">
        <f>+VLOOKUP(A254,COMISIONES!$C$2:$AQ$33,41,0)</f>
        <v>90</v>
      </c>
      <c r="M254" s="7">
        <f>+VLOOKUP(A254,COMISIONES!$C$2:$C$33,1,0)</f>
        <v>20009690</v>
      </c>
    </row>
    <row r="255" spans="1:13">
      <c r="A255" s="133"/>
      <c r="B255" s="133"/>
      <c r="C255" s="133"/>
      <c r="D255" s="213"/>
      <c r="E255" s="136"/>
      <c r="F255" s="136"/>
      <c r="G255" s="133"/>
      <c r="H255" s="136"/>
      <c r="I255" s="98"/>
      <c r="J255" s="133"/>
      <c r="K255" s="133"/>
      <c r="L255" s="53" t="e">
        <f>+VLOOKUP(A255,COMISIONES!$C$2:$AQ$33,41,0)</f>
        <v>#N/A</v>
      </c>
      <c r="M255" s="7" t="e">
        <f>+VLOOKUP(A255,COMISIONES!$C$2:$C$33,1,0)</f>
        <v>#N/A</v>
      </c>
    </row>
    <row r="256" spans="1:13">
      <c r="A256" s="98"/>
      <c r="B256" s="133"/>
      <c r="C256" s="133"/>
      <c r="D256" s="137"/>
      <c r="E256" s="98"/>
      <c r="F256" s="140"/>
      <c r="G256" s="133"/>
      <c r="H256" s="133"/>
      <c r="I256" s="133"/>
      <c r="J256" s="133"/>
      <c r="K256" s="133"/>
      <c r="L256" s="53" t="e">
        <f>+VLOOKUP(A256,COMISIONES!$C$2:$AQ$33,41,0)</f>
        <v>#N/A</v>
      </c>
      <c r="M256" s="7" t="e">
        <f>+VLOOKUP(A256,COMISIONES!$C$2:$C$33,1,0)</f>
        <v>#N/A</v>
      </c>
    </row>
    <row r="257" spans="1:13">
      <c r="A257" s="98"/>
      <c r="B257" s="133"/>
      <c r="C257" s="133"/>
      <c r="D257" s="137"/>
      <c r="E257" s="98"/>
      <c r="F257" s="140"/>
      <c r="G257" s="133"/>
      <c r="H257" s="133"/>
      <c r="I257" s="133"/>
      <c r="J257" s="133"/>
      <c r="K257" s="133"/>
      <c r="L257" s="53" t="e">
        <f>+VLOOKUP(A257,COMISIONES!$C$2:$AQ$33,41,0)</f>
        <v>#N/A</v>
      </c>
      <c r="M257" s="7" t="e">
        <f>+VLOOKUP(A257,COMISIONES!$C$2:$C$33,1,0)</f>
        <v>#N/A</v>
      </c>
    </row>
    <row r="258" spans="1:13">
      <c r="A258" s="98"/>
      <c r="B258" s="133"/>
      <c r="C258" s="133"/>
      <c r="D258" s="137"/>
      <c r="E258" s="98"/>
      <c r="F258" s="140"/>
      <c r="G258" s="133"/>
      <c r="H258" s="133"/>
      <c r="I258" s="133"/>
      <c r="J258" s="133"/>
      <c r="K258" s="133"/>
      <c r="L258" s="53" t="e">
        <f>+VLOOKUP(A258,COMISIONES!$C$2:$AQ$33,41,0)</f>
        <v>#N/A</v>
      </c>
      <c r="M258" s="7" t="e">
        <f>+VLOOKUP(A258,COMISIONES!$C$2:$C$33,1,0)</f>
        <v>#N/A</v>
      </c>
    </row>
    <row r="259" spans="1:13">
      <c r="A259" s="98"/>
      <c r="B259" s="133"/>
      <c r="C259" s="133"/>
      <c r="D259" s="137"/>
      <c r="E259" s="98"/>
      <c r="F259" s="140"/>
      <c r="G259" s="133"/>
      <c r="H259" s="133"/>
      <c r="I259" s="133"/>
      <c r="J259" s="133"/>
      <c r="K259" s="133"/>
      <c r="L259" s="53" t="e">
        <f>+VLOOKUP(A259,COMISIONES!$C$2:$AQ$33,41,0)</f>
        <v>#N/A</v>
      </c>
      <c r="M259" s="7" t="e">
        <f>+VLOOKUP(A259,COMISIONES!$C$2:$C$33,1,0)</f>
        <v>#N/A</v>
      </c>
    </row>
    <row r="260" spans="1:13">
      <c r="A260" s="98"/>
      <c r="B260" s="133"/>
      <c r="C260" s="133"/>
      <c r="D260" s="137"/>
      <c r="E260" s="98"/>
      <c r="F260" s="140"/>
      <c r="G260" s="133"/>
      <c r="H260" s="133"/>
      <c r="I260" s="133"/>
      <c r="J260" s="133"/>
      <c r="K260" s="133"/>
      <c r="L260" s="53" t="e">
        <f>+VLOOKUP(A260,COMISIONES!$C$2:$AQ$33,41,0)</f>
        <v>#N/A</v>
      </c>
      <c r="M260" s="7" t="e">
        <f>+VLOOKUP(A260,COMISIONES!$C$2:$C$33,1,0)</f>
        <v>#N/A</v>
      </c>
    </row>
    <row r="261" spans="1:13">
      <c r="A261" s="98"/>
      <c r="B261" s="133"/>
      <c r="C261" s="133"/>
      <c r="D261" s="137"/>
      <c r="E261" s="98"/>
      <c r="F261" s="140"/>
      <c r="G261" s="133"/>
      <c r="H261" s="133"/>
      <c r="I261" s="133"/>
      <c r="J261" s="133"/>
      <c r="K261" s="133"/>
      <c r="L261" s="53" t="e">
        <f>+VLOOKUP(A261,COMISIONES!$C$2:$AQ$33,41,0)</f>
        <v>#N/A</v>
      </c>
      <c r="M261" s="7" t="e">
        <f>+VLOOKUP(A261,COMISIONES!$C$2:$C$33,1,0)</f>
        <v>#N/A</v>
      </c>
    </row>
    <row r="262" spans="1:13">
      <c r="A262" s="98"/>
      <c r="B262" s="133"/>
      <c r="C262" s="133"/>
      <c r="D262" s="137"/>
      <c r="E262" s="98"/>
      <c r="F262" s="140"/>
      <c r="G262" s="133"/>
      <c r="H262" s="133"/>
      <c r="I262" s="133"/>
      <c r="J262" s="133"/>
      <c r="K262" s="133"/>
      <c r="L262" s="53" t="e">
        <f>+VLOOKUP(A262,COMISIONES!$C$2:$AQ$33,41,0)</f>
        <v>#N/A</v>
      </c>
      <c r="M262" s="7" t="e">
        <f>+VLOOKUP(A262,COMISIONES!$C$2:$C$33,1,0)</f>
        <v>#N/A</v>
      </c>
    </row>
    <row r="263" spans="1:13">
      <c r="A263" s="98"/>
      <c r="B263" s="133"/>
      <c r="C263" s="133"/>
      <c r="D263" s="137"/>
      <c r="E263" s="98"/>
      <c r="F263" s="140"/>
      <c r="G263" s="133"/>
      <c r="H263" s="133"/>
      <c r="I263" s="133"/>
      <c r="J263" s="133"/>
      <c r="K263" s="133"/>
      <c r="L263" s="53" t="e">
        <f>+VLOOKUP(A263,COMISIONES!$C$2:$AQ$33,41,0)</f>
        <v>#N/A</v>
      </c>
      <c r="M263" s="7" t="e">
        <f>+VLOOKUP(A263,COMISIONES!$C$2:$C$33,1,0)</f>
        <v>#N/A</v>
      </c>
    </row>
    <row r="264" spans="1:13">
      <c r="A264" s="98"/>
      <c r="B264" s="133"/>
      <c r="C264" s="133"/>
      <c r="D264" s="137"/>
      <c r="E264" s="98"/>
      <c r="F264" s="140"/>
      <c r="G264" s="133"/>
      <c r="H264" s="133"/>
      <c r="I264" s="133"/>
      <c r="J264" s="133"/>
      <c r="K264" s="133"/>
      <c r="L264" s="53" t="e">
        <f>+VLOOKUP(A264,COMISIONES!$C$2:$AQ$33,41,0)</f>
        <v>#N/A</v>
      </c>
      <c r="M264" s="7" t="e">
        <f>+VLOOKUP(A264,COMISIONES!$C$2:$C$33,1,0)</f>
        <v>#N/A</v>
      </c>
    </row>
    <row r="265" spans="1:13">
      <c r="A265" s="98"/>
      <c r="B265" s="133"/>
      <c r="C265" s="133"/>
      <c r="D265" s="137"/>
      <c r="E265" s="98"/>
      <c r="F265" s="140"/>
      <c r="G265" s="133"/>
      <c r="H265" s="133"/>
      <c r="I265" s="133"/>
      <c r="J265" s="133"/>
      <c r="K265" s="133"/>
      <c r="L265" s="53" t="e">
        <f>+VLOOKUP(A265,COMISIONES!$C$2:$AQ$33,41,0)</f>
        <v>#N/A</v>
      </c>
      <c r="M265" s="7" t="e">
        <f>+VLOOKUP(A265,COMISIONES!$C$2:$C$33,1,0)</f>
        <v>#N/A</v>
      </c>
    </row>
    <row r="266" spans="1:13">
      <c r="A266" s="98"/>
      <c r="B266" s="133"/>
      <c r="C266" s="133"/>
      <c r="D266" s="137"/>
      <c r="E266" s="98"/>
      <c r="F266" s="140"/>
      <c r="G266" s="133"/>
      <c r="H266" s="133"/>
      <c r="I266" s="133"/>
      <c r="J266" s="133"/>
      <c r="K266" s="133"/>
      <c r="L266" s="53" t="e">
        <f>+VLOOKUP(A266,COMISIONES!$C$2:$AQ$33,41,0)</f>
        <v>#N/A</v>
      </c>
      <c r="M266" s="7" t="e">
        <f>+VLOOKUP(A266,COMISIONES!$C$2:$C$33,1,0)</f>
        <v>#N/A</v>
      </c>
    </row>
    <row r="267" spans="1:13">
      <c r="A267" s="98"/>
      <c r="B267" s="133"/>
      <c r="C267" s="133"/>
      <c r="D267" s="137"/>
      <c r="E267" s="98"/>
      <c r="F267" s="140"/>
      <c r="G267" s="133"/>
      <c r="H267" s="133"/>
      <c r="I267" s="133"/>
      <c r="J267" s="133"/>
      <c r="K267" s="133"/>
      <c r="L267" s="53" t="e">
        <f>+VLOOKUP(A267,COMISIONES!$C$2:$AQ$33,41,0)</f>
        <v>#N/A</v>
      </c>
      <c r="M267" s="7" t="e">
        <f>+VLOOKUP(A267,COMISIONES!$C$2:$C$33,1,0)</f>
        <v>#N/A</v>
      </c>
    </row>
    <row r="268" spans="1:13">
      <c r="A268" s="98"/>
      <c r="B268" s="133"/>
      <c r="C268" s="133"/>
      <c r="D268" s="137"/>
      <c r="E268" s="98"/>
      <c r="F268" s="140"/>
      <c r="G268" s="133"/>
      <c r="H268" s="133"/>
      <c r="I268" s="133"/>
      <c r="J268" s="133"/>
      <c r="K268" s="133"/>
      <c r="L268" s="53" t="e">
        <f>+VLOOKUP(A268,COMISIONES!$C$2:$AQ$33,41,0)</f>
        <v>#N/A</v>
      </c>
      <c r="M268" s="7" t="e">
        <f>+VLOOKUP(A268,COMISIONES!$C$2:$C$33,1,0)</f>
        <v>#N/A</v>
      </c>
    </row>
    <row r="269" spans="1:13">
      <c r="A269" s="98"/>
      <c r="B269" s="133"/>
      <c r="C269" s="133"/>
      <c r="D269" s="137"/>
      <c r="E269" s="98"/>
      <c r="F269" s="140"/>
      <c r="G269" s="133"/>
      <c r="H269" s="133"/>
      <c r="I269" s="133"/>
      <c r="J269" s="133"/>
      <c r="K269" s="133"/>
      <c r="L269" s="53" t="e">
        <f>+VLOOKUP(A269,COMISIONES!$C$2:$AQ$33,41,0)</f>
        <v>#N/A</v>
      </c>
      <c r="M269" s="7" t="e">
        <f>+VLOOKUP(A269,COMISIONES!$C$2:$C$33,1,0)</f>
        <v>#N/A</v>
      </c>
    </row>
    <row r="270" spans="1:13">
      <c r="A270" s="98"/>
      <c r="B270" s="133"/>
      <c r="C270" s="133"/>
      <c r="D270" s="137"/>
      <c r="E270" s="98"/>
      <c r="F270" s="140"/>
      <c r="G270" s="133"/>
      <c r="H270" s="133"/>
      <c r="I270" s="133"/>
      <c r="J270" s="133"/>
      <c r="K270" s="133"/>
      <c r="L270" s="53" t="e">
        <f>+VLOOKUP(A270,COMISIONES!$C$2:$AQ$33,41,0)</f>
        <v>#N/A</v>
      </c>
      <c r="M270" s="7" t="e">
        <f>+VLOOKUP(A270,COMISIONES!$C$2:$C$33,1,0)</f>
        <v>#N/A</v>
      </c>
    </row>
    <row r="271" spans="1:13">
      <c r="A271" s="98"/>
      <c r="B271" s="133"/>
      <c r="C271" s="133"/>
      <c r="D271" s="137"/>
      <c r="E271" s="98"/>
      <c r="F271" s="140"/>
      <c r="G271" s="133"/>
      <c r="H271" s="133"/>
      <c r="I271" s="133"/>
      <c r="J271" s="133"/>
      <c r="K271" s="133"/>
      <c r="L271" s="53" t="e">
        <f>+VLOOKUP(A271,COMISIONES!$C$2:$AQ$33,41,0)</f>
        <v>#N/A</v>
      </c>
      <c r="M271" s="7" t="e">
        <f>+VLOOKUP(A271,COMISIONES!$C$2:$C$33,1,0)</f>
        <v>#N/A</v>
      </c>
    </row>
    <row r="272" spans="1:13">
      <c r="A272" s="98"/>
      <c r="B272" s="133"/>
      <c r="C272" s="133"/>
      <c r="D272" s="137"/>
      <c r="E272" s="98"/>
      <c r="F272" s="140"/>
      <c r="G272" s="133"/>
      <c r="H272" s="133"/>
      <c r="I272" s="133"/>
      <c r="J272" s="133"/>
      <c r="K272" s="133"/>
      <c r="L272" s="53" t="e">
        <f>+VLOOKUP(A272,COMISIONES!$C$2:$AQ$33,41,0)</f>
        <v>#N/A</v>
      </c>
      <c r="M272" s="7" t="e">
        <f>+VLOOKUP(A272,COMISIONES!$C$2:$C$33,1,0)</f>
        <v>#N/A</v>
      </c>
    </row>
    <row r="273" spans="1:13">
      <c r="A273" s="98"/>
      <c r="B273" s="133"/>
      <c r="C273" s="133"/>
      <c r="D273" s="137"/>
      <c r="E273" s="98"/>
      <c r="F273" s="140"/>
      <c r="G273" s="133"/>
      <c r="H273" s="133"/>
      <c r="I273" s="133"/>
      <c r="J273" s="133"/>
      <c r="K273" s="133"/>
      <c r="L273" s="53" t="e">
        <f>+VLOOKUP(A273,COMISIONES!$C$2:$AQ$33,41,0)</f>
        <v>#N/A</v>
      </c>
      <c r="M273" s="7" t="e">
        <f>+VLOOKUP(A273,COMISIONES!$C$2:$C$33,1,0)</f>
        <v>#N/A</v>
      </c>
    </row>
    <row r="274" spans="1:13">
      <c r="A274" s="98"/>
      <c r="B274" s="133"/>
      <c r="C274" s="133"/>
      <c r="D274" s="137"/>
      <c r="E274" s="98"/>
      <c r="F274" s="140"/>
      <c r="G274" s="133"/>
      <c r="H274" s="133"/>
      <c r="I274" s="133"/>
      <c r="J274" s="133"/>
      <c r="K274" s="133"/>
      <c r="L274" s="53" t="e">
        <f>+VLOOKUP(A274,COMISIONES!$C$2:$AQ$33,41,0)</f>
        <v>#N/A</v>
      </c>
      <c r="M274" s="7" t="e">
        <f>+VLOOKUP(A274,COMISIONES!$C$2:$C$33,1,0)</f>
        <v>#N/A</v>
      </c>
    </row>
    <row r="275" spans="1:13">
      <c r="A275" s="98"/>
      <c r="B275" s="133"/>
      <c r="C275" s="133"/>
      <c r="D275" s="137"/>
      <c r="E275" s="98"/>
      <c r="F275" s="140"/>
      <c r="G275" s="133"/>
      <c r="H275" s="133"/>
      <c r="I275" s="133"/>
      <c r="J275" s="133"/>
      <c r="K275" s="133"/>
      <c r="L275" s="53" t="e">
        <f>+VLOOKUP(A275,COMISIONES!$C$2:$AQ$33,41,0)</f>
        <v>#N/A</v>
      </c>
      <c r="M275" s="7" t="e">
        <f>+VLOOKUP(A275,COMISIONES!$C$2:$C$33,1,0)</f>
        <v>#N/A</v>
      </c>
    </row>
    <row r="276" spans="1:13">
      <c r="A276" s="98"/>
      <c r="B276" s="133"/>
      <c r="C276" s="133"/>
      <c r="D276" s="137"/>
      <c r="E276" s="98"/>
      <c r="F276" s="140"/>
      <c r="G276" s="133"/>
      <c r="H276" s="133"/>
      <c r="I276" s="133"/>
      <c r="J276" s="133"/>
      <c r="K276" s="133"/>
      <c r="L276" s="53" t="e">
        <f>+VLOOKUP(A276,COMISIONES!$C$2:$AQ$33,41,0)</f>
        <v>#N/A</v>
      </c>
      <c r="M276" s="7" t="e">
        <f>+VLOOKUP(A276,COMISIONES!$C$2:$C$33,1,0)</f>
        <v>#N/A</v>
      </c>
    </row>
    <row r="277" spans="1:13">
      <c r="A277" s="98"/>
      <c r="B277" s="133"/>
      <c r="C277" s="133"/>
      <c r="D277" s="137"/>
      <c r="E277" s="98"/>
      <c r="F277" s="140"/>
      <c r="G277" s="133"/>
      <c r="H277" s="133"/>
      <c r="I277" s="133"/>
      <c r="J277" s="133"/>
      <c r="K277" s="133"/>
      <c r="L277" s="53" t="e">
        <f>+VLOOKUP(A277,COMISIONES!$C$2:$AQ$33,41,0)</f>
        <v>#N/A</v>
      </c>
      <c r="M277" s="7" t="e">
        <f>+VLOOKUP(A277,COMISIONES!$C$2:$C$33,1,0)</f>
        <v>#N/A</v>
      </c>
    </row>
    <row r="278" spans="1:13">
      <c r="A278" s="98"/>
      <c r="B278" s="133"/>
      <c r="C278" s="133"/>
      <c r="D278" s="137"/>
      <c r="E278" s="98"/>
      <c r="F278" s="140"/>
      <c r="G278" s="133"/>
      <c r="H278" s="133"/>
      <c r="I278" s="133"/>
      <c r="J278" s="133"/>
      <c r="K278" s="133"/>
      <c r="L278" s="53" t="e">
        <f>+VLOOKUP(A278,COMISIONES!$C$2:$AQ$33,41,0)</f>
        <v>#N/A</v>
      </c>
      <c r="M278" s="7" t="e">
        <f>+VLOOKUP(A278,COMISIONES!$C$2:$C$33,1,0)</f>
        <v>#N/A</v>
      </c>
    </row>
    <row r="279" spans="1:13">
      <c r="A279" s="98"/>
      <c r="B279" s="133"/>
      <c r="C279" s="133"/>
      <c r="D279" s="137"/>
      <c r="E279" s="98"/>
      <c r="F279" s="140"/>
      <c r="G279" s="133"/>
      <c r="H279" s="133"/>
      <c r="I279" s="133"/>
      <c r="J279" s="133"/>
      <c r="K279" s="133"/>
      <c r="L279" s="53" t="e">
        <f>+VLOOKUP(A279,COMISIONES!$C$2:$AQ$33,41,0)</f>
        <v>#N/A</v>
      </c>
      <c r="M279" s="7" t="e">
        <f>+VLOOKUP(A279,COMISIONES!$C$2:$C$33,1,0)</f>
        <v>#N/A</v>
      </c>
    </row>
    <row r="280" spans="1:13">
      <c r="A280" s="98"/>
      <c r="B280" s="133"/>
      <c r="C280" s="133"/>
      <c r="D280" s="137"/>
      <c r="E280" s="98"/>
      <c r="F280" s="140"/>
      <c r="G280" s="133"/>
      <c r="H280" s="133"/>
      <c r="I280" s="133"/>
      <c r="J280" s="133"/>
      <c r="K280" s="133"/>
      <c r="L280" s="53" t="e">
        <f>+VLOOKUP(A280,COMISIONES!$C$2:$AQ$33,41,0)</f>
        <v>#N/A</v>
      </c>
      <c r="M280" s="7" t="e">
        <f>+VLOOKUP(A280,COMISIONES!$C$2:$C$33,1,0)</f>
        <v>#N/A</v>
      </c>
    </row>
    <row r="281" spans="1:13">
      <c r="A281" s="98"/>
      <c r="B281" s="133"/>
      <c r="C281" s="133"/>
      <c r="D281" s="137"/>
      <c r="E281" s="98"/>
      <c r="F281" s="140"/>
      <c r="G281" s="133"/>
      <c r="H281" s="133"/>
      <c r="I281" s="133"/>
      <c r="J281" s="133"/>
      <c r="K281" s="133"/>
      <c r="L281" s="53" t="e">
        <f>+VLOOKUP(A281,COMISIONES!$C$2:$AQ$33,41,0)</f>
        <v>#N/A</v>
      </c>
      <c r="M281" s="7" t="e">
        <f>+VLOOKUP(A281,COMISIONES!$C$2:$C$33,1,0)</f>
        <v>#N/A</v>
      </c>
    </row>
    <row r="282" spans="1:13">
      <c r="A282" s="98"/>
      <c r="B282" s="133"/>
      <c r="C282" s="133"/>
      <c r="D282" s="137"/>
      <c r="E282" s="98"/>
      <c r="F282" s="140"/>
      <c r="G282" s="133"/>
      <c r="H282" s="133"/>
      <c r="I282" s="133"/>
      <c r="J282" s="133"/>
      <c r="K282" s="133"/>
      <c r="L282" s="53" t="e">
        <f>+VLOOKUP(A282,COMISIONES!$C$2:$AQ$33,41,0)</f>
        <v>#N/A</v>
      </c>
      <c r="M282" s="7" t="e">
        <f>+VLOOKUP(A282,COMISIONES!$C$2:$C$33,1,0)</f>
        <v>#N/A</v>
      </c>
    </row>
    <row r="283" spans="1:13">
      <c r="A283" s="98"/>
      <c r="B283" s="133"/>
      <c r="C283" s="133"/>
      <c r="D283" s="137"/>
      <c r="E283" s="98"/>
      <c r="F283" s="140"/>
      <c r="G283" s="133"/>
      <c r="H283" s="133"/>
      <c r="I283" s="133"/>
      <c r="J283" s="133"/>
      <c r="K283" s="133"/>
      <c r="L283" s="53" t="e">
        <f>+VLOOKUP(A283,COMISIONES!$C$2:$AQ$33,41,0)</f>
        <v>#N/A</v>
      </c>
      <c r="M283" s="7" t="e">
        <f>+VLOOKUP(A283,COMISIONES!$C$2:$C$33,1,0)</f>
        <v>#N/A</v>
      </c>
    </row>
    <row r="284" spans="1:13">
      <c r="A284" s="98"/>
      <c r="B284" s="133"/>
      <c r="C284" s="133"/>
      <c r="D284" s="137"/>
      <c r="E284" s="98"/>
      <c r="F284" s="140"/>
      <c r="G284" s="133"/>
      <c r="H284" s="133"/>
      <c r="I284" s="133"/>
      <c r="J284" s="133"/>
      <c r="K284" s="133"/>
      <c r="L284" s="53" t="e">
        <f>+VLOOKUP(A284,COMISIONES!$C$2:$AQ$33,41,0)</f>
        <v>#N/A</v>
      </c>
      <c r="M284" s="7" t="e">
        <f>+VLOOKUP(A284,COMISIONES!$C$2:$C$33,1,0)</f>
        <v>#N/A</v>
      </c>
    </row>
    <row r="285" spans="1:13">
      <c r="A285" s="98"/>
      <c r="B285" s="133"/>
      <c r="C285" s="133"/>
      <c r="D285" s="137"/>
      <c r="E285" s="98"/>
      <c r="F285" s="140"/>
      <c r="G285" s="133"/>
      <c r="H285" s="133"/>
      <c r="I285" s="133"/>
      <c r="J285" s="133"/>
      <c r="K285" s="133"/>
      <c r="L285" s="53" t="e">
        <f>+VLOOKUP(A285,COMISIONES!$C$2:$AQ$33,41,0)</f>
        <v>#N/A</v>
      </c>
      <c r="M285" s="7" t="e">
        <f>+VLOOKUP(A285,COMISIONES!$C$2:$C$33,1,0)</f>
        <v>#N/A</v>
      </c>
    </row>
    <row r="286" spans="1:13">
      <c r="A286" s="98"/>
      <c r="B286" s="133"/>
      <c r="C286" s="133"/>
      <c r="D286" s="137"/>
      <c r="E286" s="98"/>
      <c r="F286" s="140"/>
      <c r="G286" s="133"/>
      <c r="H286" s="133"/>
      <c r="I286" s="133"/>
      <c r="J286" s="133"/>
      <c r="K286" s="133"/>
      <c r="L286" s="53" t="e">
        <f>+VLOOKUP(A286,COMISIONES!$C$2:$AQ$33,41,0)</f>
        <v>#N/A</v>
      </c>
      <c r="M286" s="7" t="e">
        <f>+VLOOKUP(A286,COMISIONES!$C$2:$C$33,1,0)</f>
        <v>#N/A</v>
      </c>
    </row>
    <row r="287" spans="1:13">
      <c r="A287" s="98"/>
      <c r="B287" s="133"/>
      <c r="C287" s="133"/>
      <c r="D287" s="137"/>
      <c r="E287" s="98"/>
      <c r="F287" s="140"/>
      <c r="G287" s="133"/>
      <c r="H287" s="133"/>
      <c r="I287" s="133"/>
      <c r="J287" s="133"/>
      <c r="K287" s="133"/>
      <c r="L287" s="53" t="e">
        <f>+VLOOKUP(A287,COMISIONES!$C$2:$AQ$33,41,0)</f>
        <v>#N/A</v>
      </c>
      <c r="M287" s="7" t="e">
        <f>+VLOOKUP(A287,COMISIONES!$C$2:$C$33,1,0)</f>
        <v>#N/A</v>
      </c>
    </row>
    <row r="288" spans="1:13">
      <c r="A288" s="98"/>
      <c r="B288" s="133"/>
      <c r="C288" s="133"/>
      <c r="D288" s="137"/>
      <c r="E288" s="98"/>
      <c r="F288" s="140"/>
      <c r="G288" s="133"/>
      <c r="H288" s="133"/>
      <c r="I288" s="133"/>
      <c r="J288" s="133"/>
      <c r="K288" s="133"/>
      <c r="L288" s="53" t="e">
        <f>+VLOOKUP(A288,COMISIONES!$C$2:$AQ$33,41,0)</f>
        <v>#N/A</v>
      </c>
      <c r="M288" s="7" t="e">
        <f>+VLOOKUP(A288,COMISIONES!$C$2:$C$33,1,0)</f>
        <v>#N/A</v>
      </c>
    </row>
    <row r="289" spans="1:13">
      <c r="A289" s="98"/>
      <c r="B289" s="133"/>
      <c r="C289" s="133"/>
      <c r="D289" s="137"/>
      <c r="E289" s="98"/>
      <c r="F289" s="140"/>
      <c r="G289" s="133"/>
      <c r="H289" s="133"/>
      <c r="I289" s="133"/>
      <c r="J289" s="133"/>
      <c r="K289" s="133"/>
      <c r="L289" s="53" t="e">
        <f>+VLOOKUP(A289,COMISIONES!$C$2:$AQ$33,41,0)</f>
        <v>#N/A</v>
      </c>
      <c r="M289" s="7" t="e">
        <f>+VLOOKUP(A289,COMISIONES!$C$2:$C$33,1,0)</f>
        <v>#N/A</v>
      </c>
    </row>
    <row r="290" spans="1:13">
      <c r="A290" s="98"/>
      <c r="B290" s="133"/>
      <c r="C290" s="133"/>
      <c r="D290" s="137"/>
      <c r="E290" s="98"/>
      <c r="F290" s="140"/>
      <c r="G290" s="133"/>
      <c r="H290" s="133"/>
      <c r="I290" s="133"/>
      <c r="J290" s="133"/>
      <c r="K290" s="133"/>
      <c r="L290" s="53" t="e">
        <f>+VLOOKUP(A290,COMISIONES!$C$2:$AQ$33,41,0)</f>
        <v>#N/A</v>
      </c>
      <c r="M290" s="7" t="e">
        <f>+VLOOKUP(A290,COMISIONES!$C$2:$C$33,1,0)</f>
        <v>#N/A</v>
      </c>
    </row>
    <row r="291" spans="1:13">
      <c r="A291" s="98"/>
      <c r="B291" s="133"/>
      <c r="C291" s="133"/>
      <c r="D291" s="137"/>
      <c r="E291" s="98"/>
      <c r="F291" s="140"/>
      <c r="G291" s="133"/>
      <c r="H291" s="133"/>
      <c r="I291" s="133"/>
      <c r="J291" s="133"/>
      <c r="K291" s="133"/>
      <c r="L291" s="53" t="e">
        <f>+VLOOKUP(A291,COMISIONES!$C$2:$AQ$33,41,0)</f>
        <v>#N/A</v>
      </c>
      <c r="M291" s="7" t="e">
        <f>+VLOOKUP(A291,COMISIONES!$C$2:$C$33,1,0)</f>
        <v>#N/A</v>
      </c>
    </row>
    <row r="292" spans="1:13">
      <c r="A292" s="98"/>
      <c r="B292" s="133"/>
      <c r="C292" s="133"/>
      <c r="D292" s="137"/>
      <c r="E292" s="98"/>
      <c r="F292" s="140"/>
      <c r="G292" s="133"/>
      <c r="H292" s="133"/>
      <c r="I292" s="133"/>
      <c r="J292" s="133"/>
      <c r="K292" s="133"/>
      <c r="L292" s="53" t="e">
        <f>+VLOOKUP(A292,COMISIONES!$C$2:$AQ$33,41,0)</f>
        <v>#N/A</v>
      </c>
      <c r="M292" s="7" t="e">
        <f>+VLOOKUP(A292,COMISIONES!$C$2:$C$33,1,0)</f>
        <v>#N/A</v>
      </c>
    </row>
    <row r="293" spans="1:13">
      <c r="A293" s="98"/>
      <c r="B293" s="133"/>
      <c r="C293" s="133"/>
      <c r="D293" s="137"/>
      <c r="E293" s="98"/>
      <c r="F293" s="140"/>
      <c r="G293" s="133"/>
      <c r="H293" s="133"/>
      <c r="I293" s="133"/>
      <c r="J293" s="133"/>
      <c r="K293" s="133"/>
      <c r="L293" s="53" t="e">
        <f>+VLOOKUP(A293,COMISIONES!$C$2:$AQ$33,41,0)</f>
        <v>#N/A</v>
      </c>
      <c r="M293" s="7" t="e">
        <f>+VLOOKUP(A293,COMISIONES!$C$2:$C$33,1,0)</f>
        <v>#N/A</v>
      </c>
    </row>
    <row r="294" spans="1:13">
      <c r="A294" s="98"/>
      <c r="B294" s="133"/>
      <c r="C294" s="133"/>
      <c r="D294" s="137"/>
      <c r="E294" s="98"/>
      <c r="F294" s="140"/>
      <c r="G294" s="133"/>
      <c r="H294" s="133"/>
      <c r="I294" s="133"/>
      <c r="J294" s="133"/>
      <c r="K294" s="133"/>
      <c r="L294" s="53" t="e">
        <f>+VLOOKUP(A294,COMISIONES!$C$2:$AQ$33,41,0)</f>
        <v>#N/A</v>
      </c>
      <c r="M294" s="7" t="e">
        <f>+VLOOKUP(A294,COMISIONES!$C$2:$C$33,1,0)</f>
        <v>#N/A</v>
      </c>
    </row>
    <row r="295" spans="1:13">
      <c r="A295" s="98"/>
      <c r="B295" s="133"/>
      <c r="C295" s="133"/>
      <c r="D295" s="137"/>
      <c r="E295" s="98"/>
      <c r="F295" s="140"/>
      <c r="G295" s="133"/>
      <c r="H295" s="133"/>
      <c r="I295" s="133"/>
      <c r="J295" s="133"/>
      <c r="K295" s="133"/>
      <c r="L295" s="53" t="e">
        <f>+VLOOKUP(A295,COMISIONES!$C$2:$AQ$33,41,0)</f>
        <v>#N/A</v>
      </c>
      <c r="M295" s="7" t="e">
        <f>+VLOOKUP(A295,COMISIONES!$C$2:$C$33,1,0)</f>
        <v>#N/A</v>
      </c>
    </row>
    <row r="296" spans="1:13">
      <c r="A296" s="98"/>
      <c r="B296" s="133"/>
      <c r="C296" s="133"/>
      <c r="D296" s="137"/>
      <c r="E296" s="98"/>
      <c r="F296" s="140"/>
      <c r="G296" s="133"/>
      <c r="H296" s="133"/>
      <c r="I296" s="133"/>
      <c r="J296" s="133"/>
      <c r="K296" s="133"/>
      <c r="L296" s="53" t="e">
        <f>+VLOOKUP(A296,COMISIONES!$C$2:$AQ$33,41,0)</f>
        <v>#N/A</v>
      </c>
      <c r="M296" s="7" t="e">
        <f>+VLOOKUP(A296,COMISIONES!$C$2:$C$33,1,0)</f>
        <v>#N/A</v>
      </c>
    </row>
    <row r="297" spans="1:13">
      <c r="A297" s="98"/>
      <c r="B297" s="133"/>
      <c r="C297" s="133"/>
      <c r="D297" s="137"/>
      <c r="E297" s="98"/>
      <c r="F297" s="140"/>
      <c r="G297" s="133"/>
      <c r="H297" s="133"/>
      <c r="I297" s="133"/>
      <c r="J297" s="133"/>
      <c r="K297" s="133"/>
      <c r="L297" s="53" t="e">
        <f>+VLOOKUP(A297,COMISIONES!$C$2:$AQ$33,41,0)</f>
        <v>#N/A</v>
      </c>
      <c r="M297" s="7" t="e">
        <f>+VLOOKUP(A297,COMISIONES!$C$2:$C$33,1,0)</f>
        <v>#N/A</v>
      </c>
    </row>
    <row r="298" spans="1:13">
      <c r="A298" s="98"/>
      <c r="B298" s="133"/>
      <c r="C298" s="133"/>
      <c r="D298" s="137"/>
      <c r="E298" s="98"/>
      <c r="F298" s="140"/>
      <c r="G298" s="133"/>
      <c r="H298" s="133"/>
      <c r="I298" s="133"/>
      <c r="J298" s="133"/>
      <c r="K298" s="133"/>
      <c r="L298" s="53" t="e">
        <f>+VLOOKUP(A298,COMISIONES!$C$2:$AQ$33,41,0)</f>
        <v>#N/A</v>
      </c>
      <c r="M298" s="7" t="e">
        <f>+VLOOKUP(A298,COMISIONES!$C$2:$C$33,1,0)</f>
        <v>#N/A</v>
      </c>
    </row>
    <row r="299" spans="1:13">
      <c r="A299" s="98"/>
      <c r="B299" s="133"/>
      <c r="C299" s="133"/>
      <c r="D299" s="137"/>
      <c r="E299" s="98"/>
      <c r="F299" s="140"/>
      <c r="G299" s="133"/>
      <c r="H299" s="133"/>
      <c r="I299" s="133"/>
      <c r="J299" s="133"/>
      <c r="K299" s="133"/>
      <c r="L299" s="53" t="e">
        <f>+VLOOKUP(A299,COMISIONES!$C$2:$AQ$33,41,0)</f>
        <v>#N/A</v>
      </c>
      <c r="M299" s="7" t="e">
        <f>+VLOOKUP(A299,COMISIONES!$C$2:$C$33,1,0)</f>
        <v>#N/A</v>
      </c>
    </row>
    <row r="300" spans="1:13">
      <c r="A300" s="98"/>
      <c r="B300" s="133"/>
      <c r="C300" s="133"/>
      <c r="D300" s="137"/>
      <c r="E300" s="98"/>
      <c r="F300" s="140"/>
      <c r="G300" s="133"/>
      <c r="H300" s="133"/>
      <c r="I300" s="133"/>
      <c r="J300" s="133"/>
      <c r="K300" s="133"/>
      <c r="L300" s="53" t="e">
        <f>+VLOOKUP(A300,COMISIONES!$C$2:$AQ$33,41,0)</f>
        <v>#N/A</v>
      </c>
      <c r="M300" s="7" t="e">
        <f>+VLOOKUP(A300,COMISIONES!$C$2:$C$33,1,0)</f>
        <v>#N/A</v>
      </c>
    </row>
    <row r="301" spans="1:13">
      <c r="A301" s="98"/>
      <c r="B301" s="133"/>
      <c r="C301" s="133"/>
      <c r="D301" s="137"/>
      <c r="E301" s="98"/>
      <c r="F301" s="140"/>
      <c r="G301" s="133"/>
      <c r="H301" s="133"/>
      <c r="I301" s="133"/>
      <c r="J301" s="133"/>
      <c r="K301" s="133"/>
      <c r="L301" s="53" t="e">
        <f>+VLOOKUP(A301,COMISIONES!$C$2:$AQ$33,41,0)</f>
        <v>#N/A</v>
      </c>
      <c r="M301" s="7" t="e">
        <f>+VLOOKUP(A301,COMISIONES!$C$2:$C$33,1,0)</f>
        <v>#N/A</v>
      </c>
    </row>
    <row r="302" spans="1:13">
      <c r="A302" s="98"/>
      <c r="B302" s="133"/>
      <c r="C302" s="133"/>
      <c r="D302" s="137"/>
      <c r="E302" s="98"/>
      <c r="F302" s="140"/>
      <c r="G302" s="133"/>
      <c r="H302" s="133"/>
      <c r="I302" s="133"/>
      <c r="J302" s="133"/>
      <c r="K302" s="133"/>
      <c r="L302" s="53" t="e">
        <f>+VLOOKUP(A302,COMISIONES!$C$2:$AQ$33,41,0)</f>
        <v>#N/A</v>
      </c>
      <c r="M302" s="7" t="e">
        <f>+VLOOKUP(A302,COMISIONES!$C$2:$C$33,1,0)</f>
        <v>#N/A</v>
      </c>
    </row>
    <row r="303" spans="1:13">
      <c r="A303" s="98"/>
      <c r="B303" s="133"/>
      <c r="C303" s="133"/>
      <c r="D303" s="137"/>
      <c r="E303" s="98"/>
      <c r="F303" s="140"/>
      <c r="G303" s="133"/>
      <c r="H303" s="133"/>
      <c r="I303" s="133"/>
      <c r="J303" s="133"/>
      <c r="K303" s="133"/>
      <c r="L303" s="53" t="e">
        <f>+VLOOKUP(A303,COMISIONES!$C$2:$AQ$33,41,0)</f>
        <v>#N/A</v>
      </c>
      <c r="M303" s="7" t="e">
        <f>+VLOOKUP(A303,COMISIONES!$C$2:$C$33,1,0)</f>
        <v>#N/A</v>
      </c>
    </row>
    <row r="304" spans="1:13">
      <c r="A304" s="98"/>
      <c r="B304" s="133"/>
      <c r="C304" s="133"/>
      <c r="D304" s="137"/>
      <c r="E304" s="98"/>
      <c r="F304" s="140"/>
      <c r="G304" s="133"/>
      <c r="H304" s="133"/>
      <c r="I304" s="133"/>
      <c r="J304" s="133"/>
      <c r="K304" s="133"/>
      <c r="L304" s="53" t="e">
        <f>+VLOOKUP(A304,COMISIONES!$C$2:$AQ$33,41,0)</f>
        <v>#N/A</v>
      </c>
      <c r="M304" s="7" t="e">
        <f>+VLOOKUP(A304,COMISIONES!$C$2:$C$33,1,0)</f>
        <v>#N/A</v>
      </c>
    </row>
    <row r="305" spans="1:13">
      <c r="A305" s="98"/>
      <c r="B305" s="133"/>
      <c r="C305" s="133"/>
      <c r="D305" s="137"/>
      <c r="E305" s="98"/>
      <c r="F305" s="140"/>
      <c r="G305" s="133"/>
      <c r="H305" s="133"/>
      <c r="I305" s="133"/>
      <c r="J305" s="133"/>
      <c r="K305" s="133"/>
      <c r="L305" s="53" t="e">
        <f>+VLOOKUP(A305,COMISIONES!$C$2:$AQ$33,41,0)</f>
        <v>#N/A</v>
      </c>
      <c r="M305" s="7" t="e">
        <f>+VLOOKUP(A305,COMISIONES!$C$2:$C$33,1,0)</f>
        <v>#N/A</v>
      </c>
    </row>
    <row r="306" spans="1:13">
      <c r="A306" s="98"/>
      <c r="B306" s="133"/>
      <c r="C306" s="133"/>
      <c r="D306" s="137"/>
      <c r="E306" s="98"/>
      <c r="F306" s="140"/>
      <c r="G306" s="133"/>
      <c r="H306" s="133"/>
      <c r="I306" s="133"/>
      <c r="J306" s="133"/>
      <c r="K306" s="133"/>
      <c r="L306" s="53" t="e">
        <f>+VLOOKUP(A306,COMISIONES!$C$2:$AQ$33,41,0)</f>
        <v>#N/A</v>
      </c>
      <c r="M306" s="7" t="e">
        <f>+VLOOKUP(A306,COMISIONES!$C$2:$C$33,1,0)</f>
        <v>#N/A</v>
      </c>
    </row>
    <row r="307" spans="1:13">
      <c r="A307" s="98"/>
      <c r="B307" s="133"/>
      <c r="C307" s="133"/>
      <c r="D307" s="137"/>
      <c r="E307" s="98"/>
      <c r="F307" s="140"/>
      <c r="G307" s="133"/>
      <c r="H307" s="133"/>
      <c r="I307" s="133"/>
      <c r="J307" s="133"/>
      <c r="K307" s="133"/>
      <c r="L307" s="53" t="e">
        <f>+VLOOKUP(A307,COMISIONES!$C$2:$AQ$33,41,0)</f>
        <v>#N/A</v>
      </c>
      <c r="M307" s="7" t="e">
        <f>+VLOOKUP(A307,COMISIONES!$C$2:$C$33,1,0)</f>
        <v>#N/A</v>
      </c>
    </row>
    <row r="308" spans="1:13">
      <c r="A308" s="98"/>
      <c r="B308" s="133"/>
      <c r="C308" s="133"/>
      <c r="D308" s="137"/>
      <c r="E308" s="98"/>
      <c r="F308" s="140"/>
      <c r="G308" s="133"/>
      <c r="H308" s="133"/>
      <c r="I308" s="133"/>
      <c r="J308" s="133"/>
      <c r="K308" s="133"/>
      <c r="L308" s="53" t="e">
        <f>+VLOOKUP(A308,COMISIONES!$C$2:$AQ$33,41,0)</f>
        <v>#N/A</v>
      </c>
      <c r="M308" s="7" t="e">
        <f>+VLOOKUP(A308,COMISIONES!$C$2:$C$33,1,0)</f>
        <v>#N/A</v>
      </c>
    </row>
    <row r="309" spans="1:13">
      <c r="A309" s="98"/>
      <c r="B309" s="133"/>
      <c r="C309" s="133"/>
      <c r="D309" s="137"/>
      <c r="E309" s="98"/>
      <c r="F309" s="140"/>
      <c r="G309" s="133"/>
      <c r="H309" s="133"/>
      <c r="I309" s="133"/>
      <c r="J309" s="133"/>
      <c r="K309" s="133"/>
      <c r="L309" s="53" t="e">
        <f>+VLOOKUP(A309,COMISIONES!$C$2:$AQ$33,41,0)</f>
        <v>#N/A</v>
      </c>
      <c r="M309" s="7" t="e">
        <f>+VLOOKUP(A309,COMISIONES!$C$2:$C$33,1,0)</f>
        <v>#N/A</v>
      </c>
    </row>
    <row r="310" spans="1:13">
      <c r="A310" s="98"/>
      <c r="B310" s="133"/>
      <c r="C310" s="133"/>
      <c r="D310" s="137"/>
      <c r="E310" s="98"/>
      <c r="F310" s="140"/>
      <c r="G310" s="133"/>
      <c r="H310" s="133"/>
      <c r="I310" s="133"/>
      <c r="J310" s="133"/>
      <c r="K310" s="133"/>
      <c r="L310" s="53" t="e">
        <f>+VLOOKUP(A310,COMISIONES!$C$2:$AQ$33,41,0)</f>
        <v>#N/A</v>
      </c>
      <c r="M310" s="7" t="e">
        <f>+VLOOKUP(A310,COMISIONES!$C$2:$C$33,1,0)</f>
        <v>#N/A</v>
      </c>
    </row>
    <row r="311" spans="1:13">
      <c r="A311" s="98"/>
      <c r="B311" s="133"/>
      <c r="C311" s="133"/>
      <c r="D311" s="137"/>
      <c r="E311" s="98"/>
      <c r="F311" s="140"/>
      <c r="G311" s="133"/>
      <c r="H311" s="133"/>
      <c r="I311" s="133"/>
      <c r="J311" s="133"/>
      <c r="K311" s="133"/>
      <c r="L311" s="53" t="e">
        <f>+VLOOKUP(A311,COMISIONES!$C$2:$AQ$33,41,0)</f>
        <v>#N/A</v>
      </c>
      <c r="M311" s="7" t="e">
        <f>+VLOOKUP(A311,COMISIONES!$C$2:$C$33,1,0)</f>
        <v>#N/A</v>
      </c>
    </row>
    <row r="312" spans="1:13">
      <c r="A312" s="98"/>
      <c r="B312" s="133"/>
      <c r="C312" s="133"/>
      <c r="D312" s="137"/>
      <c r="E312" s="98"/>
      <c r="F312" s="140"/>
      <c r="G312" s="133"/>
      <c r="H312" s="133"/>
      <c r="I312" s="133"/>
      <c r="J312" s="133"/>
      <c r="K312" s="133"/>
      <c r="L312" s="53" t="e">
        <f>+VLOOKUP(A312,COMISIONES!$C$2:$AQ$33,41,0)</f>
        <v>#N/A</v>
      </c>
      <c r="M312" s="7" t="e">
        <f>+VLOOKUP(A312,COMISIONES!$C$2:$C$33,1,0)</f>
        <v>#N/A</v>
      </c>
    </row>
    <row r="313" spans="1:13">
      <c r="A313" s="98"/>
      <c r="B313" s="133"/>
      <c r="C313" s="133"/>
      <c r="D313" s="137"/>
      <c r="E313" s="98"/>
      <c r="F313" s="140"/>
      <c r="G313" s="133"/>
      <c r="H313" s="133"/>
      <c r="I313" s="133"/>
      <c r="J313" s="133"/>
      <c r="K313" s="133"/>
      <c r="L313" s="53" t="e">
        <f>+VLOOKUP(A313,COMISIONES!$C$2:$AQ$33,41,0)</f>
        <v>#N/A</v>
      </c>
      <c r="M313" s="7" t="e">
        <f>+VLOOKUP(A313,COMISIONES!$C$2:$C$33,1,0)</f>
        <v>#N/A</v>
      </c>
    </row>
    <row r="314" spans="1:13">
      <c r="A314" s="142"/>
      <c r="B314" s="133"/>
      <c r="C314" s="136"/>
      <c r="D314" s="141"/>
      <c r="E314" s="142"/>
      <c r="F314" s="142"/>
      <c r="G314" s="98"/>
      <c r="H314" s="142"/>
      <c r="I314" s="142"/>
      <c r="J314" s="142"/>
      <c r="K314" s="142"/>
      <c r="L314" s="53" t="e">
        <f>+VLOOKUP(A314,COMISIONES!$C$2:$AQ$33,41,0)</f>
        <v>#N/A</v>
      </c>
      <c r="M314" s="7" t="e">
        <f>+VLOOKUP(A314,COMISIONES!$C$2:$C$33,1,0)</f>
        <v>#N/A</v>
      </c>
    </row>
    <row r="315" spans="1:13">
      <c r="A315" s="142"/>
      <c r="B315" s="133"/>
      <c r="C315" s="136"/>
      <c r="D315" s="141"/>
      <c r="E315" s="142"/>
      <c r="F315" s="142"/>
      <c r="G315" s="98"/>
      <c r="H315" s="142"/>
      <c r="I315" s="142"/>
      <c r="J315" s="142"/>
      <c r="K315" s="142"/>
      <c r="L315" s="53" t="e">
        <f>+VLOOKUP(A315,COMISIONES!$C$2:$AQ$33,41,0)</f>
        <v>#N/A</v>
      </c>
      <c r="M315" s="7" t="e">
        <f>+VLOOKUP(A315,COMISIONES!$C$2:$C$33,1,0)</f>
        <v>#N/A</v>
      </c>
    </row>
    <row r="316" spans="1:13">
      <c r="A316" s="142"/>
      <c r="B316" s="133"/>
      <c r="C316" s="136"/>
      <c r="D316" s="141"/>
      <c r="E316" s="142"/>
      <c r="F316" s="142"/>
      <c r="G316" s="98"/>
      <c r="H316" s="142"/>
      <c r="I316" s="142"/>
      <c r="J316" s="142"/>
      <c r="K316" s="142"/>
      <c r="L316" s="53" t="e">
        <f>+VLOOKUP(A316,COMISIONES!$C$2:$AQ$33,41,0)</f>
        <v>#N/A</v>
      </c>
      <c r="M316" s="7" t="e">
        <f>+VLOOKUP(A316,COMISIONES!$C$2:$C$33,1,0)</f>
        <v>#N/A</v>
      </c>
    </row>
    <row r="317" spans="1:13">
      <c r="A317" s="142"/>
      <c r="B317" s="133"/>
      <c r="C317" s="136"/>
      <c r="D317" s="141"/>
      <c r="E317" s="142"/>
      <c r="F317" s="142"/>
      <c r="G317" s="98"/>
      <c r="H317" s="142"/>
      <c r="I317" s="142"/>
      <c r="J317" s="142"/>
      <c r="K317" s="142"/>
      <c r="L317" s="53" t="e">
        <f>+VLOOKUP(A317,COMISIONES!$C$2:$AQ$33,41,0)</f>
        <v>#N/A</v>
      </c>
      <c r="M317" s="7" t="e">
        <f>+VLOOKUP(A317,COMISIONES!$C$2:$C$33,1,0)</f>
        <v>#N/A</v>
      </c>
    </row>
    <row r="318" spans="1:13">
      <c r="A318" s="142"/>
      <c r="B318" s="133"/>
      <c r="C318" s="136"/>
      <c r="D318" s="141"/>
      <c r="E318" s="142"/>
      <c r="F318" s="142"/>
      <c r="G318" s="98"/>
      <c r="H318" s="142"/>
      <c r="I318" s="142"/>
      <c r="J318" s="142"/>
      <c r="K318" s="142"/>
      <c r="L318" s="53" t="e">
        <f>+VLOOKUP(A318,COMISIONES!$C$2:$AQ$33,41,0)</f>
        <v>#N/A</v>
      </c>
      <c r="M318" s="7" t="e">
        <f>+VLOOKUP(A318,COMISIONES!$C$2:$C$33,1,0)</f>
        <v>#N/A</v>
      </c>
    </row>
    <row r="319" spans="1:13">
      <c r="A319" s="142"/>
      <c r="B319" s="133"/>
      <c r="C319" s="136"/>
      <c r="D319" s="141"/>
      <c r="E319" s="142"/>
      <c r="F319" s="142"/>
      <c r="G319" s="98"/>
      <c r="H319" s="142"/>
      <c r="I319" s="142"/>
      <c r="J319" s="142"/>
      <c r="K319" s="142"/>
      <c r="L319" s="53" t="e">
        <f>+VLOOKUP(A319,COMISIONES!$C$2:$AQ$33,41,0)</f>
        <v>#N/A</v>
      </c>
      <c r="M319" s="7" t="e">
        <f>+VLOOKUP(A319,COMISIONES!$C$2:$C$33,1,0)</f>
        <v>#N/A</v>
      </c>
    </row>
    <row r="320" spans="1:13">
      <c r="A320" s="142"/>
      <c r="B320" s="133"/>
      <c r="C320" s="136"/>
      <c r="D320" s="141"/>
      <c r="E320" s="142"/>
      <c r="F320" s="142"/>
      <c r="G320" s="98"/>
      <c r="H320" s="142"/>
      <c r="I320" s="142"/>
      <c r="J320" s="142"/>
      <c r="K320" s="142"/>
      <c r="L320" s="53" t="e">
        <f>+VLOOKUP(A320,COMISIONES!$C$2:$AQ$33,41,0)</f>
        <v>#N/A</v>
      </c>
      <c r="M320" s="7" t="e">
        <f>+VLOOKUP(A320,COMISIONES!$C$2:$C$33,1,0)</f>
        <v>#N/A</v>
      </c>
    </row>
    <row r="321" spans="1:13">
      <c r="A321" s="142"/>
      <c r="B321" s="133"/>
      <c r="C321" s="136"/>
      <c r="D321" s="141"/>
      <c r="E321" s="142"/>
      <c r="F321" s="142"/>
      <c r="G321" s="98"/>
      <c r="H321" s="142"/>
      <c r="I321" s="142"/>
      <c r="J321" s="142"/>
      <c r="K321" s="142"/>
      <c r="L321" s="53" t="e">
        <f>+VLOOKUP(A321,COMISIONES!$C$2:$AQ$33,41,0)</f>
        <v>#N/A</v>
      </c>
      <c r="M321" s="7" t="e">
        <f>+VLOOKUP(A321,COMISIONES!$C$2:$C$33,1,0)</f>
        <v>#N/A</v>
      </c>
    </row>
    <row r="322" spans="1:13">
      <c r="A322" s="142"/>
      <c r="B322" s="133"/>
      <c r="C322" s="136"/>
      <c r="D322" s="141"/>
      <c r="E322" s="142"/>
      <c r="F322" s="142"/>
      <c r="G322" s="98"/>
      <c r="H322" s="142"/>
      <c r="I322" s="142"/>
      <c r="J322" s="142"/>
      <c r="K322" s="142"/>
      <c r="L322" s="53" t="e">
        <f>+VLOOKUP(A322,COMISIONES!$C$2:$AQ$33,41,0)</f>
        <v>#N/A</v>
      </c>
      <c r="M322" s="7" t="e">
        <f>+VLOOKUP(A322,COMISIONES!$C$2:$C$33,1,0)</f>
        <v>#N/A</v>
      </c>
    </row>
    <row r="323" spans="1:13">
      <c r="A323" s="142"/>
      <c r="B323" s="133"/>
      <c r="C323" s="136"/>
      <c r="D323" s="141"/>
      <c r="E323" s="142"/>
      <c r="F323" s="142"/>
      <c r="G323" s="98"/>
      <c r="H323" s="142"/>
      <c r="I323" s="142"/>
      <c r="J323" s="142"/>
      <c r="K323" s="142"/>
      <c r="L323" s="53" t="e">
        <f>+VLOOKUP(A323,COMISIONES!$C$2:$AQ$33,41,0)</f>
        <v>#N/A</v>
      </c>
      <c r="M323" s="7" t="e">
        <f>+VLOOKUP(A323,COMISIONES!$C$2:$C$33,1,0)</f>
        <v>#N/A</v>
      </c>
    </row>
    <row r="324" spans="1:13">
      <c r="A324" s="142"/>
      <c r="B324" s="133"/>
      <c r="C324" s="136"/>
      <c r="D324" s="141"/>
      <c r="E324" s="142"/>
      <c r="F324" s="142"/>
      <c r="G324" s="98"/>
      <c r="H324" s="142"/>
      <c r="I324" s="142"/>
      <c r="J324" s="142"/>
      <c r="K324" s="142"/>
      <c r="L324" s="53" t="e">
        <f>+VLOOKUP(A324,COMISIONES!$C$2:$AQ$33,41,0)</f>
        <v>#N/A</v>
      </c>
      <c r="M324" s="7" t="e">
        <f>+VLOOKUP(A324,COMISIONES!$C$2:$C$33,1,0)</f>
        <v>#N/A</v>
      </c>
    </row>
    <row r="325" spans="1:13">
      <c r="A325" s="142"/>
      <c r="B325" s="133"/>
      <c r="C325" s="136"/>
      <c r="D325" s="141"/>
      <c r="E325" s="142"/>
      <c r="F325" s="142"/>
      <c r="G325" s="98"/>
      <c r="H325" s="142"/>
      <c r="I325" s="142"/>
      <c r="J325" s="142"/>
      <c r="K325" s="142"/>
      <c r="L325" s="53" t="e">
        <f>+VLOOKUP(A325,COMISIONES!$C$2:$AQ$33,41,0)</f>
        <v>#N/A</v>
      </c>
      <c r="M325" s="7" t="e">
        <f>+VLOOKUP(A325,COMISIONES!$C$2:$C$33,1,0)</f>
        <v>#N/A</v>
      </c>
    </row>
    <row r="326" spans="1:13">
      <c r="A326" s="142"/>
      <c r="B326" s="133"/>
      <c r="C326" s="136"/>
      <c r="D326" s="141"/>
      <c r="E326" s="142"/>
      <c r="F326" s="142"/>
      <c r="G326" s="98"/>
      <c r="H326" s="142"/>
      <c r="I326" s="142"/>
      <c r="J326" s="142"/>
      <c r="K326" s="142"/>
      <c r="L326" s="53" t="e">
        <f>+VLOOKUP(A326,COMISIONES!$C$2:$AQ$33,41,0)</f>
        <v>#N/A</v>
      </c>
      <c r="M326" s="7" t="e">
        <f>+VLOOKUP(A326,COMISIONES!$C$2:$C$33,1,0)</f>
        <v>#N/A</v>
      </c>
    </row>
    <row r="327" spans="1:13">
      <c r="A327" s="142"/>
      <c r="B327" s="133"/>
      <c r="C327" s="136"/>
      <c r="D327" s="141"/>
      <c r="E327" s="142"/>
      <c r="F327" s="142"/>
      <c r="G327" s="98"/>
      <c r="H327" s="142"/>
      <c r="I327" s="142"/>
      <c r="J327" s="142"/>
      <c r="K327" s="142"/>
      <c r="L327" s="53" t="e">
        <f>+VLOOKUP(A327,COMISIONES!$C$2:$AQ$33,41,0)</f>
        <v>#N/A</v>
      </c>
      <c r="M327" s="7" t="e">
        <f>+VLOOKUP(A327,COMISIONES!$C$2:$C$33,1,0)</f>
        <v>#N/A</v>
      </c>
    </row>
    <row r="328" spans="1:13">
      <c r="A328" s="142"/>
      <c r="B328" s="133"/>
      <c r="C328" s="136"/>
      <c r="D328" s="141"/>
      <c r="E328" s="142"/>
      <c r="F328" s="142"/>
      <c r="G328" s="98"/>
      <c r="H328" s="142"/>
      <c r="I328" s="142"/>
      <c r="J328" s="142"/>
      <c r="K328" s="142"/>
      <c r="L328" s="53" t="e">
        <f>+VLOOKUP(A328,COMISIONES!$C$2:$AQ$33,41,0)</f>
        <v>#N/A</v>
      </c>
      <c r="M328" s="7" t="e">
        <f>+VLOOKUP(A328,COMISIONES!$C$2:$C$33,1,0)</f>
        <v>#N/A</v>
      </c>
    </row>
    <row r="329" spans="1:13">
      <c r="A329" s="142"/>
      <c r="B329" s="133"/>
      <c r="C329" s="136"/>
      <c r="D329" s="141"/>
      <c r="E329" s="142"/>
      <c r="F329" s="142"/>
      <c r="G329" s="98"/>
      <c r="H329" s="142"/>
      <c r="I329" s="142"/>
      <c r="J329" s="142"/>
      <c r="K329" s="142"/>
      <c r="L329" s="53" t="e">
        <f>+VLOOKUP(A329,COMISIONES!$C$2:$AQ$33,41,0)</f>
        <v>#N/A</v>
      </c>
      <c r="M329" s="7" t="e">
        <f>+VLOOKUP(A329,COMISIONES!$C$2:$C$33,1,0)</f>
        <v>#N/A</v>
      </c>
    </row>
    <row r="330" spans="1:13">
      <c r="A330" s="142"/>
      <c r="B330" s="133"/>
      <c r="C330" s="136"/>
      <c r="D330" s="141"/>
      <c r="E330" s="142"/>
      <c r="F330" s="142"/>
      <c r="G330" s="98"/>
      <c r="H330" s="142"/>
      <c r="I330" s="142"/>
      <c r="J330" s="142"/>
      <c r="K330" s="142"/>
      <c r="L330" s="53" t="e">
        <f>+VLOOKUP(A330,COMISIONES!$C$2:$AQ$33,41,0)</f>
        <v>#N/A</v>
      </c>
      <c r="M330" s="7" t="e">
        <f>+VLOOKUP(A330,COMISIONES!$C$2:$C$33,1,0)</f>
        <v>#N/A</v>
      </c>
    </row>
    <row r="331" spans="1:13">
      <c r="A331" s="142"/>
      <c r="B331" s="133"/>
      <c r="C331" s="136"/>
      <c r="D331" s="141"/>
      <c r="E331" s="142"/>
      <c r="F331" s="142"/>
      <c r="G331" s="98"/>
      <c r="H331" s="142"/>
      <c r="I331" s="142"/>
      <c r="J331" s="142"/>
      <c r="K331" s="142"/>
      <c r="L331" s="53" t="e">
        <f>+VLOOKUP(A331,COMISIONES!$C$2:$AQ$33,41,0)</f>
        <v>#N/A</v>
      </c>
      <c r="M331" s="7" t="e">
        <f>+VLOOKUP(A331,COMISIONES!$C$2:$C$33,1,0)</f>
        <v>#N/A</v>
      </c>
    </row>
    <row r="332" spans="1:13">
      <c r="A332" s="142"/>
      <c r="B332" s="133"/>
      <c r="C332" s="136"/>
      <c r="D332" s="141"/>
      <c r="E332" s="142"/>
      <c r="F332" s="142"/>
      <c r="G332" s="98"/>
      <c r="H332" s="142"/>
      <c r="I332" s="142"/>
      <c r="J332" s="142"/>
      <c r="K332" s="142"/>
      <c r="L332" s="53" t="e">
        <f>+VLOOKUP(A332,COMISIONES!$C$2:$AQ$33,41,0)</f>
        <v>#N/A</v>
      </c>
      <c r="M332" s="7" t="e">
        <f>+VLOOKUP(A332,COMISIONES!$C$2:$C$33,1,0)</f>
        <v>#N/A</v>
      </c>
    </row>
    <row r="333" spans="1:13">
      <c r="A333" s="142"/>
      <c r="B333" s="133"/>
      <c r="C333" s="136"/>
      <c r="D333" s="141"/>
      <c r="E333" s="142"/>
      <c r="F333" s="142"/>
      <c r="G333" s="98"/>
      <c r="H333" s="142"/>
      <c r="I333" s="142"/>
      <c r="J333" s="142"/>
      <c r="K333" s="142"/>
      <c r="L333" s="53" t="e">
        <f>+VLOOKUP(A333,COMISIONES!$C$2:$AQ$33,41,0)</f>
        <v>#N/A</v>
      </c>
      <c r="M333" s="7" t="e">
        <f>+VLOOKUP(A333,COMISIONES!$C$2:$C$33,1,0)</f>
        <v>#N/A</v>
      </c>
    </row>
    <row r="334" spans="1:13">
      <c r="A334" s="142"/>
      <c r="B334" s="133"/>
      <c r="C334" s="136"/>
      <c r="D334" s="141"/>
      <c r="E334" s="142"/>
      <c r="F334" s="142"/>
      <c r="G334" s="98"/>
      <c r="H334" s="142"/>
      <c r="I334" s="142"/>
      <c r="J334" s="142"/>
      <c r="K334" s="142"/>
      <c r="L334" s="53" t="e">
        <f>+VLOOKUP(A334,COMISIONES!$C$2:$AQ$33,41,0)</f>
        <v>#N/A</v>
      </c>
      <c r="M334" s="7" t="e">
        <f>+VLOOKUP(A334,COMISIONES!$C$2:$C$33,1,0)</f>
        <v>#N/A</v>
      </c>
    </row>
    <row r="335" spans="1:13">
      <c r="A335" s="142"/>
      <c r="B335" s="133"/>
      <c r="C335" s="136"/>
      <c r="D335" s="141"/>
      <c r="E335" s="142"/>
      <c r="F335" s="142"/>
      <c r="G335" s="98"/>
      <c r="H335" s="142"/>
      <c r="I335" s="142"/>
      <c r="J335" s="142"/>
      <c r="K335" s="142"/>
      <c r="L335" s="53" t="e">
        <f>+VLOOKUP(A335,COMISIONES!$C$2:$AQ$33,41,0)</f>
        <v>#N/A</v>
      </c>
      <c r="M335" s="7" t="e">
        <f>+VLOOKUP(A335,COMISIONES!$C$2:$C$33,1,0)</f>
        <v>#N/A</v>
      </c>
    </row>
    <row r="336" spans="1:13">
      <c r="A336" s="142"/>
      <c r="B336" s="133"/>
      <c r="C336" s="136"/>
      <c r="D336" s="141"/>
      <c r="E336" s="142"/>
      <c r="F336" s="142"/>
      <c r="G336" s="98"/>
      <c r="H336" s="142"/>
      <c r="I336" s="142"/>
      <c r="J336" s="142"/>
      <c r="K336" s="142"/>
      <c r="L336" s="53" t="e">
        <f>+VLOOKUP(A336,COMISIONES!$C$2:$AQ$33,41,0)</f>
        <v>#N/A</v>
      </c>
      <c r="M336" s="7" t="e">
        <f>+VLOOKUP(A336,COMISIONES!$C$2:$C$33,1,0)</f>
        <v>#N/A</v>
      </c>
    </row>
    <row r="337" spans="1:13">
      <c r="A337" s="142"/>
      <c r="B337" s="133"/>
      <c r="C337" s="136"/>
      <c r="D337" s="141"/>
      <c r="E337" s="142"/>
      <c r="F337" s="142"/>
      <c r="G337" s="98"/>
      <c r="H337" s="142"/>
      <c r="I337" s="142"/>
      <c r="J337" s="142"/>
      <c r="K337" s="142"/>
      <c r="L337" s="53" t="e">
        <f>+VLOOKUP(A337,COMISIONES!$C$2:$AQ$33,41,0)</f>
        <v>#N/A</v>
      </c>
      <c r="M337" s="7" t="e">
        <f>+VLOOKUP(A337,COMISIONES!$C$2:$C$33,1,0)</f>
        <v>#N/A</v>
      </c>
    </row>
    <row r="338" spans="1:13">
      <c r="A338" s="142"/>
      <c r="B338" s="133"/>
      <c r="C338" s="136"/>
      <c r="D338" s="141"/>
      <c r="E338" s="142"/>
      <c r="F338" s="142"/>
      <c r="G338" s="98"/>
      <c r="H338" s="142"/>
      <c r="I338" s="142"/>
      <c r="J338" s="142"/>
      <c r="K338" s="142"/>
      <c r="L338" s="53" t="e">
        <f>+VLOOKUP(A338,COMISIONES!$C$2:$AQ$33,41,0)</f>
        <v>#N/A</v>
      </c>
      <c r="M338" s="7" t="e">
        <f>+VLOOKUP(A338,COMISIONES!$C$2:$C$33,1,0)</f>
        <v>#N/A</v>
      </c>
    </row>
    <row r="339" spans="1:13">
      <c r="A339" s="142"/>
      <c r="B339" s="133"/>
      <c r="C339" s="136"/>
      <c r="D339" s="141"/>
      <c r="E339" s="142"/>
      <c r="F339" s="142"/>
      <c r="G339" s="98"/>
      <c r="H339" s="142"/>
      <c r="I339" s="142"/>
      <c r="J339" s="142"/>
      <c r="K339" s="142"/>
      <c r="L339" s="53" t="e">
        <f>+VLOOKUP(A339,COMISIONES!$C$2:$AQ$33,41,0)</f>
        <v>#N/A</v>
      </c>
      <c r="M339" s="7" t="e">
        <f>+VLOOKUP(A339,COMISIONES!$C$2:$C$33,1,0)</f>
        <v>#N/A</v>
      </c>
    </row>
    <row r="340" spans="1:13">
      <c r="A340" s="142"/>
      <c r="B340" s="133"/>
      <c r="C340" s="136"/>
      <c r="D340" s="141"/>
      <c r="E340" s="142"/>
      <c r="F340" s="142"/>
      <c r="G340" s="98"/>
      <c r="H340" s="142"/>
      <c r="I340" s="142"/>
      <c r="J340" s="142"/>
      <c r="K340" s="142"/>
      <c r="L340" s="53" t="e">
        <f>+VLOOKUP(A340,COMISIONES!$C$2:$AQ$33,41,0)</f>
        <v>#N/A</v>
      </c>
      <c r="M340" s="7" t="e">
        <f>+VLOOKUP(A340,COMISIONES!$C$2:$C$33,1,0)</f>
        <v>#N/A</v>
      </c>
    </row>
    <row r="341" spans="1:13">
      <c r="A341" s="142"/>
      <c r="B341" s="133"/>
      <c r="C341" s="136"/>
      <c r="D341" s="141"/>
      <c r="E341" s="142"/>
      <c r="F341" s="142"/>
      <c r="G341" s="98"/>
      <c r="H341" s="142"/>
      <c r="I341" s="142"/>
      <c r="J341" s="142"/>
      <c r="K341" s="142"/>
      <c r="L341" s="53" t="e">
        <f>+VLOOKUP(A341,COMISIONES!$C$2:$AQ$33,41,0)</f>
        <v>#N/A</v>
      </c>
      <c r="M341" s="7" t="e">
        <f>+VLOOKUP(A341,COMISIONES!$C$2:$C$33,1,0)</f>
        <v>#N/A</v>
      </c>
    </row>
    <row r="342" spans="1:13">
      <c r="A342" s="142"/>
      <c r="B342" s="133"/>
      <c r="C342" s="136"/>
      <c r="D342" s="141"/>
      <c r="E342" s="142"/>
      <c r="F342" s="142"/>
      <c r="G342" s="98"/>
      <c r="H342" s="142"/>
      <c r="I342" s="142"/>
      <c r="J342" s="142"/>
      <c r="K342" s="142"/>
      <c r="L342" s="53" t="e">
        <f>+VLOOKUP(A342,COMISIONES!$C$2:$AQ$33,41,0)</f>
        <v>#N/A</v>
      </c>
      <c r="M342" s="7" t="e">
        <f>+VLOOKUP(A342,COMISIONES!$C$2:$C$33,1,0)</f>
        <v>#N/A</v>
      </c>
    </row>
    <row r="343" spans="1:13">
      <c r="A343" s="124"/>
      <c r="B343" s="83"/>
      <c r="C343" s="83"/>
      <c r="D343" s="84"/>
      <c r="E343" s="83"/>
      <c r="F343" s="84"/>
      <c r="G343" s="83"/>
      <c r="H343" s="83"/>
      <c r="I343" s="124"/>
      <c r="J343" s="83"/>
      <c r="K343" s="83"/>
      <c r="L343" s="53" t="e">
        <f>+VLOOKUP(A343,COMISIONES!$C$2:$AQ$33,41,0)</f>
        <v>#N/A</v>
      </c>
      <c r="M343" s="7" t="e">
        <f>+VLOOKUP(A343,COMISIONES!$C$2:$C$33,1,0)</f>
        <v>#N/A</v>
      </c>
    </row>
    <row r="344" spans="1:13">
      <c r="A344" s="124"/>
      <c r="B344" s="83"/>
      <c r="C344" s="83"/>
      <c r="D344" s="84"/>
      <c r="E344" s="83"/>
      <c r="F344" s="84"/>
      <c r="G344" s="83"/>
      <c r="H344" s="83"/>
      <c r="I344" s="124"/>
      <c r="J344" s="83"/>
      <c r="K344" s="83"/>
      <c r="L344" s="53" t="e">
        <f>+VLOOKUP(A344,COMISIONES!$C$2:$AQ$33,41,0)</f>
        <v>#N/A</v>
      </c>
      <c r="M344" s="7" t="e">
        <f>+VLOOKUP(A344,COMISIONES!$C$2:$C$33,1,0)</f>
        <v>#N/A</v>
      </c>
    </row>
    <row r="345" spans="1:13">
      <c r="A345" s="124"/>
      <c r="B345" s="83"/>
      <c r="C345" s="83"/>
      <c r="D345" s="84"/>
      <c r="E345" s="83"/>
      <c r="F345" s="84"/>
      <c r="G345" s="83"/>
      <c r="H345" s="83"/>
      <c r="I345" s="124"/>
      <c r="J345" s="83"/>
      <c r="K345" s="83"/>
      <c r="L345" s="53" t="e">
        <f>+VLOOKUP(A345,COMISIONES!$C$2:$AQ$33,41,0)</f>
        <v>#N/A</v>
      </c>
      <c r="M345" s="7" t="e">
        <f>+VLOOKUP(A345,COMISIONES!$C$2:$C$33,1,0)</f>
        <v>#N/A</v>
      </c>
    </row>
    <row r="346" spans="1:13">
      <c r="A346" s="124"/>
      <c r="B346" s="83"/>
      <c r="C346" s="83"/>
      <c r="D346" s="84"/>
      <c r="E346" s="83"/>
      <c r="F346" s="84"/>
      <c r="G346" s="83"/>
      <c r="H346" s="83"/>
      <c r="I346" s="124"/>
      <c r="J346" s="83"/>
      <c r="K346" s="83"/>
      <c r="L346" s="53" t="e">
        <f>+VLOOKUP(A346,COMISIONES!$C$2:$AQ$33,41,0)</f>
        <v>#N/A</v>
      </c>
      <c r="M346" s="7" t="e">
        <f>+VLOOKUP(A346,COMISIONES!$C$2:$C$33,1,0)</f>
        <v>#N/A</v>
      </c>
    </row>
    <row r="347" spans="1:13">
      <c r="A347" s="124"/>
      <c r="B347" s="83"/>
      <c r="C347" s="83"/>
      <c r="D347" s="84"/>
      <c r="E347" s="83"/>
      <c r="F347" s="84"/>
      <c r="G347" s="83"/>
      <c r="H347" s="83"/>
      <c r="I347" s="124"/>
      <c r="J347" s="83"/>
      <c r="K347" s="83"/>
      <c r="L347" s="53" t="e">
        <f>+VLOOKUP(A347,COMISIONES!$C$2:$AQ$33,41,0)</f>
        <v>#N/A</v>
      </c>
      <c r="M347" s="7" t="e">
        <f>+VLOOKUP(A347,COMISIONES!$C$2:$C$33,1,0)</f>
        <v>#N/A</v>
      </c>
    </row>
    <row r="348" spans="1:13">
      <c r="A348" s="124"/>
      <c r="B348" s="83"/>
      <c r="C348" s="83"/>
      <c r="D348" s="84"/>
      <c r="E348" s="83"/>
      <c r="F348" s="84"/>
      <c r="G348" s="83"/>
      <c r="H348" s="83"/>
      <c r="I348" s="124"/>
      <c r="J348" s="83"/>
      <c r="K348" s="83"/>
      <c r="L348" s="53" t="e">
        <f>+VLOOKUP(A348,COMISIONES!$C$2:$AQ$33,41,0)</f>
        <v>#N/A</v>
      </c>
      <c r="M348" s="7" t="e">
        <f>+VLOOKUP(A348,COMISIONES!$C$2:$C$33,1,0)</f>
        <v>#N/A</v>
      </c>
    </row>
    <row r="349" spans="1:13">
      <c r="A349" s="124"/>
      <c r="B349" s="83"/>
      <c r="C349" s="83"/>
      <c r="D349" s="84"/>
      <c r="E349" s="83"/>
      <c r="F349" s="84"/>
      <c r="G349" s="83"/>
      <c r="H349" s="83"/>
      <c r="I349" s="124"/>
      <c r="J349" s="83"/>
      <c r="K349" s="83"/>
      <c r="L349" s="53" t="e">
        <f>+VLOOKUP(A349,COMISIONES!$C$2:$AQ$33,41,0)</f>
        <v>#N/A</v>
      </c>
      <c r="M349" s="7" t="e">
        <f>+VLOOKUP(A349,COMISIONES!$C$2:$C$33,1,0)</f>
        <v>#N/A</v>
      </c>
    </row>
    <row r="350" spans="1:13">
      <c r="A350" s="124"/>
      <c r="B350" s="83"/>
      <c r="C350" s="83"/>
      <c r="D350" s="84"/>
      <c r="E350" s="83"/>
      <c r="F350" s="84"/>
      <c r="G350" s="83"/>
      <c r="H350" s="83"/>
      <c r="I350" s="124"/>
      <c r="J350" s="83"/>
      <c r="K350" s="83"/>
      <c r="L350" s="53" t="e">
        <f>+VLOOKUP(A350,COMISIONES!$C$2:$AQ$33,41,0)</f>
        <v>#N/A</v>
      </c>
      <c r="M350" s="7" t="e">
        <f>+VLOOKUP(A350,COMISIONES!$C$2:$C$33,1,0)</f>
        <v>#N/A</v>
      </c>
    </row>
    <row r="351" spans="1:13">
      <c r="A351" s="124"/>
      <c r="B351" s="83"/>
      <c r="C351" s="83"/>
      <c r="D351" s="84"/>
      <c r="E351" s="83"/>
      <c r="F351" s="84"/>
      <c r="G351" s="83"/>
      <c r="H351" s="83"/>
      <c r="I351" s="124"/>
      <c r="J351" s="83"/>
      <c r="K351" s="83"/>
      <c r="L351" s="53" t="e">
        <f>+VLOOKUP(A351,COMISIONES!$C$2:$AQ$33,41,0)</f>
        <v>#N/A</v>
      </c>
      <c r="M351" s="7" t="e">
        <f>+VLOOKUP(A351,COMISIONES!$C$2:$C$33,1,0)</f>
        <v>#N/A</v>
      </c>
    </row>
    <row r="352" spans="1:13">
      <c r="A352" s="124"/>
      <c r="B352" s="83"/>
      <c r="C352" s="83"/>
      <c r="D352" s="84"/>
      <c r="E352" s="83"/>
      <c r="F352" s="84"/>
      <c r="G352" s="83"/>
      <c r="H352" s="83"/>
      <c r="I352" s="124"/>
      <c r="J352" s="83"/>
      <c r="K352" s="83"/>
      <c r="L352" s="53" t="e">
        <f>+VLOOKUP(A352,COMISIONES!$C$2:$AQ$33,41,0)</f>
        <v>#N/A</v>
      </c>
      <c r="M352" s="7" t="e">
        <f>+VLOOKUP(A352,COMISIONES!$C$2:$C$33,1,0)</f>
        <v>#N/A</v>
      </c>
    </row>
    <row r="353" spans="1:13">
      <c r="A353" s="124"/>
      <c r="B353" s="83"/>
      <c r="C353" s="83"/>
      <c r="D353" s="84"/>
      <c r="E353" s="83"/>
      <c r="F353" s="84"/>
      <c r="G353" s="83"/>
      <c r="H353" s="83"/>
      <c r="I353" s="124"/>
      <c r="J353" s="83"/>
      <c r="K353" s="83"/>
      <c r="L353" s="53" t="e">
        <f>+VLOOKUP(A353,COMISIONES!$C$2:$AQ$33,41,0)</f>
        <v>#N/A</v>
      </c>
      <c r="M353" s="7" t="e">
        <f>+VLOOKUP(A353,COMISIONES!$C$2:$C$33,1,0)</f>
        <v>#N/A</v>
      </c>
    </row>
    <row r="354" spans="1:13">
      <c r="A354" s="124"/>
      <c r="B354" s="83"/>
      <c r="C354" s="83"/>
      <c r="D354" s="84"/>
      <c r="E354" s="83"/>
      <c r="F354" s="84"/>
      <c r="G354" s="83"/>
      <c r="H354" s="83"/>
      <c r="I354" s="124"/>
      <c r="J354" s="83"/>
      <c r="K354" s="83"/>
      <c r="L354" s="53" t="e">
        <f>+VLOOKUP(A354,COMISIONES!$C$2:$AQ$33,41,0)</f>
        <v>#N/A</v>
      </c>
      <c r="M354" s="7" t="e">
        <f>+VLOOKUP(A354,COMISIONES!$C$2:$C$33,1,0)</f>
        <v>#N/A</v>
      </c>
    </row>
    <row r="355" spans="1:13">
      <c r="A355" s="124"/>
      <c r="B355" s="83"/>
      <c r="C355" s="83"/>
      <c r="D355" s="84"/>
      <c r="E355" s="83"/>
      <c r="F355" s="84"/>
      <c r="G355" s="83"/>
      <c r="H355" s="83"/>
      <c r="I355" s="124"/>
      <c r="J355" s="83"/>
      <c r="K355" s="83"/>
      <c r="L355" s="53" t="e">
        <f>+VLOOKUP(A355,COMISIONES!$C$2:$AQ$33,41,0)</f>
        <v>#N/A</v>
      </c>
      <c r="M355" s="7" t="e">
        <f>+VLOOKUP(A355,COMISIONES!$C$2:$C$33,1,0)</f>
        <v>#N/A</v>
      </c>
    </row>
    <row r="356" spans="1:13">
      <c r="A356" s="124"/>
      <c r="B356" s="83"/>
      <c r="C356" s="83"/>
      <c r="D356" s="84"/>
      <c r="E356" s="83"/>
      <c r="F356" s="84"/>
      <c r="G356" s="83"/>
      <c r="H356" s="83"/>
      <c r="I356" s="124"/>
      <c r="J356" s="83"/>
      <c r="K356" s="83"/>
      <c r="L356" s="53" t="e">
        <f>+VLOOKUP(A356,COMISIONES!$C$2:$AQ$33,41,0)</f>
        <v>#N/A</v>
      </c>
      <c r="M356" s="7" t="e">
        <f>+VLOOKUP(A356,COMISIONES!$C$2:$C$33,1,0)</f>
        <v>#N/A</v>
      </c>
    </row>
    <row r="357" spans="1:13">
      <c r="A357" s="124"/>
      <c r="B357" s="83"/>
      <c r="C357" s="83"/>
      <c r="D357" s="84"/>
      <c r="E357" s="83"/>
      <c r="F357" s="84"/>
      <c r="G357" s="83"/>
      <c r="H357" s="83"/>
      <c r="I357" s="124"/>
      <c r="J357" s="83"/>
      <c r="K357" s="83"/>
      <c r="L357" s="53" t="e">
        <f>+VLOOKUP(A357,COMISIONES!$C$2:$AQ$33,41,0)</f>
        <v>#N/A</v>
      </c>
      <c r="M357" s="7" t="e">
        <f>+VLOOKUP(A357,COMISIONES!$C$2:$C$33,1,0)</f>
        <v>#N/A</v>
      </c>
    </row>
    <row r="358" spans="1:13">
      <c r="A358" s="124"/>
      <c r="B358" s="83"/>
      <c r="C358" s="83"/>
      <c r="D358" s="84"/>
      <c r="E358" s="83"/>
      <c r="F358" s="84"/>
      <c r="G358" s="83"/>
      <c r="H358" s="83"/>
      <c r="I358" s="124"/>
      <c r="J358" s="83"/>
      <c r="K358" s="83"/>
      <c r="L358" s="53" t="e">
        <f>+VLOOKUP(A358,COMISIONES!$C$2:$AQ$33,41,0)</f>
        <v>#N/A</v>
      </c>
      <c r="M358" s="7" t="e">
        <f>+VLOOKUP(A358,COMISIONES!$C$2:$C$33,1,0)</f>
        <v>#N/A</v>
      </c>
    </row>
    <row r="359" spans="1:13">
      <c r="A359" s="124"/>
      <c r="B359" s="83"/>
      <c r="C359" s="83"/>
      <c r="D359" s="84"/>
      <c r="E359" s="83"/>
      <c r="F359" s="84"/>
      <c r="G359" s="83"/>
      <c r="H359" s="83"/>
      <c r="I359" s="124"/>
      <c r="J359" s="83"/>
      <c r="K359" s="83"/>
      <c r="L359" s="53" t="e">
        <f>+VLOOKUP(A359,COMISIONES!$C$2:$AQ$33,41,0)</f>
        <v>#N/A</v>
      </c>
      <c r="M359" s="7" t="e">
        <f>+VLOOKUP(A359,COMISIONES!$C$2:$C$33,1,0)</f>
        <v>#N/A</v>
      </c>
    </row>
    <row r="360" spans="1:13">
      <c r="A360" s="124"/>
      <c r="B360" s="83"/>
      <c r="C360" s="83"/>
      <c r="D360" s="84"/>
      <c r="E360" s="83"/>
      <c r="F360" s="84"/>
      <c r="G360" s="83"/>
      <c r="H360" s="83"/>
      <c r="I360" s="124"/>
      <c r="J360" s="83"/>
      <c r="K360" s="83"/>
      <c r="L360" s="53" t="e">
        <f>+VLOOKUP(A360,COMISIONES!$C$2:$AQ$33,41,0)</f>
        <v>#N/A</v>
      </c>
      <c r="M360" s="7" t="e">
        <f>+VLOOKUP(A360,COMISIONES!$C$2:$C$33,1,0)</f>
        <v>#N/A</v>
      </c>
    </row>
    <row r="361" spans="1:13">
      <c r="A361" s="124"/>
      <c r="B361" s="83"/>
      <c r="C361" s="83"/>
      <c r="D361" s="84"/>
      <c r="E361" s="83"/>
      <c r="F361" s="84"/>
      <c r="G361" s="83"/>
      <c r="H361" s="83"/>
      <c r="I361" s="124"/>
      <c r="J361" s="83"/>
      <c r="K361" s="83"/>
      <c r="L361" s="53" t="e">
        <f>+VLOOKUP(A361,COMISIONES!$C$2:$AQ$33,41,0)</f>
        <v>#N/A</v>
      </c>
      <c r="M361" s="7" t="e">
        <f>+VLOOKUP(A361,COMISIONES!$C$2:$C$33,1,0)</f>
        <v>#N/A</v>
      </c>
    </row>
    <row r="362" spans="1:13">
      <c r="A362" s="124"/>
      <c r="B362" s="83"/>
      <c r="C362" s="83"/>
      <c r="D362" s="84"/>
      <c r="E362" s="83"/>
      <c r="F362" s="84"/>
      <c r="G362" s="83"/>
      <c r="H362" s="83"/>
      <c r="I362" s="124"/>
      <c r="J362" s="83"/>
      <c r="K362" s="83"/>
      <c r="L362" s="53" t="e">
        <f>+VLOOKUP(A362,COMISIONES!$C$2:$AQ$33,41,0)</f>
        <v>#N/A</v>
      </c>
      <c r="M362" s="7" t="e">
        <f>+VLOOKUP(A362,COMISIONES!$C$2:$C$33,1,0)</f>
        <v>#N/A</v>
      </c>
    </row>
    <row r="363" spans="1:13">
      <c r="A363" s="12"/>
      <c r="B363" s="12"/>
      <c r="C363" s="12"/>
      <c r="D363" s="52"/>
      <c r="E363" s="12"/>
      <c r="F363" s="12"/>
      <c r="G363" s="12"/>
      <c r="H363" s="12"/>
      <c r="I363" s="12"/>
      <c r="J363" s="12"/>
      <c r="K363" s="12"/>
      <c r="L363" s="53"/>
    </row>
    <row r="364" spans="1:13">
      <c r="A364" s="12"/>
      <c r="B364" s="12"/>
      <c r="C364" s="12"/>
      <c r="D364" s="52"/>
      <c r="E364" s="12"/>
      <c r="F364" s="12"/>
      <c r="G364" s="12"/>
      <c r="H364" s="12"/>
      <c r="I364" s="12"/>
      <c r="J364" s="12"/>
      <c r="K364" s="12"/>
      <c r="L364" s="53"/>
    </row>
    <row r="365" spans="1:13">
      <c r="A365" s="12"/>
      <c r="B365" s="12"/>
      <c r="C365" s="12"/>
      <c r="D365" s="52"/>
      <c r="E365" s="12"/>
      <c r="F365" s="12"/>
      <c r="G365" s="12"/>
      <c r="H365" s="12"/>
      <c r="I365" s="12"/>
      <c r="J365" s="12"/>
      <c r="K365" s="12"/>
      <c r="L365" s="53"/>
    </row>
    <row r="366" spans="1:13">
      <c r="A366" s="12"/>
      <c r="B366" s="12"/>
      <c r="C366" s="12"/>
      <c r="D366" s="52"/>
      <c r="E366" s="12"/>
      <c r="F366" s="12"/>
      <c r="G366" s="12"/>
      <c r="H366" s="12"/>
      <c r="I366" s="12"/>
      <c r="J366" s="12"/>
      <c r="K366" s="12"/>
      <c r="L366" s="53"/>
    </row>
    <row r="367" spans="1:13">
      <c r="A367" s="12"/>
      <c r="B367" s="12"/>
      <c r="C367" s="12"/>
      <c r="D367" s="52"/>
      <c r="E367" s="12"/>
      <c r="F367" s="12"/>
      <c r="G367" s="12"/>
      <c r="H367" s="12"/>
      <c r="I367" s="12"/>
      <c r="J367" s="12"/>
      <c r="K367" s="12"/>
      <c r="L367" s="53"/>
    </row>
    <row r="368" spans="1:13">
      <c r="A368" s="12"/>
      <c r="B368" s="12"/>
      <c r="C368" s="12"/>
      <c r="D368" s="52"/>
      <c r="E368" s="12"/>
      <c r="F368" s="12"/>
      <c r="G368" s="12"/>
      <c r="H368" s="12"/>
      <c r="I368" s="12"/>
      <c r="J368" s="12"/>
      <c r="K368" s="12"/>
      <c r="L368" s="53"/>
    </row>
    <row r="369" spans="1:12">
      <c r="A369" s="83"/>
      <c r="B369" s="83"/>
      <c r="C369" s="83"/>
      <c r="D369" s="84"/>
      <c r="E369" s="83"/>
      <c r="F369" s="84"/>
      <c r="G369" s="83"/>
      <c r="H369" s="83"/>
      <c r="I369" s="83"/>
      <c r="J369" s="83"/>
      <c r="K369" s="83"/>
      <c r="L369" s="53"/>
    </row>
    <row r="370" spans="1:12">
      <c r="A370" s="83"/>
      <c r="B370" s="83"/>
      <c r="C370" s="83"/>
      <c r="D370" s="84"/>
      <c r="E370" s="83"/>
      <c r="F370" s="84"/>
      <c r="G370" s="83"/>
      <c r="H370" s="83"/>
      <c r="I370" s="83"/>
      <c r="J370" s="83"/>
      <c r="K370" s="83"/>
      <c r="L370" s="53"/>
    </row>
    <row r="371" spans="1:12">
      <c r="A371" s="83"/>
      <c r="B371" s="83"/>
      <c r="C371" s="83"/>
      <c r="D371" s="84"/>
      <c r="E371" s="83"/>
      <c r="F371" s="84"/>
      <c r="G371" s="83"/>
      <c r="H371" s="83"/>
      <c r="I371" s="83"/>
      <c r="J371" s="83"/>
      <c r="K371" s="83"/>
      <c r="L371" s="53"/>
    </row>
    <row r="372" spans="1:12">
      <c r="A372" s="83"/>
      <c r="B372" s="83"/>
      <c r="C372" s="83"/>
      <c r="D372" s="84"/>
      <c r="E372" s="83"/>
      <c r="F372" s="84"/>
      <c r="G372" s="83"/>
      <c r="H372" s="83"/>
      <c r="I372" s="83"/>
      <c r="J372" s="83"/>
      <c r="K372" s="83"/>
      <c r="L372" s="53"/>
    </row>
    <row r="373" spans="1:12">
      <c r="A373" s="83"/>
      <c r="B373" s="83"/>
      <c r="C373" s="83"/>
      <c r="D373" s="84"/>
      <c r="E373" s="83"/>
      <c r="F373" s="84"/>
      <c r="G373" s="83"/>
      <c r="H373" s="83"/>
      <c r="I373" s="83"/>
      <c r="J373" s="83"/>
      <c r="K373" s="83"/>
      <c r="L373" s="53"/>
    </row>
    <row r="374" spans="1:12">
      <c r="A374" s="83"/>
      <c r="B374" s="83"/>
      <c r="C374" s="83"/>
      <c r="D374" s="84"/>
      <c r="E374" s="83"/>
      <c r="F374" s="84"/>
      <c r="G374" s="83"/>
      <c r="H374" s="83"/>
      <c r="I374" s="83"/>
      <c r="J374" s="83"/>
      <c r="K374" s="83"/>
      <c r="L374" s="53"/>
    </row>
    <row r="375" spans="1:12">
      <c r="A375" s="83"/>
      <c r="B375" s="83"/>
      <c r="C375" s="83"/>
      <c r="D375" s="84"/>
      <c r="E375" s="83"/>
      <c r="F375" s="84"/>
      <c r="G375" s="83"/>
      <c r="H375" s="83"/>
      <c r="I375" s="83"/>
      <c r="J375" s="83"/>
      <c r="K375" s="83"/>
      <c r="L375" s="53"/>
    </row>
    <row r="376" spans="1:12">
      <c r="A376" s="83"/>
      <c r="B376" s="83"/>
      <c r="C376" s="83"/>
      <c r="D376" s="84"/>
      <c r="E376" s="83"/>
      <c r="F376" s="84"/>
      <c r="G376" s="83"/>
      <c r="H376" s="83"/>
      <c r="I376" s="83"/>
      <c r="J376" s="83"/>
      <c r="K376" s="83"/>
      <c r="L376" s="53"/>
    </row>
    <row r="377" spans="1:12">
      <c r="A377" s="83"/>
      <c r="B377" s="83"/>
      <c r="C377" s="83"/>
      <c r="D377" s="84"/>
      <c r="E377" s="83"/>
      <c r="F377" s="84"/>
      <c r="G377" s="83"/>
      <c r="H377" s="83"/>
      <c r="I377" s="83"/>
      <c r="J377" s="83"/>
      <c r="K377" s="83"/>
      <c r="L377" s="53"/>
    </row>
    <row r="378" spans="1:12">
      <c r="A378" s="83"/>
      <c r="B378" s="83"/>
      <c r="C378" s="83"/>
      <c r="D378" s="84"/>
      <c r="E378" s="83"/>
      <c r="F378" s="84"/>
      <c r="G378" s="83"/>
      <c r="H378" s="83"/>
      <c r="I378" s="83"/>
      <c r="J378" s="83"/>
      <c r="K378" s="83"/>
      <c r="L378" s="53"/>
    </row>
    <row r="379" spans="1:12">
      <c r="A379" s="12"/>
      <c r="B379" s="12"/>
      <c r="C379" s="12"/>
      <c r="D379" s="52"/>
      <c r="E379" s="12"/>
      <c r="F379" s="12"/>
      <c r="G379" s="12"/>
      <c r="H379" s="12"/>
      <c r="I379" s="12"/>
      <c r="J379" s="12"/>
      <c r="K379" s="12"/>
      <c r="L379" s="53"/>
    </row>
    <row r="380" spans="1:12">
      <c r="A380" s="12"/>
      <c r="B380" s="12"/>
      <c r="C380" s="12"/>
      <c r="D380" s="52"/>
      <c r="E380" s="12"/>
      <c r="F380" s="12"/>
      <c r="G380" s="12"/>
      <c r="H380" s="12"/>
      <c r="I380" s="12"/>
      <c r="J380" s="12"/>
      <c r="K380" s="12"/>
      <c r="L380" s="53"/>
    </row>
    <row r="381" spans="1:12">
      <c r="A381" s="12"/>
      <c r="B381" s="12"/>
      <c r="C381" s="12"/>
      <c r="D381" s="52"/>
      <c r="E381" s="12"/>
      <c r="F381" s="12"/>
      <c r="G381" s="12"/>
      <c r="H381" s="12"/>
      <c r="I381" s="12"/>
      <c r="J381" s="12"/>
      <c r="K381" s="12"/>
      <c r="L381" s="53"/>
    </row>
    <row r="382" spans="1:12">
      <c r="A382" s="12"/>
      <c r="B382" s="12"/>
      <c r="C382" s="12"/>
      <c r="D382" s="52"/>
      <c r="E382" s="12"/>
      <c r="F382" s="12"/>
      <c r="G382" s="12"/>
      <c r="H382" s="12"/>
      <c r="I382" s="12"/>
      <c r="J382" s="12"/>
      <c r="K382" s="12"/>
      <c r="L382" s="53"/>
    </row>
    <row r="383" spans="1:12">
      <c r="A383" s="12"/>
      <c r="B383" s="12"/>
      <c r="C383" s="12"/>
      <c r="D383" s="52"/>
      <c r="E383" s="12"/>
      <c r="F383" s="12"/>
      <c r="G383" s="12"/>
      <c r="H383" s="12"/>
      <c r="I383" s="12"/>
      <c r="J383" s="12"/>
      <c r="K383" s="12"/>
      <c r="L383" s="53"/>
    </row>
    <row r="384" spans="1:12">
      <c r="A384" s="12"/>
      <c r="B384" s="12"/>
      <c r="C384" s="12"/>
      <c r="D384" s="52"/>
      <c r="E384" s="12"/>
      <c r="F384" s="12"/>
      <c r="G384" s="12"/>
      <c r="H384" s="12"/>
      <c r="I384" s="12"/>
      <c r="J384" s="12"/>
      <c r="K384" s="12"/>
      <c r="L384" s="53"/>
    </row>
    <row r="385" spans="1:12">
      <c r="A385" s="12"/>
      <c r="B385" s="12"/>
      <c r="C385" s="12"/>
      <c r="D385" s="52"/>
      <c r="E385" s="12"/>
      <c r="F385" s="12"/>
      <c r="G385" s="12"/>
      <c r="H385" s="12"/>
      <c r="I385" s="12"/>
      <c r="J385" s="12"/>
      <c r="K385" s="12"/>
      <c r="L385" s="53"/>
    </row>
    <row r="386" spans="1:12">
      <c r="A386" s="12"/>
      <c r="B386" s="12"/>
      <c r="C386" s="12"/>
      <c r="D386" s="52"/>
      <c r="E386" s="12"/>
      <c r="F386" s="12"/>
      <c r="G386" s="12"/>
      <c r="H386" s="12"/>
      <c r="I386" s="12"/>
      <c r="J386" s="12"/>
      <c r="K386" s="12"/>
      <c r="L386" s="53"/>
    </row>
    <row r="387" spans="1:12">
      <c r="A387" s="12"/>
      <c r="B387" s="12"/>
      <c r="C387" s="12"/>
      <c r="D387" s="52"/>
      <c r="E387" s="12"/>
      <c r="F387" s="12"/>
      <c r="G387" s="12"/>
      <c r="H387" s="12"/>
      <c r="I387" s="12"/>
      <c r="J387" s="12"/>
      <c r="K387" s="12"/>
      <c r="L387" s="53"/>
    </row>
    <row r="388" spans="1:12">
      <c r="A388" s="12"/>
      <c r="B388" s="12"/>
      <c r="C388" s="12"/>
      <c r="D388" s="52"/>
      <c r="E388" s="12"/>
      <c r="F388" s="12"/>
      <c r="G388" s="12"/>
      <c r="H388" s="12"/>
      <c r="I388" s="12"/>
      <c r="J388" s="12"/>
      <c r="K388" s="12"/>
      <c r="L388" s="53"/>
    </row>
    <row r="389" spans="1:12">
      <c r="A389" s="12"/>
      <c r="B389" s="12"/>
      <c r="C389" s="12"/>
      <c r="D389" s="52"/>
      <c r="E389" s="12"/>
      <c r="F389" s="12"/>
      <c r="G389" s="12"/>
      <c r="H389" s="12"/>
      <c r="I389" s="12"/>
      <c r="J389" s="12"/>
      <c r="K389" s="12"/>
      <c r="L389" s="53"/>
    </row>
    <row r="390" spans="1:12">
      <c r="A390" s="12"/>
      <c r="B390" s="12"/>
      <c r="C390" s="12"/>
      <c r="D390" s="52"/>
      <c r="E390" s="12"/>
      <c r="F390" s="12"/>
      <c r="G390" s="12"/>
      <c r="H390" s="12"/>
      <c r="I390" s="12"/>
      <c r="J390" s="12"/>
      <c r="K390" s="12"/>
      <c r="L390" s="53"/>
    </row>
    <row r="391" spans="1:12">
      <c r="A391" s="12"/>
      <c r="B391" s="12"/>
      <c r="C391" s="12"/>
      <c r="D391" s="52"/>
      <c r="E391" s="12"/>
      <c r="F391" s="12"/>
      <c r="G391" s="12"/>
      <c r="H391" s="12"/>
      <c r="I391" s="12"/>
      <c r="J391" s="12"/>
      <c r="K391" s="12"/>
      <c r="L391" s="53"/>
    </row>
    <row r="392" spans="1:12">
      <c r="A392" s="12"/>
      <c r="B392" s="12"/>
      <c r="C392" s="12"/>
      <c r="D392" s="52"/>
      <c r="E392" s="12"/>
      <c r="F392" s="12"/>
      <c r="G392" s="12"/>
      <c r="H392" s="12"/>
      <c r="I392" s="12"/>
      <c r="J392" s="12"/>
      <c r="K392" s="12"/>
      <c r="L392" s="53"/>
    </row>
    <row r="393" spans="1:12">
      <c r="A393" s="12"/>
      <c r="B393" s="12"/>
      <c r="C393" s="12"/>
      <c r="D393" s="52"/>
      <c r="E393" s="12"/>
      <c r="F393" s="12"/>
      <c r="G393" s="12"/>
      <c r="H393" s="12"/>
      <c r="I393" s="12"/>
      <c r="J393" s="12"/>
      <c r="K393" s="12"/>
      <c r="L393" s="53"/>
    </row>
    <row r="394" spans="1:12">
      <c r="A394" s="12"/>
      <c r="B394" s="12"/>
      <c r="C394" s="12"/>
      <c r="D394" s="52"/>
      <c r="E394" s="12"/>
      <c r="F394" s="12"/>
      <c r="G394" s="12"/>
      <c r="H394" s="12"/>
      <c r="I394" s="12"/>
      <c r="J394" s="12"/>
      <c r="K394" s="12"/>
      <c r="L394" s="53"/>
    </row>
    <row r="395" spans="1:12">
      <c r="A395" s="12"/>
      <c r="B395" s="12"/>
      <c r="C395" s="12"/>
      <c r="D395" s="52"/>
      <c r="E395" s="12"/>
      <c r="F395" s="12"/>
      <c r="G395" s="12"/>
      <c r="H395" s="12"/>
      <c r="I395" s="12"/>
      <c r="J395" s="12"/>
      <c r="K395" s="12"/>
      <c r="L395" s="53"/>
    </row>
    <row r="396" spans="1:12">
      <c r="A396" s="12"/>
      <c r="B396" s="12"/>
      <c r="C396" s="12"/>
      <c r="D396" s="52"/>
      <c r="E396" s="12"/>
      <c r="F396" s="12"/>
      <c r="G396" s="12"/>
      <c r="H396" s="12"/>
      <c r="I396" s="12"/>
      <c r="J396" s="12"/>
      <c r="K396" s="12"/>
      <c r="L396" s="53"/>
    </row>
    <row r="397" spans="1:12">
      <c r="A397" s="12"/>
      <c r="B397" s="12"/>
      <c r="C397" s="12"/>
      <c r="D397" s="52"/>
      <c r="E397" s="12"/>
      <c r="F397" s="12"/>
      <c r="G397" s="12"/>
      <c r="H397" s="12"/>
      <c r="I397" s="12"/>
      <c r="J397" s="12"/>
      <c r="K397" s="12"/>
      <c r="L397" s="53"/>
    </row>
    <row r="398" spans="1:12">
      <c r="A398" s="12"/>
      <c r="B398" s="12"/>
      <c r="C398" s="12"/>
      <c r="D398" s="52"/>
      <c r="E398" s="12"/>
      <c r="F398" s="12"/>
      <c r="G398" s="12"/>
      <c r="H398" s="12"/>
      <c r="I398" s="12"/>
      <c r="J398" s="12"/>
      <c r="K398" s="12"/>
      <c r="L398" s="53"/>
    </row>
    <row r="399" spans="1:12">
      <c r="A399" s="12"/>
      <c r="B399" s="12"/>
      <c r="C399" s="12"/>
      <c r="D399" s="52"/>
      <c r="E399" s="12"/>
      <c r="F399" s="12"/>
      <c r="G399" s="12"/>
      <c r="H399" s="12"/>
      <c r="I399" s="12"/>
      <c r="J399" s="12"/>
      <c r="K399" s="12"/>
      <c r="L399" s="53"/>
    </row>
    <row r="400" spans="1:12">
      <c r="A400" s="12"/>
      <c r="B400" s="12"/>
      <c r="C400" s="12"/>
      <c r="D400" s="52"/>
      <c r="E400" s="12"/>
      <c r="F400" s="12"/>
      <c r="G400" s="12"/>
      <c r="H400" s="12"/>
      <c r="I400" s="12"/>
      <c r="J400" s="12"/>
      <c r="K400" s="12"/>
      <c r="L400" s="53"/>
    </row>
    <row r="401" spans="1:12">
      <c r="A401" s="12"/>
      <c r="B401" s="12"/>
      <c r="C401" s="12"/>
      <c r="D401" s="52"/>
      <c r="E401" s="12"/>
      <c r="F401" s="12"/>
      <c r="G401" s="12"/>
      <c r="H401" s="12"/>
      <c r="I401" s="12"/>
      <c r="J401" s="12"/>
      <c r="K401" s="12"/>
      <c r="L401" s="53"/>
    </row>
    <row r="402" spans="1:12">
      <c r="A402" s="12"/>
      <c r="B402" s="12"/>
      <c r="C402" s="12"/>
      <c r="D402" s="52"/>
      <c r="E402" s="12"/>
      <c r="F402" s="12"/>
      <c r="G402" s="12"/>
      <c r="H402" s="12"/>
      <c r="I402" s="12"/>
      <c r="J402" s="12"/>
      <c r="K402" s="12"/>
      <c r="L402" s="53"/>
    </row>
    <row r="403" spans="1:12">
      <c r="A403" s="12"/>
      <c r="B403" s="12"/>
      <c r="C403" s="12"/>
      <c r="D403" s="52"/>
      <c r="E403" s="12"/>
      <c r="F403" s="12"/>
      <c r="G403" s="12"/>
      <c r="H403" s="12"/>
      <c r="I403" s="12"/>
      <c r="J403" s="12"/>
      <c r="K403" s="12"/>
      <c r="L403" s="53"/>
    </row>
    <row r="404" spans="1:12">
      <c r="A404" s="12"/>
      <c r="B404" s="12"/>
      <c r="C404" s="12"/>
      <c r="D404" s="52"/>
      <c r="E404" s="12"/>
      <c r="F404" s="12"/>
      <c r="G404" s="12"/>
      <c r="H404" s="12"/>
      <c r="I404" s="12"/>
      <c r="J404" s="12"/>
      <c r="K404" s="12"/>
      <c r="L404" s="53"/>
    </row>
    <row r="405" spans="1:12">
      <c r="A405" s="12"/>
      <c r="B405" s="12"/>
      <c r="C405" s="12"/>
      <c r="D405" s="52"/>
      <c r="E405" s="12"/>
      <c r="F405" s="12"/>
      <c r="G405" s="12"/>
      <c r="H405" s="12"/>
      <c r="I405" s="12"/>
      <c r="J405" s="12"/>
      <c r="K405" s="12"/>
      <c r="L405" s="53"/>
    </row>
    <row r="406" spans="1:12">
      <c r="A406" s="12"/>
      <c r="B406" s="12"/>
      <c r="C406" s="12"/>
      <c r="D406" s="52"/>
      <c r="E406" s="12"/>
      <c r="F406" s="12"/>
      <c r="G406" s="12"/>
      <c r="H406" s="12"/>
      <c r="I406" s="12"/>
      <c r="J406" s="12"/>
      <c r="K406" s="12"/>
      <c r="L406" s="53"/>
    </row>
    <row r="407" spans="1:12">
      <c r="A407" s="12"/>
      <c r="B407" s="12"/>
      <c r="C407" s="12"/>
      <c r="D407" s="52"/>
      <c r="E407" s="12"/>
      <c r="F407" s="12"/>
      <c r="G407" s="12"/>
      <c r="H407" s="12"/>
      <c r="I407" s="12"/>
      <c r="J407" s="12"/>
      <c r="K407" s="12"/>
      <c r="L407" s="53"/>
    </row>
    <row r="408" spans="1:12">
      <c r="A408" s="12"/>
      <c r="B408" s="12"/>
      <c r="C408" s="12"/>
      <c r="D408" s="52"/>
      <c r="E408" s="12"/>
      <c r="F408" s="12"/>
      <c r="G408" s="12"/>
      <c r="H408" s="12"/>
      <c r="I408" s="12"/>
      <c r="J408" s="12"/>
      <c r="K408" s="12"/>
      <c r="L408" s="53"/>
    </row>
    <row r="409" spans="1:12">
      <c r="A409" s="12"/>
      <c r="B409" s="12"/>
      <c r="C409" s="12"/>
      <c r="D409" s="52"/>
      <c r="E409" s="12"/>
      <c r="F409" s="12"/>
      <c r="G409" s="12"/>
      <c r="H409" s="12"/>
      <c r="I409" s="12"/>
      <c r="J409" s="12"/>
      <c r="K409" s="12"/>
      <c r="L409" s="53"/>
    </row>
    <row r="410" spans="1:12">
      <c r="A410" s="12"/>
      <c r="B410" s="12"/>
      <c r="C410" s="12"/>
      <c r="D410" s="52"/>
      <c r="E410" s="12"/>
      <c r="F410" s="12"/>
      <c r="G410" s="12"/>
      <c r="H410" s="12"/>
      <c r="I410" s="12"/>
      <c r="J410" s="12"/>
      <c r="K410" s="12"/>
      <c r="L410" s="53"/>
    </row>
    <row r="411" spans="1:12">
      <c r="A411" s="12"/>
      <c r="B411" s="12"/>
      <c r="C411" s="12"/>
      <c r="D411" s="52"/>
      <c r="E411" s="12"/>
      <c r="F411" s="12"/>
      <c r="G411" s="12"/>
      <c r="H411" s="12"/>
      <c r="I411" s="12"/>
      <c r="J411" s="12"/>
      <c r="K411" s="12"/>
      <c r="L411" s="53"/>
    </row>
    <row r="412" spans="1:12">
      <c r="A412" s="12"/>
      <c r="B412" s="12"/>
      <c r="C412" s="12"/>
      <c r="D412" s="52"/>
      <c r="E412" s="12"/>
      <c r="F412" s="12"/>
      <c r="G412" s="12"/>
      <c r="H412" s="12"/>
      <c r="I412" s="12"/>
      <c r="J412" s="12"/>
      <c r="K412" s="12"/>
      <c r="L412" s="53"/>
    </row>
    <row r="413" spans="1:12">
      <c r="A413" s="12"/>
      <c r="B413" s="12"/>
      <c r="C413" s="12"/>
      <c r="D413" s="52"/>
      <c r="E413" s="12"/>
      <c r="F413" s="12"/>
      <c r="G413" s="12"/>
      <c r="H413" s="12"/>
      <c r="I413" s="12"/>
      <c r="J413" s="12"/>
      <c r="K413" s="12"/>
      <c r="L413" s="53"/>
    </row>
    <row r="414" spans="1:12">
      <c r="A414" s="12"/>
      <c r="B414" s="12"/>
      <c r="C414" s="12"/>
      <c r="D414" s="52"/>
      <c r="E414" s="12"/>
      <c r="F414" s="12"/>
      <c r="G414" s="12"/>
      <c r="H414" s="12"/>
      <c r="I414" s="12"/>
      <c r="J414" s="12"/>
      <c r="K414" s="12"/>
      <c r="L414" s="53"/>
    </row>
    <row r="415" spans="1:12">
      <c r="A415" s="12"/>
      <c r="B415" s="12"/>
      <c r="C415" s="12"/>
      <c r="D415" s="52"/>
      <c r="E415" s="12"/>
      <c r="F415" s="12"/>
      <c r="G415" s="12"/>
      <c r="H415" s="12"/>
      <c r="I415" s="12"/>
      <c r="J415" s="12"/>
      <c r="K415" s="12"/>
      <c r="L415" s="53"/>
    </row>
    <row r="416" spans="1:12">
      <c r="A416" s="12"/>
      <c r="B416" s="12"/>
      <c r="C416" s="12"/>
      <c r="D416" s="52"/>
      <c r="E416" s="12"/>
      <c r="F416" s="12"/>
      <c r="G416" s="12"/>
      <c r="H416" s="12"/>
      <c r="I416" s="12"/>
      <c r="J416" s="12"/>
      <c r="K416" s="12"/>
      <c r="L416" s="53"/>
    </row>
    <row r="417" spans="1:12">
      <c r="A417" s="12"/>
      <c r="B417" s="12"/>
      <c r="C417" s="12"/>
      <c r="D417" s="52"/>
      <c r="E417" s="12"/>
      <c r="F417" s="12"/>
      <c r="G417" s="12"/>
      <c r="H417" s="12"/>
      <c r="I417" s="12"/>
      <c r="J417" s="12"/>
      <c r="K417" s="12"/>
      <c r="L417" s="53"/>
    </row>
    <row r="418" spans="1:12">
      <c r="A418" s="12"/>
      <c r="B418" s="12"/>
      <c r="C418" s="12"/>
      <c r="D418" s="52"/>
      <c r="E418" s="12"/>
      <c r="F418" s="12"/>
      <c r="G418" s="12"/>
      <c r="H418" s="12"/>
      <c r="I418" s="12"/>
      <c r="J418" s="12"/>
      <c r="K418" s="12"/>
      <c r="L418" s="53"/>
    </row>
    <row r="419" spans="1:12">
      <c r="A419" s="12"/>
      <c r="B419" s="12"/>
      <c r="C419" s="12"/>
      <c r="D419" s="52"/>
      <c r="E419" s="12"/>
      <c r="F419" s="12"/>
      <c r="G419" s="12"/>
      <c r="H419" s="12"/>
      <c r="I419" s="12"/>
      <c r="J419" s="12"/>
      <c r="K419" s="12"/>
      <c r="L419" s="53"/>
    </row>
    <row r="420" spans="1:12">
      <c r="A420" s="12"/>
      <c r="B420" s="12"/>
      <c r="C420" s="12"/>
      <c r="D420" s="52"/>
      <c r="E420" s="12"/>
      <c r="F420" s="12"/>
      <c r="G420" s="12"/>
      <c r="H420" s="12"/>
      <c r="I420" s="12"/>
      <c r="J420" s="12"/>
      <c r="K420" s="12"/>
      <c r="L420" s="53"/>
    </row>
    <row r="421" spans="1:12">
      <c r="A421" s="12"/>
      <c r="B421" s="12"/>
      <c r="C421" s="12"/>
      <c r="D421" s="52"/>
      <c r="E421" s="12"/>
      <c r="F421" s="12"/>
      <c r="G421" s="12"/>
      <c r="H421" s="12"/>
      <c r="I421" s="12"/>
      <c r="J421" s="12"/>
      <c r="K421" s="12"/>
      <c r="L421" s="53"/>
    </row>
    <row r="422" spans="1:12">
      <c r="A422" s="12"/>
      <c r="B422" s="12"/>
      <c r="C422" s="12"/>
      <c r="D422" s="52"/>
      <c r="E422" s="12"/>
      <c r="F422" s="12"/>
      <c r="G422" s="12"/>
      <c r="H422" s="12"/>
      <c r="I422" s="12"/>
      <c r="J422" s="12"/>
      <c r="K422" s="12"/>
      <c r="L422" s="53"/>
    </row>
    <row r="423" spans="1:12">
      <c r="A423" s="83"/>
      <c r="B423" s="83"/>
      <c r="C423" s="83"/>
      <c r="D423" s="84"/>
      <c r="E423" s="83"/>
      <c r="F423" s="84"/>
      <c r="G423" s="83"/>
      <c r="H423" s="83"/>
      <c r="I423" s="83"/>
      <c r="J423" s="83"/>
      <c r="K423" s="83"/>
      <c r="L423" s="53"/>
    </row>
    <row r="424" spans="1:12">
      <c r="A424" s="83"/>
      <c r="B424" s="83"/>
      <c r="C424" s="83"/>
      <c r="D424" s="84"/>
      <c r="E424" s="83"/>
      <c r="F424" s="84"/>
      <c r="G424" s="83"/>
      <c r="H424" s="83"/>
      <c r="I424" s="83"/>
      <c r="J424" s="83"/>
      <c r="K424" s="83"/>
      <c r="L424" s="53"/>
    </row>
    <row r="425" spans="1:12">
      <c r="A425" s="83"/>
      <c r="B425" s="83"/>
      <c r="C425" s="83"/>
      <c r="D425" s="84"/>
      <c r="E425" s="83"/>
      <c r="F425" s="84"/>
      <c r="G425" s="83"/>
      <c r="H425" s="83"/>
      <c r="I425" s="83"/>
      <c r="J425" s="83"/>
      <c r="K425" s="83"/>
      <c r="L425" s="53"/>
    </row>
    <row r="426" spans="1:12">
      <c r="A426" s="83"/>
      <c r="B426" s="83"/>
      <c r="C426" s="83"/>
      <c r="D426" s="84"/>
      <c r="E426" s="83"/>
      <c r="F426" s="84"/>
      <c r="G426" s="83"/>
      <c r="H426" s="83"/>
      <c r="I426" s="83"/>
      <c r="J426" s="83"/>
      <c r="K426" s="83"/>
      <c r="L426" s="53"/>
    </row>
    <row r="427" spans="1:12">
      <c r="A427" s="83"/>
      <c r="B427" s="83"/>
      <c r="C427" s="83"/>
      <c r="D427" s="84"/>
      <c r="E427" s="83"/>
      <c r="F427" s="84"/>
      <c r="G427" s="83"/>
      <c r="H427" s="83"/>
      <c r="I427" s="83"/>
      <c r="J427" s="83"/>
      <c r="K427" s="83"/>
      <c r="L427" s="53"/>
    </row>
    <row r="428" spans="1:12">
      <c r="A428" s="83"/>
      <c r="B428" s="83"/>
      <c r="C428" s="83"/>
      <c r="D428" s="84"/>
      <c r="E428" s="83"/>
      <c r="F428" s="84"/>
      <c r="G428" s="83"/>
      <c r="H428" s="83"/>
      <c r="I428" s="83"/>
      <c r="J428" s="83"/>
      <c r="K428" s="83"/>
      <c r="L428" s="53"/>
    </row>
    <row r="429" spans="1:12">
      <c r="A429" s="83"/>
      <c r="B429" s="83"/>
      <c r="C429" s="83"/>
      <c r="D429" s="84"/>
      <c r="E429" s="83"/>
      <c r="F429" s="84"/>
      <c r="G429" s="83"/>
      <c r="H429" s="83"/>
      <c r="I429" s="83"/>
      <c r="J429" s="83"/>
      <c r="K429" s="83"/>
      <c r="L429" s="53"/>
    </row>
    <row r="430" spans="1:12">
      <c r="A430" s="83"/>
      <c r="B430" s="83"/>
      <c r="C430" s="83"/>
      <c r="D430" s="84"/>
      <c r="E430" s="83"/>
      <c r="F430" s="84"/>
      <c r="G430" s="83"/>
      <c r="H430" s="83"/>
      <c r="I430" s="83"/>
      <c r="J430" s="83"/>
      <c r="K430" s="83"/>
      <c r="L430" s="53"/>
    </row>
    <row r="431" spans="1:12">
      <c r="A431" s="83"/>
      <c r="B431" s="83"/>
      <c r="C431" s="83"/>
      <c r="D431" s="84"/>
      <c r="E431" s="83"/>
      <c r="F431" s="84"/>
      <c r="G431" s="83"/>
      <c r="H431" s="83"/>
      <c r="I431" s="83"/>
      <c r="J431" s="83"/>
      <c r="K431" s="83"/>
      <c r="L431" s="53"/>
    </row>
    <row r="432" spans="1:12">
      <c r="A432" s="83"/>
      <c r="B432" s="83"/>
      <c r="C432" s="83"/>
      <c r="D432" s="84"/>
      <c r="E432" s="83"/>
      <c r="F432" s="84"/>
      <c r="G432" s="83"/>
      <c r="H432" s="83"/>
      <c r="I432" s="83"/>
      <c r="J432" s="83"/>
      <c r="K432" s="83"/>
      <c r="L432" s="53"/>
    </row>
    <row r="433" spans="1:12">
      <c r="A433" s="83"/>
      <c r="B433" s="83"/>
      <c r="C433" s="83"/>
      <c r="D433" s="84"/>
      <c r="E433" s="83"/>
      <c r="F433" s="84"/>
      <c r="G433" s="83"/>
      <c r="H433" s="83"/>
      <c r="I433" s="83"/>
      <c r="J433" s="83"/>
      <c r="K433" s="83"/>
      <c r="L433" s="53"/>
    </row>
    <row r="434" spans="1:12">
      <c r="A434" s="83"/>
      <c r="B434" s="83"/>
      <c r="C434" s="83"/>
      <c r="D434" s="84"/>
      <c r="E434" s="83"/>
      <c r="F434" s="84"/>
      <c r="G434" s="83"/>
      <c r="H434" s="83"/>
      <c r="I434" s="83"/>
      <c r="J434" s="83"/>
      <c r="K434" s="83"/>
      <c r="L434" s="53"/>
    </row>
    <row r="435" spans="1:12">
      <c r="A435" s="83"/>
      <c r="B435" s="83"/>
      <c r="C435" s="83"/>
      <c r="D435" s="84"/>
      <c r="E435" s="83"/>
      <c r="F435" s="84"/>
      <c r="G435" s="83"/>
      <c r="H435" s="83"/>
      <c r="I435" s="83"/>
      <c r="J435" s="83"/>
      <c r="K435" s="83"/>
      <c r="L435" s="53"/>
    </row>
    <row r="436" spans="1:12">
      <c r="A436" s="12"/>
      <c r="B436" s="12"/>
      <c r="C436" s="12"/>
      <c r="D436" s="52"/>
      <c r="E436" s="12"/>
      <c r="F436" s="12"/>
      <c r="G436" s="12"/>
      <c r="H436" s="12"/>
      <c r="I436" s="12"/>
      <c r="J436" s="12"/>
      <c r="K436" s="12"/>
      <c r="L436" s="53"/>
    </row>
    <row r="437" spans="1:12">
      <c r="A437" s="12"/>
      <c r="B437" s="12"/>
      <c r="C437" s="12"/>
      <c r="D437" s="52"/>
      <c r="E437" s="12"/>
      <c r="F437" s="12"/>
      <c r="G437" s="12"/>
      <c r="H437" s="12"/>
      <c r="I437" s="12"/>
      <c r="J437" s="12"/>
      <c r="K437" s="12"/>
      <c r="L437" s="53"/>
    </row>
    <row r="438" spans="1:12">
      <c r="A438" s="12"/>
      <c r="B438" s="12"/>
      <c r="C438" s="12"/>
      <c r="D438" s="52"/>
      <c r="E438" s="12"/>
      <c r="F438" s="12"/>
      <c r="G438" s="12"/>
      <c r="H438" s="12"/>
      <c r="I438" s="12"/>
      <c r="J438" s="12"/>
      <c r="K438" s="12"/>
      <c r="L438" s="53"/>
    </row>
    <row r="439" spans="1:12">
      <c r="A439" s="12"/>
      <c r="B439" s="12"/>
      <c r="C439" s="12"/>
      <c r="D439" s="52"/>
      <c r="E439" s="12"/>
      <c r="F439" s="12"/>
      <c r="G439" s="12"/>
      <c r="H439" s="12"/>
      <c r="I439" s="12"/>
      <c r="J439" s="12"/>
      <c r="K439" s="12"/>
      <c r="L439" s="53"/>
    </row>
    <row r="440" spans="1:12">
      <c r="A440" s="12"/>
      <c r="B440" s="12"/>
      <c r="C440" s="12"/>
      <c r="D440" s="52"/>
      <c r="E440" s="12"/>
      <c r="F440" s="12"/>
      <c r="G440" s="12"/>
      <c r="H440" s="12"/>
      <c r="I440" s="12"/>
      <c r="J440" s="12"/>
      <c r="K440" s="12"/>
      <c r="L440" s="53"/>
    </row>
    <row r="441" spans="1:12">
      <c r="A441" s="12"/>
      <c r="B441" s="12"/>
      <c r="C441" s="12"/>
      <c r="D441" s="52"/>
      <c r="E441" s="12"/>
      <c r="F441" s="12"/>
      <c r="G441" s="12"/>
      <c r="H441" s="12"/>
      <c r="I441" s="12"/>
      <c r="J441" s="12"/>
      <c r="K441" s="12"/>
      <c r="L441" s="53"/>
    </row>
    <row r="442" spans="1:12">
      <c r="A442" s="12"/>
      <c r="B442" s="12"/>
      <c r="C442" s="12"/>
      <c r="D442" s="52"/>
      <c r="E442" s="12"/>
      <c r="F442" s="12"/>
      <c r="G442" s="12"/>
      <c r="H442" s="12"/>
      <c r="I442" s="12"/>
      <c r="J442" s="12"/>
      <c r="K442" s="12"/>
      <c r="L442" s="53"/>
    </row>
    <row r="443" spans="1:12">
      <c r="A443" s="12"/>
      <c r="B443" s="12"/>
      <c r="C443" s="12"/>
      <c r="D443" s="52"/>
      <c r="E443" s="12"/>
      <c r="F443" s="12"/>
      <c r="G443" s="12"/>
      <c r="H443" s="12"/>
      <c r="I443" s="12"/>
      <c r="J443" s="12"/>
      <c r="K443" s="12"/>
      <c r="L443" s="53"/>
    </row>
    <row r="444" spans="1:12">
      <c r="A444" s="12"/>
      <c r="B444" s="12"/>
      <c r="C444" s="12"/>
      <c r="D444" s="52"/>
      <c r="E444" s="12"/>
      <c r="F444" s="12"/>
      <c r="G444" s="12"/>
      <c r="H444" s="12"/>
      <c r="I444" s="12"/>
      <c r="J444" s="12"/>
      <c r="K444" s="12"/>
      <c r="L444" s="53"/>
    </row>
    <row r="445" spans="1:12">
      <c r="A445" s="12"/>
      <c r="B445" s="12"/>
      <c r="C445" s="12"/>
      <c r="D445" s="52"/>
      <c r="E445" s="12"/>
      <c r="F445" s="12"/>
      <c r="G445" s="12"/>
      <c r="H445" s="12"/>
      <c r="I445" s="12"/>
      <c r="J445" s="12"/>
      <c r="K445" s="12"/>
      <c r="L445" s="53"/>
    </row>
    <row r="446" spans="1:12">
      <c r="A446" s="12"/>
      <c r="B446" s="12"/>
      <c r="C446" s="12"/>
      <c r="D446" s="52"/>
      <c r="E446" s="12"/>
      <c r="F446" s="12"/>
      <c r="G446" s="12"/>
      <c r="H446" s="12"/>
      <c r="I446" s="12"/>
      <c r="J446" s="12"/>
      <c r="K446" s="12"/>
      <c r="L446" s="53"/>
    </row>
    <row r="447" spans="1:12">
      <c r="A447" s="12"/>
      <c r="B447" s="12"/>
      <c r="C447" s="12"/>
      <c r="D447" s="52"/>
      <c r="E447" s="12"/>
      <c r="F447" s="12"/>
      <c r="G447" s="12"/>
      <c r="H447" s="12"/>
      <c r="I447" s="12"/>
      <c r="J447" s="12"/>
      <c r="K447" s="12"/>
      <c r="L447" s="53"/>
    </row>
    <row r="448" spans="1:12">
      <c r="A448" s="83"/>
      <c r="B448" s="83"/>
      <c r="C448" s="83"/>
      <c r="D448" s="84"/>
      <c r="E448" s="83"/>
      <c r="F448" s="84"/>
      <c r="G448" s="83"/>
      <c r="H448" s="83"/>
      <c r="I448" s="83"/>
      <c r="J448" s="83"/>
      <c r="K448" s="83"/>
      <c r="L448" s="53"/>
    </row>
    <row r="449" spans="1:12">
      <c r="A449" s="12"/>
      <c r="B449" s="12"/>
      <c r="C449" s="12"/>
      <c r="D449" s="52"/>
      <c r="E449" s="12"/>
      <c r="F449" s="12"/>
      <c r="G449" s="12"/>
      <c r="H449" s="12"/>
      <c r="I449" s="12"/>
      <c r="J449" s="12"/>
      <c r="K449" s="12"/>
      <c r="L449" s="53"/>
    </row>
    <row r="450" spans="1:12">
      <c r="A450" s="12"/>
      <c r="B450" s="12"/>
      <c r="C450" s="12"/>
      <c r="D450" s="52"/>
      <c r="E450" s="12"/>
      <c r="F450" s="12"/>
      <c r="G450" s="12"/>
      <c r="H450" s="12"/>
      <c r="I450" s="12"/>
      <c r="J450" s="12"/>
      <c r="K450" s="12"/>
      <c r="L450" s="53"/>
    </row>
    <row r="451" spans="1:12">
      <c r="A451" s="12"/>
      <c r="B451" s="12"/>
      <c r="C451" s="12"/>
      <c r="D451" s="52"/>
      <c r="E451" s="12"/>
      <c r="F451" s="12"/>
      <c r="G451" s="12"/>
      <c r="H451" s="12"/>
      <c r="I451" s="12"/>
      <c r="J451" s="12"/>
      <c r="K451" s="12"/>
      <c r="L451" s="53"/>
    </row>
    <row r="452" spans="1:12">
      <c r="A452" s="12"/>
      <c r="B452" s="12"/>
      <c r="C452" s="12"/>
      <c r="D452" s="52"/>
      <c r="E452" s="12"/>
      <c r="F452" s="12"/>
      <c r="G452" s="12"/>
      <c r="H452" s="12"/>
      <c r="I452" s="12"/>
      <c r="J452" s="12"/>
      <c r="K452" s="12"/>
      <c r="L452" s="53"/>
    </row>
    <row r="453" spans="1:12">
      <c r="A453" s="12"/>
      <c r="B453" s="12"/>
      <c r="C453" s="12"/>
      <c r="D453" s="52"/>
      <c r="E453" s="12"/>
      <c r="F453" s="12"/>
      <c r="G453" s="12"/>
      <c r="H453" s="12"/>
      <c r="I453" s="12"/>
      <c r="J453" s="12"/>
      <c r="K453" s="12"/>
      <c r="L453" s="53"/>
    </row>
    <row r="454" spans="1:12">
      <c r="A454" s="12"/>
      <c r="B454" s="12"/>
      <c r="C454" s="12"/>
      <c r="D454" s="52"/>
      <c r="E454" s="12"/>
      <c r="F454" s="12"/>
      <c r="G454" s="12"/>
      <c r="H454" s="12"/>
      <c r="I454" s="12"/>
      <c r="J454" s="12"/>
      <c r="K454" s="12"/>
      <c r="L454" s="53"/>
    </row>
    <row r="455" spans="1:12">
      <c r="A455" s="83"/>
      <c r="B455" s="83"/>
      <c r="C455" s="83"/>
      <c r="D455" s="84"/>
      <c r="E455" s="83"/>
      <c r="F455" s="84"/>
      <c r="G455" s="83"/>
      <c r="H455" s="83"/>
      <c r="I455" s="83"/>
      <c r="J455" s="83"/>
      <c r="K455" s="83"/>
      <c r="L455" s="53"/>
    </row>
    <row r="456" spans="1:12">
      <c r="A456" s="12"/>
      <c r="B456" s="12"/>
      <c r="C456" s="12"/>
      <c r="D456" s="52"/>
      <c r="E456" s="12"/>
      <c r="F456" s="12"/>
      <c r="G456" s="12"/>
      <c r="H456" s="12"/>
      <c r="I456" s="12"/>
      <c r="J456" s="12"/>
      <c r="K456" s="12"/>
      <c r="L456" s="53"/>
    </row>
    <row r="457" spans="1:12">
      <c r="A457" s="12"/>
      <c r="B457" s="12"/>
      <c r="C457" s="12"/>
      <c r="D457" s="52"/>
      <c r="E457" s="12"/>
      <c r="F457" s="12"/>
      <c r="G457" s="12"/>
      <c r="H457" s="12"/>
      <c r="I457" s="12"/>
      <c r="J457" s="12"/>
      <c r="K457" s="12"/>
      <c r="L457" s="53"/>
    </row>
    <row r="458" spans="1:12">
      <c r="A458" s="12"/>
      <c r="B458" s="12"/>
      <c r="C458" s="12"/>
      <c r="D458" s="52"/>
      <c r="E458" s="12"/>
      <c r="F458" s="12"/>
      <c r="G458" s="12"/>
      <c r="H458" s="12"/>
      <c r="I458" s="12"/>
      <c r="J458" s="12"/>
      <c r="K458" s="12"/>
      <c r="L458" s="53"/>
    </row>
    <row r="459" spans="1:12">
      <c r="A459" s="12"/>
      <c r="B459" s="12"/>
      <c r="C459" s="12"/>
      <c r="D459" s="52"/>
      <c r="E459" s="12"/>
      <c r="F459" s="12"/>
      <c r="G459" s="12"/>
      <c r="H459" s="12"/>
      <c r="I459" s="12"/>
      <c r="J459" s="12"/>
      <c r="K459" s="12"/>
      <c r="L459" s="53"/>
    </row>
    <row r="460" spans="1:12">
      <c r="A460" s="12"/>
      <c r="B460" s="12"/>
      <c r="C460" s="12"/>
      <c r="D460" s="52"/>
      <c r="E460" s="12"/>
      <c r="F460" s="12"/>
      <c r="G460" s="12"/>
      <c r="H460" s="12"/>
      <c r="I460" s="12"/>
      <c r="J460" s="12"/>
      <c r="K460" s="12"/>
      <c r="L460" s="53"/>
    </row>
    <row r="461" spans="1:12">
      <c r="A461" s="12"/>
      <c r="B461" s="12"/>
      <c r="C461" s="12"/>
      <c r="D461" s="52"/>
      <c r="E461" s="12"/>
      <c r="F461" s="12"/>
      <c r="G461" s="12"/>
      <c r="H461" s="12"/>
      <c r="I461" s="12"/>
      <c r="J461" s="12"/>
      <c r="K461" s="12"/>
      <c r="L461" s="53"/>
    </row>
    <row r="462" spans="1:12">
      <c r="A462" s="12"/>
      <c r="B462" s="12"/>
      <c r="C462" s="12"/>
      <c r="D462" s="52"/>
      <c r="E462" s="12"/>
      <c r="F462" s="12"/>
      <c r="G462" s="12"/>
      <c r="H462" s="12"/>
      <c r="I462" s="12"/>
      <c r="J462" s="12"/>
      <c r="K462" s="12"/>
      <c r="L462" s="53"/>
    </row>
    <row r="463" spans="1:12">
      <c r="A463" s="12"/>
      <c r="B463" s="12"/>
      <c r="C463" s="12"/>
      <c r="D463" s="52"/>
      <c r="E463" s="12"/>
      <c r="F463" s="12"/>
      <c r="G463" s="12"/>
      <c r="H463" s="12"/>
      <c r="I463" s="12"/>
      <c r="J463" s="12"/>
      <c r="K463" s="12"/>
      <c r="L463" s="53"/>
    </row>
    <row r="464" spans="1:12">
      <c r="A464" s="12"/>
      <c r="B464" s="12"/>
      <c r="C464" s="12"/>
      <c r="D464" s="52"/>
      <c r="E464" s="12"/>
      <c r="F464" s="12"/>
      <c r="G464" s="12"/>
      <c r="H464" s="12"/>
      <c r="I464" s="12"/>
      <c r="J464" s="12"/>
      <c r="K464" s="12"/>
      <c r="L464" s="53"/>
    </row>
    <row r="465" spans="1:12">
      <c r="A465" s="12"/>
      <c r="B465" s="12"/>
      <c r="C465" s="12"/>
      <c r="D465" s="52"/>
      <c r="E465" s="12"/>
      <c r="F465" s="12"/>
      <c r="G465" s="12"/>
      <c r="H465" s="12"/>
      <c r="I465" s="12"/>
      <c r="J465" s="12"/>
      <c r="K465" s="12"/>
      <c r="L465" s="53"/>
    </row>
    <row r="466" spans="1:12">
      <c r="A466" s="83"/>
      <c r="B466" s="83"/>
      <c r="C466" s="83"/>
      <c r="D466" s="84"/>
      <c r="E466" s="83"/>
      <c r="F466" s="84"/>
      <c r="G466" s="83"/>
      <c r="H466" s="83"/>
      <c r="I466" s="83"/>
      <c r="J466" s="83"/>
      <c r="K466" s="83"/>
      <c r="L466" s="53"/>
    </row>
    <row r="467" spans="1:12">
      <c r="A467" s="83"/>
      <c r="B467" s="83"/>
      <c r="C467" s="83"/>
      <c r="D467" s="84"/>
      <c r="E467" s="83"/>
      <c r="F467" s="84"/>
      <c r="G467" s="83"/>
      <c r="H467" s="83"/>
      <c r="I467" s="83"/>
      <c r="J467" s="83"/>
      <c r="K467" s="83"/>
      <c r="L467" s="53"/>
    </row>
    <row r="468" spans="1:12">
      <c r="A468" s="83"/>
      <c r="B468" s="83"/>
      <c r="C468" s="83"/>
      <c r="D468" s="84"/>
      <c r="E468" s="83"/>
      <c r="F468" s="84"/>
      <c r="G468" s="83"/>
      <c r="H468" s="83"/>
      <c r="I468" s="83"/>
      <c r="J468" s="83"/>
      <c r="K468" s="83"/>
      <c r="L468" s="53"/>
    </row>
    <row r="469" spans="1:12">
      <c r="A469" s="83"/>
      <c r="B469" s="83"/>
      <c r="C469" s="83"/>
      <c r="D469" s="84"/>
      <c r="E469" s="83"/>
      <c r="F469" s="84"/>
      <c r="G469" s="83"/>
      <c r="H469" s="83"/>
      <c r="I469" s="83"/>
      <c r="J469" s="83"/>
      <c r="K469" s="83"/>
      <c r="L469" s="53"/>
    </row>
    <row r="470" spans="1:12">
      <c r="A470" s="12"/>
      <c r="B470" s="12"/>
      <c r="C470" s="12"/>
      <c r="D470" s="52"/>
      <c r="E470" s="12"/>
      <c r="F470" s="12"/>
      <c r="G470" s="12"/>
      <c r="H470" s="12"/>
      <c r="I470" s="12"/>
      <c r="J470" s="12"/>
      <c r="K470" s="12"/>
      <c r="L470" s="53"/>
    </row>
    <row r="471" spans="1:12">
      <c r="A471" s="12"/>
      <c r="B471" s="12"/>
      <c r="C471" s="12"/>
      <c r="D471" s="52"/>
      <c r="E471" s="12"/>
      <c r="F471" s="12"/>
      <c r="G471" s="12"/>
      <c r="H471" s="12"/>
      <c r="I471" s="12"/>
      <c r="J471" s="12"/>
      <c r="K471" s="12"/>
      <c r="L471" s="53"/>
    </row>
    <row r="472" spans="1:12">
      <c r="A472" s="12"/>
      <c r="B472" s="12"/>
      <c r="C472" s="12"/>
      <c r="D472" s="52"/>
      <c r="E472" s="12"/>
      <c r="F472" s="12"/>
      <c r="G472" s="12"/>
      <c r="H472" s="12"/>
      <c r="I472" s="12"/>
      <c r="J472" s="12"/>
      <c r="K472" s="12"/>
      <c r="L472" s="53"/>
    </row>
    <row r="473" spans="1:12">
      <c r="A473" s="12"/>
      <c r="B473" s="12"/>
      <c r="C473" s="12"/>
      <c r="D473" s="52"/>
      <c r="E473" s="12"/>
      <c r="F473" s="12"/>
      <c r="G473" s="12"/>
      <c r="H473" s="12"/>
      <c r="I473" s="12"/>
      <c r="J473" s="12"/>
      <c r="K473" s="12"/>
      <c r="L473" s="53"/>
    </row>
    <row r="474" spans="1:12">
      <c r="A474" s="12"/>
      <c r="B474" s="12"/>
      <c r="C474" s="12"/>
      <c r="D474" s="52"/>
      <c r="E474" s="12"/>
      <c r="F474" s="12"/>
      <c r="G474" s="12"/>
      <c r="H474" s="12"/>
      <c r="I474" s="12"/>
      <c r="J474" s="12"/>
      <c r="K474" s="12"/>
      <c r="L474" s="53"/>
    </row>
    <row r="475" spans="1:12">
      <c r="A475" s="83"/>
      <c r="B475" s="12"/>
      <c r="C475" s="83"/>
      <c r="D475" s="84"/>
      <c r="E475" s="83"/>
      <c r="F475" s="84"/>
      <c r="G475" s="83"/>
      <c r="H475" s="83"/>
      <c r="I475" s="83"/>
      <c r="J475" s="83"/>
      <c r="K475" s="83"/>
      <c r="L475" s="53"/>
    </row>
    <row r="476" spans="1:12">
      <c r="A476" s="83"/>
      <c r="B476" s="12"/>
      <c r="C476" s="83"/>
      <c r="D476" s="84"/>
      <c r="E476" s="83"/>
      <c r="F476" s="84"/>
      <c r="G476" s="83"/>
      <c r="H476" s="83"/>
      <c r="I476" s="83"/>
      <c r="J476" s="83"/>
      <c r="K476" s="83"/>
      <c r="L476" s="53"/>
    </row>
    <row r="477" spans="1:12">
      <c r="A477" s="83"/>
      <c r="B477" s="12"/>
      <c r="C477" s="83"/>
      <c r="D477" s="84"/>
      <c r="E477" s="83"/>
      <c r="F477" s="84"/>
      <c r="G477" s="83"/>
      <c r="H477" s="83"/>
      <c r="I477" s="83"/>
      <c r="J477" s="83"/>
      <c r="K477" s="83"/>
      <c r="L477" s="53"/>
    </row>
    <row r="478" spans="1:12">
      <c r="A478" s="83"/>
      <c r="B478" s="12"/>
      <c r="C478" s="83"/>
      <c r="D478" s="84"/>
      <c r="E478" s="83"/>
      <c r="F478" s="84"/>
      <c r="G478" s="83"/>
      <c r="H478" s="83"/>
      <c r="I478" s="83"/>
      <c r="J478" s="83"/>
      <c r="K478" s="83"/>
      <c r="L478" s="53"/>
    </row>
    <row r="479" spans="1:12">
      <c r="A479" s="83"/>
      <c r="B479" s="12"/>
      <c r="C479" s="83"/>
      <c r="D479" s="84"/>
      <c r="E479" s="83"/>
      <c r="F479" s="84"/>
      <c r="G479" s="83"/>
      <c r="H479" s="83"/>
      <c r="I479" s="83"/>
      <c r="J479" s="83"/>
      <c r="K479" s="83"/>
      <c r="L479" s="53"/>
    </row>
    <row r="480" spans="1:12">
      <c r="A480" s="83"/>
      <c r="B480" s="12"/>
      <c r="C480" s="83"/>
      <c r="D480" s="84"/>
      <c r="E480" s="83"/>
      <c r="F480" s="84"/>
      <c r="G480" s="83"/>
      <c r="H480" s="83"/>
      <c r="I480" s="83"/>
      <c r="J480" s="83"/>
      <c r="K480" s="83"/>
      <c r="L480" s="53"/>
    </row>
    <row r="481" spans="1:12">
      <c r="A481" s="83"/>
      <c r="B481" s="12"/>
      <c r="C481" s="83"/>
      <c r="D481" s="84"/>
      <c r="E481" s="83"/>
      <c r="F481" s="84"/>
      <c r="G481" s="83"/>
      <c r="H481" s="83"/>
      <c r="I481" s="83"/>
      <c r="J481" s="83"/>
      <c r="K481" s="83"/>
      <c r="L481" s="53"/>
    </row>
    <row r="482" spans="1:12">
      <c r="A482" s="83"/>
      <c r="B482" s="12"/>
      <c r="C482" s="83"/>
      <c r="D482" s="84"/>
      <c r="E482" s="83"/>
      <c r="F482" s="84"/>
      <c r="G482" s="83"/>
      <c r="H482" s="83"/>
      <c r="I482" s="83"/>
      <c r="J482" s="83"/>
      <c r="K482" s="83"/>
      <c r="L482" s="53"/>
    </row>
    <row r="483" spans="1:12">
      <c r="A483" s="83"/>
      <c r="B483" s="12"/>
      <c r="C483" s="83"/>
      <c r="D483" s="84"/>
      <c r="E483" s="83"/>
      <c r="F483" s="84"/>
      <c r="G483" s="83"/>
      <c r="H483" s="83"/>
      <c r="I483" s="83"/>
      <c r="J483" s="83"/>
      <c r="K483" s="83"/>
      <c r="L483" s="53"/>
    </row>
    <row r="484" spans="1:12">
      <c r="A484" s="83"/>
      <c r="B484" s="12"/>
      <c r="C484" s="83"/>
      <c r="D484" s="84"/>
      <c r="E484" s="83"/>
      <c r="F484" s="84"/>
      <c r="G484" s="83"/>
      <c r="H484" s="83"/>
      <c r="I484" s="83"/>
      <c r="J484" s="83"/>
      <c r="K484" s="83"/>
      <c r="L484" s="53"/>
    </row>
    <row r="485" spans="1:12">
      <c r="A485" s="83"/>
      <c r="B485" s="12"/>
      <c r="C485" s="83"/>
      <c r="D485" s="84"/>
      <c r="E485" s="83"/>
      <c r="F485" s="84"/>
      <c r="G485" s="83"/>
      <c r="H485" s="83"/>
      <c r="I485" s="83"/>
      <c r="J485" s="83"/>
      <c r="K485" s="83"/>
      <c r="L485" s="53"/>
    </row>
    <row r="486" spans="1:12">
      <c r="A486" s="83"/>
      <c r="B486" s="12"/>
      <c r="C486" s="83"/>
      <c r="D486" s="84"/>
      <c r="E486" s="83"/>
      <c r="F486" s="84"/>
      <c r="G486" s="83"/>
      <c r="H486" s="83"/>
      <c r="I486" s="83"/>
      <c r="J486" s="83"/>
      <c r="K486" s="83"/>
      <c r="L486" s="53"/>
    </row>
    <row r="487" spans="1:12">
      <c r="A487" s="83"/>
      <c r="B487" s="12"/>
      <c r="C487" s="83"/>
      <c r="D487" s="84"/>
      <c r="E487" s="83"/>
      <c r="F487" s="84"/>
      <c r="G487" s="83"/>
      <c r="H487" s="83"/>
      <c r="I487" s="83"/>
      <c r="J487" s="83"/>
      <c r="K487" s="83"/>
      <c r="L487" s="53"/>
    </row>
    <row r="488" spans="1:12">
      <c r="A488" s="83"/>
      <c r="B488" s="12"/>
      <c r="C488" s="83"/>
      <c r="D488" s="84"/>
      <c r="E488" s="83"/>
      <c r="F488" s="84"/>
      <c r="G488" s="83"/>
      <c r="H488" s="83"/>
      <c r="I488" s="83"/>
      <c r="J488" s="83"/>
      <c r="K488" s="83"/>
      <c r="L488" s="53"/>
    </row>
    <row r="489" spans="1:12">
      <c r="A489" s="83"/>
      <c r="B489" s="12"/>
      <c r="C489" s="83"/>
      <c r="D489" s="84"/>
      <c r="E489" s="83"/>
      <c r="F489" s="84"/>
      <c r="G489" s="83"/>
      <c r="H489" s="83"/>
      <c r="I489" s="83"/>
      <c r="J489" s="83"/>
      <c r="K489" s="83"/>
      <c r="L489" s="53"/>
    </row>
    <row r="490" spans="1:12">
      <c r="A490" s="83"/>
      <c r="B490" s="12"/>
      <c r="C490" s="83"/>
      <c r="D490" s="84"/>
      <c r="E490" s="83"/>
      <c r="F490" s="84"/>
      <c r="G490" s="83"/>
      <c r="H490" s="83"/>
      <c r="I490" s="83"/>
      <c r="J490" s="83"/>
      <c r="K490" s="83"/>
      <c r="L490" s="53"/>
    </row>
    <row r="491" spans="1:12">
      <c r="A491" s="83"/>
      <c r="B491" s="12"/>
      <c r="C491" s="83"/>
      <c r="D491" s="84"/>
      <c r="E491" s="83"/>
      <c r="F491" s="84"/>
      <c r="G491" s="83"/>
      <c r="H491" s="83"/>
      <c r="I491" s="83"/>
      <c r="J491" s="83"/>
      <c r="K491" s="83"/>
      <c r="L491" s="53"/>
    </row>
    <row r="492" spans="1:12">
      <c r="A492" s="83"/>
      <c r="B492" s="12"/>
      <c r="C492" s="83"/>
      <c r="D492" s="84"/>
      <c r="E492" s="83"/>
      <c r="F492" s="84"/>
      <c r="G492" s="83"/>
      <c r="H492" s="83"/>
      <c r="I492" s="83"/>
      <c r="J492" s="83"/>
      <c r="K492" s="83"/>
      <c r="L492" s="53"/>
    </row>
    <row r="493" spans="1:12">
      <c r="A493" s="83"/>
      <c r="B493" s="12"/>
      <c r="C493" s="83"/>
      <c r="D493" s="84"/>
      <c r="E493" s="83"/>
      <c r="F493" s="84"/>
      <c r="G493" s="83"/>
      <c r="H493" s="83"/>
      <c r="I493" s="83"/>
      <c r="J493" s="83"/>
      <c r="K493" s="83"/>
      <c r="L493" s="53"/>
    </row>
    <row r="494" spans="1:12">
      <c r="A494" s="83"/>
      <c r="B494" s="12"/>
      <c r="C494" s="83"/>
      <c r="D494" s="84"/>
      <c r="E494" s="83"/>
      <c r="F494" s="84"/>
      <c r="G494" s="83"/>
      <c r="H494" s="83"/>
      <c r="I494" s="83"/>
      <c r="J494" s="83"/>
      <c r="K494" s="83"/>
      <c r="L494" s="53"/>
    </row>
    <row r="495" spans="1:12">
      <c r="A495" s="83"/>
      <c r="B495" s="12"/>
      <c r="C495" s="83"/>
      <c r="D495" s="84"/>
      <c r="E495" s="83"/>
      <c r="F495" s="84"/>
      <c r="G495" s="83"/>
      <c r="H495" s="83"/>
      <c r="I495" s="83"/>
      <c r="J495" s="83"/>
      <c r="K495" s="83"/>
      <c r="L495" s="53"/>
    </row>
    <row r="496" spans="1:12">
      <c r="A496" s="83"/>
      <c r="B496" s="12"/>
      <c r="C496" s="83"/>
      <c r="D496" s="84"/>
      <c r="E496" s="83"/>
      <c r="F496" s="84"/>
      <c r="G496" s="83"/>
      <c r="H496" s="83"/>
      <c r="I496" s="83"/>
      <c r="J496" s="83"/>
      <c r="K496" s="83"/>
      <c r="L496" s="53"/>
    </row>
    <row r="497" spans="1:12">
      <c r="A497" s="83"/>
      <c r="B497" s="12"/>
      <c r="C497" s="83"/>
      <c r="D497" s="84"/>
      <c r="E497" s="83"/>
      <c r="F497" s="84"/>
      <c r="G497" s="83"/>
      <c r="H497" s="83"/>
      <c r="I497" s="83"/>
      <c r="J497" s="83"/>
      <c r="K497" s="83"/>
      <c r="L497" s="53"/>
    </row>
    <row r="498" spans="1:12">
      <c r="A498" s="83"/>
      <c r="B498" s="12"/>
      <c r="C498" s="83"/>
      <c r="D498" s="84"/>
      <c r="E498" s="83"/>
      <c r="F498" s="84"/>
      <c r="G498" s="83"/>
      <c r="H498" s="83"/>
      <c r="I498" s="83"/>
      <c r="J498" s="83"/>
      <c r="K498" s="83"/>
      <c r="L498" s="53"/>
    </row>
    <row r="499" spans="1:12">
      <c r="A499" s="83"/>
      <c r="B499" s="12"/>
      <c r="C499" s="83"/>
      <c r="D499" s="84"/>
      <c r="E499" s="83"/>
      <c r="F499" s="84"/>
      <c r="G499" s="83"/>
      <c r="H499" s="83"/>
      <c r="I499" s="83"/>
      <c r="J499" s="83"/>
      <c r="K499" s="83"/>
      <c r="L499" s="53"/>
    </row>
    <row r="500" spans="1:12">
      <c r="A500" s="83"/>
      <c r="B500" s="12"/>
      <c r="C500" s="83"/>
      <c r="D500" s="84"/>
      <c r="E500" s="83"/>
      <c r="F500" s="84"/>
      <c r="G500" s="83"/>
      <c r="H500" s="83"/>
      <c r="I500" s="83"/>
      <c r="J500" s="83"/>
      <c r="K500" s="83"/>
      <c r="L500" s="53"/>
    </row>
    <row r="501" spans="1:12">
      <c r="A501" s="83"/>
      <c r="B501" s="12"/>
      <c r="C501" s="83"/>
      <c r="D501" s="84"/>
      <c r="E501" s="83"/>
      <c r="F501" s="84"/>
      <c r="G501" s="83"/>
      <c r="H501" s="83"/>
      <c r="I501" s="83"/>
      <c r="J501" s="83"/>
      <c r="K501" s="83"/>
      <c r="L501" s="53"/>
    </row>
    <row r="502" spans="1:12">
      <c r="A502" s="83"/>
      <c r="B502" s="12"/>
      <c r="C502" s="83"/>
      <c r="D502" s="84"/>
      <c r="E502" s="83"/>
      <c r="F502" s="84"/>
      <c r="G502" s="83"/>
      <c r="H502" s="83"/>
      <c r="I502" s="83"/>
      <c r="J502" s="83"/>
      <c r="K502" s="83"/>
      <c r="L502" s="53"/>
    </row>
    <row r="503" spans="1:12">
      <c r="A503" s="83"/>
      <c r="B503" s="12"/>
      <c r="C503" s="83"/>
      <c r="D503" s="84"/>
      <c r="E503" s="83"/>
      <c r="F503" s="84"/>
      <c r="G503" s="83"/>
      <c r="H503" s="83"/>
      <c r="I503" s="83"/>
      <c r="J503" s="83"/>
      <c r="K503" s="83"/>
      <c r="L503" s="53"/>
    </row>
    <row r="504" spans="1:12">
      <c r="A504" s="83"/>
      <c r="B504" s="12"/>
      <c r="C504" s="83"/>
      <c r="D504" s="84"/>
      <c r="E504" s="83"/>
      <c r="F504" s="84"/>
      <c r="G504" s="83"/>
      <c r="H504" s="83"/>
      <c r="I504" s="83"/>
      <c r="J504" s="83"/>
      <c r="K504" s="83"/>
      <c r="L504" s="53"/>
    </row>
    <row r="505" spans="1:12">
      <c r="A505" s="83"/>
      <c r="B505" s="12"/>
      <c r="C505" s="83"/>
      <c r="D505" s="84"/>
      <c r="E505" s="83"/>
      <c r="F505" s="84"/>
      <c r="G505" s="83"/>
      <c r="H505" s="83"/>
      <c r="I505" s="83"/>
      <c r="J505" s="83"/>
      <c r="K505" s="83"/>
      <c r="L505" s="53"/>
    </row>
    <row r="506" spans="1:12">
      <c r="A506" s="83"/>
      <c r="B506" s="12"/>
      <c r="C506" s="83"/>
      <c r="D506" s="84"/>
      <c r="E506" s="83"/>
      <c r="F506" s="84"/>
      <c r="G506" s="83"/>
      <c r="H506" s="83"/>
      <c r="I506" s="83"/>
      <c r="J506" s="83"/>
      <c r="K506" s="83"/>
      <c r="L506" s="53"/>
    </row>
    <row r="507" spans="1:12">
      <c r="A507" s="83"/>
      <c r="B507" s="12"/>
      <c r="C507" s="83"/>
      <c r="D507" s="84"/>
      <c r="E507" s="83"/>
      <c r="F507" s="84"/>
      <c r="G507" s="83"/>
      <c r="H507" s="83"/>
      <c r="I507" s="83"/>
      <c r="J507" s="83"/>
      <c r="K507" s="83"/>
      <c r="L507" s="53"/>
    </row>
    <row r="508" spans="1:12">
      <c r="A508" s="83"/>
      <c r="B508" s="12"/>
      <c r="C508" s="83"/>
      <c r="D508" s="84"/>
      <c r="E508" s="83"/>
      <c r="F508" s="84"/>
      <c r="G508" s="83"/>
      <c r="H508" s="83"/>
      <c r="I508" s="83"/>
      <c r="J508" s="83"/>
      <c r="K508" s="83"/>
      <c r="L508" s="53"/>
    </row>
    <row r="509" spans="1:12">
      <c r="A509" s="83"/>
      <c r="B509" s="12"/>
      <c r="C509" s="83"/>
      <c r="D509" s="84"/>
      <c r="E509" s="83"/>
      <c r="F509" s="84"/>
      <c r="G509" s="83"/>
      <c r="H509" s="83"/>
      <c r="I509" s="83"/>
      <c r="J509" s="83"/>
      <c r="K509" s="83"/>
      <c r="L509" s="53"/>
    </row>
    <row r="510" spans="1:12">
      <c r="A510" s="83"/>
      <c r="B510" s="12"/>
      <c r="C510" s="83"/>
      <c r="D510" s="84"/>
      <c r="E510" s="83"/>
      <c r="F510" s="84"/>
      <c r="G510" s="83"/>
      <c r="H510" s="83"/>
      <c r="I510" s="83"/>
      <c r="J510" s="83"/>
      <c r="K510" s="83"/>
      <c r="L510" s="53"/>
    </row>
    <row r="511" spans="1:12">
      <c r="A511" s="83"/>
      <c r="B511" s="12"/>
      <c r="C511" s="83"/>
      <c r="D511" s="84"/>
      <c r="E511" s="83"/>
      <c r="F511" s="84"/>
      <c r="G511" s="83"/>
      <c r="H511" s="83"/>
      <c r="I511" s="83"/>
      <c r="J511" s="83"/>
      <c r="K511" s="83"/>
      <c r="L511" s="53"/>
    </row>
    <row r="512" spans="1:12">
      <c r="A512" s="83"/>
      <c r="B512" s="12"/>
      <c r="C512" s="83"/>
      <c r="D512" s="84"/>
      <c r="E512" s="83"/>
      <c r="F512" s="84"/>
      <c r="G512" s="83"/>
      <c r="H512" s="83"/>
      <c r="I512" s="83"/>
      <c r="J512" s="83"/>
      <c r="K512" s="83"/>
      <c r="L512" s="53"/>
    </row>
    <row r="513" spans="1:12">
      <c r="A513" s="83"/>
      <c r="B513" s="12"/>
      <c r="C513" s="83"/>
      <c r="D513" s="84"/>
      <c r="E513" s="83"/>
      <c r="F513" s="84"/>
      <c r="G513" s="83"/>
      <c r="H513" s="83"/>
      <c r="I513" s="83"/>
      <c r="J513" s="83"/>
      <c r="K513" s="83"/>
      <c r="L513" s="53"/>
    </row>
    <row r="514" spans="1:12">
      <c r="A514" s="83"/>
      <c r="B514" s="12"/>
      <c r="C514" s="83"/>
      <c r="D514" s="84"/>
      <c r="E514" s="83"/>
      <c r="F514" s="84"/>
      <c r="G514" s="83"/>
      <c r="H514" s="83"/>
      <c r="I514" s="83"/>
      <c r="J514" s="83"/>
      <c r="K514" s="83"/>
      <c r="L514" s="53"/>
    </row>
    <row r="515" spans="1:12">
      <c r="A515" s="83"/>
      <c r="B515" s="12"/>
      <c r="C515" s="83"/>
      <c r="D515" s="84"/>
      <c r="E515" s="83"/>
      <c r="F515" s="84"/>
      <c r="G515" s="83"/>
      <c r="H515" s="83"/>
      <c r="I515" s="83"/>
      <c r="J515" s="83"/>
      <c r="K515" s="83"/>
      <c r="L515" s="53"/>
    </row>
    <row r="516" spans="1:12">
      <c r="A516" s="83"/>
      <c r="B516" s="12"/>
      <c r="C516" s="83"/>
      <c r="D516" s="84"/>
      <c r="E516" s="83"/>
      <c r="F516" s="84"/>
      <c r="G516" s="83"/>
      <c r="H516" s="83"/>
      <c r="I516" s="83"/>
      <c r="J516" s="83"/>
      <c r="K516" s="83"/>
      <c r="L516" s="53"/>
    </row>
    <row r="517" spans="1:12">
      <c r="A517" s="83"/>
      <c r="B517" s="12"/>
      <c r="C517" s="83"/>
      <c r="D517" s="84"/>
      <c r="E517" s="83"/>
      <c r="F517" s="84"/>
      <c r="G517" s="83"/>
      <c r="H517" s="83"/>
      <c r="I517" s="83"/>
      <c r="J517" s="83"/>
      <c r="K517" s="83"/>
      <c r="L517" s="53"/>
    </row>
    <row r="518" spans="1:12">
      <c r="A518" s="83"/>
      <c r="B518" s="12"/>
      <c r="C518" s="83"/>
      <c r="D518" s="84"/>
      <c r="E518" s="83"/>
      <c r="F518" s="84"/>
      <c r="G518" s="83"/>
      <c r="H518" s="83"/>
      <c r="I518" s="83"/>
      <c r="J518" s="83"/>
      <c r="K518" s="83"/>
      <c r="L518" s="53"/>
    </row>
    <row r="519" spans="1:12">
      <c r="A519" s="83"/>
      <c r="B519" s="12"/>
      <c r="C519" s="83"/>
      <c r="D519" s="84"/>
      <c r="E519" s="83"/>
      <c r="F519" s="84"/>
      <c r="G519" s="83"/>
      <c r="H519" s="83"/>
      <c r="I519" s="83"/>
      <c r="J519" s="83"/>
      <c r="K519" s="83"/>
      <c r="L519" s="53"/>
    </row>
    <row r="520" spans="1:12">
      <c r="A520" s="83"/>
      <c r="B520" s="12"/>
      <c r="C520" s="83"/>
      <c r="D520" s="84"/>
      <c r="E520" s="83"/>
      <c r="F520" s="84"/>
      <c r="G520" s="83"/>
      <c r="H520" s="83"/>
      <c r="I520" s="83"/>
      <c r="J520" s="83"/>
      <c r="K520" s="83"/>
      <c r="L520" s="53"/>
    </row>
    <row r="521" spans="1:12">
      <c r="A521" s="83"/>
      <c r="B521" s="12"/>
      <c r="C521" s="83"/>
      <c r="D521" s="84"/>
      <c r="E521" s="83"/>
      <c r="F521" s="84"/>
      <c r="G521" s="83"/>
      <c r="H521" s="83"/>
      <c r="I521" s="83"/>
      <c r="J521" s="83"/>
      <c r="K521" s="83"/>
      <c r="L521" s="53"/>
    </row>
    <row r="522" spans="1:12">
      <c r="A522" s="83"/>
      <c r="B522" s="12"/>
      <c r="C522" s="83"/>
      <c r="D522" s="84"/>
      <c r="E522" s="83"/>
      <c r="F522" s="84"/>
      <c r="G522" s="83"/>
      <c r="H522" s="83"/>
      <c r="I522" s="83"/>
      <c r="J522" s="83"/>
      <c r="K522" s="83"/>
      <c r="L522" s="53"/>
    </row>
    <row r="523" spans="1:12">
      <c r="A523" s="83"/>
      <c r="B523" s="12"/>
      <c r="C523" s="83"/>
      <c r="D523" s="84"/>
      <c r="E523" s="83"/>
      <c r="F523" s="84"/>
      <c r="G523" s="83"/>
      <c r="H523" s="83"/>
      <c r="I523" s="83"/>
      <c r="J523" s="83"/>
      <c r="K523" s="83"/>
      <c r="L523" s="53"/>
    </row>
    <row r="524" spans="1:12">
      <c r="A524" s="101"/>
      <c r="B524" s="83"/>
      <c r="C524" s="103"/>
      <c r="D524" s="84"/>
      <c r="E524" s="132"/>
      <c r="F524" s="84"/>
      <c r="G524" s="83"/>
      <c r="H524" s="101"/>
      <c r="I524" s="83"/>
      <c r="J524" s="83"/>
      <c r="K524" s="83"/>
      <c r="L524" s="53"/>
    </row>
    <row r="525" spans="1:12">
      <c r="A525" s="83"/>
      <c r="B525" s="83"/>
      <c r="C525" s="97"/>
      <c r="D525" s="84"/>
      <c r="E525" s="83"/>
      <c r="F525" s="84"/>
      <c r="G525" s="83"/>
      <c r="H525" s="98"/>
      <c r="I525" s="83"/>
      <c r="J525" s="83"/>
      <c r="K525" s="83"/>
      <c r="L525" s="53"/>
    </row>
    <row r="526" spans="1:12">
      <c r="A526" s="83"/>
      <c r="B526" s="83"/>
      <c r="C526" s="99"/>
      <c r="D526" s="84"/>
      <c r="E526" s="83"/>
      <c r="F526" s="84"/>
      <c r="G526" s="83"/>
      <c r="H526" s="83"/>
      <c r="I526" s="83"/>
      <c r="J526" s="83"/>
      <c r="K526" s="83"/>
      <c r="L526" s="53"/>
    </row>
    <row r="527" spans="1:12">
      <c r="A527" s="83"/>
      <c r="B527" s="83"/>
      <c r="C527" s="83"/>
      <c r="D527" s="84"/>
      <c r="E527" s="83"/>
      <c r="F527" s="84"/>
      <c r="G527" s="83"/>
      <c r="H527" s="101"/>
      <c r="I527" s="83"/>
      <c r="J527" s="83"/>
      <c r="K527" s="83"/>
      <c r="L527" s="53"/>
    </row>
    <row r="528" spans="1:12">
      <c r="A528" s="83"/>
      <c r="B528" s="83"/>
      <c r="C528" s="83"/>
      <c r="D528" s="84"/>
      <c r="E528" s="83"/>
      <c r="F528" s="84"/>
      <c r="G528" s="83"/>
      <c r="H528" s="83"/>
      <c r="I528" s="83"/>
      <c r="J528" s="83"/>
      <c r="K528" s="83"/>
      <c r="L528" s="53"/>
    </row>
    <row r="529" spans="1:12">
      <c r="A529" s="83"/>
      <c r="B529" s="83"/>
      <c r="C529" s="83"/>
      <c r="D529" s="84"/>
      <c r="E529" s="83"/>
      <c r="F529" s="84"/>
      <c r="G529" s="83"/>
      <c r="H529" s="83"/>
      <c r="I529" s="83"/>
      <c r="J529" s="83"/>
      <c r="K529" s="83"/>
      <c r="L529" s="53"/>
    </row>
    <row r="530" spans="1:12">
      <c r="A530" s="83"/>
      <c r="B530" s="83"/>
      <c r="C530" s="83"/>
      <c r="D530" s="84"/>
      <c r="E530" s="83"/>
      <c r="F530" s="84"/>
      <c r="G530" s="83"/>
      <c r="H530" s="83"/>
      <c r="I530" s="83"/>
      <c r="J530" s="83"/>
      <c r="K530" s="83"/>
      <c r="L530" s="53"/>
    </row>
    <row r="531" spans="1:12">
      <c r="A531" s="104"/>
      <c r="B531" s="83"/>
      <c r="C531" s="105"/>
      <c r="D531" s="84"/>
      <c r="E531" s="83"/>
      <c r="F531" s="84"/>
      <c r="G531" s="83"/>
      <c r="H531" s="104"/>
      <c r="I531" s="83"/>
      <c r="J531" s="83"/>
      <c r="K531" s="83"/>
      <c r="L531" s="53"/>
    </row>
    <row r="532" spans="1:12">
      <c r="A532" s="104"/>
      <c r="B532" s="83"/>
      <c r="C532" s="105"/>
      <c r="D532" s="84"/>
      <c r="E532" s="83"/>
      <c r="F532" s="84"/>
      <c r="G532" s="83"/>
      <c r="H532" s="104"/>
      <c r="I532" s="83"/>
      <c r="J532" s="83"/>
      <c r="K532" s="83"/>
      <c r="L532" s="53"/>
    </row>
    <row r="533" spans="1:12">
      <c r="A533" s="104"/>
      <c r="B533" s="83"/>
      <c r="C533" s="106"/>
      <c r="D533" s="84"/>
      <c r="E533" s="83"/>
      <c r="F533" s="84"/>
      <c r="G533" s="83"/>
      <c r="H533" s="104"/>
      <c r="I533" s="83"/>
      <c r="J533" s="83"/>
      <c r="K533" s="83"/>
      <c r="L533" s="53"/>
    </row>
    <row r="534" spans="1:12">
      <c r="A534" s="104"/>
      <c r="B534" s="83"/>
      <c r="C534" s="105"/>
      <c r="D534" s="84"/>
      <c r="E534" s="83"/>
      <c r="F534" s="84"/>
      <c r="G534" s="83"/>
      <c r="H534" s="104"/>
      <c r="I534" s="83"/>
      <c r="J534" s="83"/>
      <c r="K534" s="83"/>
      <c r="L534" s="53"/>
    </row>
    <row r="535" spans="1:12">
      <c r="A535" s="104"/>
      <c r="B535" s="83"/>
      <c r="C535" s="105"/>
      <c r="D535" s="84"/>
      <c r="E535" s="83"/>
      <c r="F535" s="84"/>
      <c r="G535" s="83"/>
      <c r="H535" s="104"/>
      <c r="I535" s="83"/>
      <c r="J535" s="83"/>
      <c r="K535" s="83"/>
      <c r="L535" s="53"/>
    </row>
    <row r="536" spans="1:12">
      <c r="A536" s="104"/>
      <c r="B536" s="83"/>
      <c r="C536" s="105"/>
      <c r="D536" s="84"/>
      <c r="E536" s="83"/>
      <c r="F536" s="84"/>
      <c r="G536" s="83"/>
      <c r="H536" s="104"/>
      <c r="I536" s="83"/>
      <c r="J536" s="83"/>
      <c r="K536" s="83"/>
      <c r="L536" s="53"/>
    </row>
    <row r="537" spans="1:12">
      <c r="A537" s="104"/>
      <c r="B537" s="83"/>
      <c r="C537" s="106"/>
      <c r="D537" s="84"/>
      <c r="E537" s="83"/>
      <c r="F537" s="84"/>
      <c r="G537" s="83"/>
      <c r="H537" s="104"/>
      <c r="I537" s="83"/>
      <c r="J537" s="83"/>
      <c r="K537" s="83"/>
      <c r="L537" s="53"/>
    </row>
    <row r="538" spans="1:12">
      <c r="A538" s="104"/>
      <c r="B538" s="83"/>
      <c r="C538" s="105"/>
      <c r="D538" s="84"/>
      <c r="E538" s="83"/>
      <c r="F538" s="84"/>
      <c r="G538" s="83"/>
      <c r="H538" s="104"/>
      <c r="I538" s="83"/>
      <c r="J538" s="83"/>
      <c r="K538" s="83"/>
      <c r="L538" s="53"/>
    </row>
    <row r="539" spans="1:12">
      <c r="A539" s="104"/>
      <c r="B539" s="83"/>
      <c r="C539" s="105"/>
      <c r="D539" s="84"/>
      <c r="E539" s="83"/>
      <c r="F539" s="84"/>
      <c r="G539" s="83"/>
      <c r="H539" s="104"/>
      <c r="I539" s="83"/>
      <c r="J539" s="83"/>
      <c r="K539" s="83"/>
      <c r="L539" s="53"/>
    </row>
    <row r="540" spans="1:12">
      <c r="A540" s="104"/>
      <c r="B540" s="83"/>
      <c r="C540" s="105"/>
      <c r="D540" s="84"/>
      <c r="E540" s="83"/>
      <c r="F540" s="84"/>
      <c r="G540" s="83"/>
      <c r="H540" s="104"/>
      <c r="I540" s="83"/>
      <c r="J540" s="83"/>
      <c r="K540" s="83"/>
      <c r="L540" s="53"/>
    </row>
    <row r="541" spans="1:12">
      <c r="A541" s="101"/>
      <c r="B541" s="83"/>
      <c r="C541" s="100"/>
      <c r="D541" s="84"/>
      <c r="E541" s="83"/>
      <c r="F541" s="84"/>
      <c r="G541" s="83"/>
      <c r="H541" s="101"/>
      <c r="I541" s="83"/>
      <c r="J541" s="83"/>
      <c r="K541" s="83"/>
      <c r="L541" s="53"/>
    </row>
    <row r="542" spans="1:12">
      <c r="A542" s="101"/>
      <c r="B542" s="83"/>
      <c r="C542" s="100"/>
      <c r="D542" s="84"/>
      <c r="E542" s="83"/>
      <c r="F542" s="84"/>
      <c r="G542" s="83"/>
      <c r="H542" s="101"/>
      <c r="I542" s="83"/>
      <c r="J542" s="83"/>
      <c r="K542" s="83"/>
      <c r="L542" s="53"/>
    </row>
    <row r="543" spans="1:12">
      <c r="A543" s="101"/>
      <c r="B543" s="83"/>
      <c r="C543" s="100"/>
      <c r="D543" s="84"/>
      <c r="E543" s="83"/>
      <c r="F543" s="84"/>
      <c r="G543" s="83"/>
      <c r="H543" s="101"/>
      <c r="I543" s="83"/>
      <c r="J543" s="83"/>
      <c r="K543" s="83"/>
      <c r="L543" s="53"/>
    </row>
    <row r="544" spans="1:12">
      <c r="A544" s="101"/>
      <c r="B544" s="83"/>
      <c r="C544" s="100"/>
      <c r="D544" s="84"/>
      <c r="E544" s="83"/>
      <c r="F544" s="84"/>
      <c r="G544" s="83"/>
      <c r="H544" s="101"/>
      <c r="I544" s="83"/>
      <c r="J544" s="83"/>
      <c r="K544" s="83"/>
      <c r="L544" s="53"/>
    </row>
    <row r="545" spans="1:12">
      <c r="A545" s="101"/>
      <c r="B545" s="83"/>
      <c r="C545" s="100"/>
      <c r="D545" s="84"/>
      <c r="E545" s="83"/>
      <c r="F545" s="84"/>
      <c r="G545" s="83"/>
      <c r="H545" s="101"/>
      <c r="I545" s="83"/>
      <c r="J545" s="83"/>
      <c r="K545" s="83"/>
      <c r="L545" s="53"/>
    </row>
    <row r="546" spans="1:12">
      <c r="A546" s="101"/>
      <c r="B546" s="83"/>
      <c r="C546" s="100"/>
      <c r="D546" s="84"/>
      <c r="E546" s="83"/>
      <c r="F546" s="84"/>
      <c r="G546" s="83"/>
      <c r="H546" s="101"/>
      <c r="I546" s="83"/>
      <c r="J546" s="83"/>
      <c r="K546" s="83"/>
      <c r="L546" s="53"/>
    </row>
    <row r="547" spans="1:12">
      <c r="A547" s="101"/>
      <c r="B547" s="83"/>
      <c r="C547" s="100"/>
      <c r="D547" s="84"/>
      <c r="E547" s="83"/>
      <c r="F547" s="84"/>
      <c r="G547" s="83"/>
      <c r="H547" s="101"/>
      <c r="I547" s="83"/>
      <c r="J547" s="83"/>
      <c r="K547" s="83"/>
      <c r="L547" s="53"/>
    </row>
    <row r="548" spans="1:12">
      <c r="A548" s="101"/>
      <c r="B548" s="83"/>
      <c r="C548" s="100"/>
      <c r="D548" s="84"/>
      <c r="E548" s="83"/>
      <c r="F548" s="84"/>
      <c r="G548" s="83"/>
      <c r="H548" s="101"/>
      <c r="I548" s="83"/>
      <c r="J548" s="83"/>
      <c r="K548" s="83"/>
      <c r="L548" s="53"/>
    </row>
    <row r="549" spans="1:12">
      <c r="A549" s="101"/>
      <c r="B549" s="83"/>
      <c r="C549" s="100"/>
      <c r="D549" s="84"/>
      <c r="E549" s="83"/>
      <c r="F549" s="84"/>
      <c r="G549" s="83"/>
      <c r="H549" s="101"/>
      <c r="I549" s="83"/>
      <c r="J549" s="83"/>
      <c r="K549" s="83"/>
      <c r="L549" s="53"/>
    </row>
    <row r="550" spans="1:12">
      <c r="A550" s="101"/>
      <c r="B550" s="83"/>
      <c r="C550" s="100"/>
      <c r="D550" s="84"/>
      <c r="E550" s="83"/>
      <c r="F550" s="84"/>
      <c r="G550" s="83"/>
      <c r="H550" s="101"/>
      <c r="I550" s="83"/>
      <c r="J550" s="83"/>
      <c r="K550" s="83"/>
      <c r="L550" s="53"/>
    </row>
    <row r="551" spans="1:12">
      <c r="A551" s="101"/>
      <c r="B551" s="83"/>
      <c r="C551" s="100"/>
      <c r="D551" s="84"/>
      <c r="E551" s="83"/>
      <c r="F551" s="84"/>
      <c r="G551" s="83"/>
      <c r="H551" s="101"/>
      <c r="I551" s="83"/>
      <c r="J551" s="83"/>
      <c r="K551" s="83"/>
      <c r="L551" s="53"/>
    </row>
    <row r="552" spans="1:12">
      <c r="A552" s="101"/>
      <c r="B552" s="83"/>
      <c r="C552" s="100"/>
      <c r="D552" s="84"/>
      <c r="E552" s="83"/>
      <c r="F552" s="84"/>
      <c r="G552" s="83"/>
      <c r="H552" s="101"/>
      <c r="I552" s="83"/>
      <c r="J552" s="83"/>
      <c r="K552" s="83"/>
      <c r="L552" s="53"/>
    </row>
    <row r="553" spans="1:12">
      <c r="A553" s="101"/>
      <c r="B553" s="83"/>
      <c r="C553" s="100"/>
      <c r="D553" s="84"/>
      <c r="E553" s="83"/>
      <c r="F553" s="84"/>
      <c r="G553" s="83"/>
      <c r="H553" s="101"/>
      <c r="I553" s="83"/>
      <c r="J553" s="83"/>
      <c r="K553" s="83"/>
      <c r="L553" s="53"/>
    </row>
    <row r="554" spans="1:12">
      <c r="A554" s="101"/>
      <c r="B554" s="83"/>
      <c r="C554" s="100"/>
      <c r="D554" s="84"/>
      <c r="E554" s="83"/>
      <c r="F554" s="84"/>
      <c r="G554" s="83"/>
      <c r="H554" s="101"/>
      <c r="I554" s="83"/>
      <c r="J554" s="83"/>
      <c r="K554" s="83"/>
      <c r="L554" s="53"/>
    </row>
    <row r="555" spans="1:12">
      <c r="A555" s="101"/>
      <c r="B555" s="83"/>
      <c r="C555" s="100"/>
      <c r="D555" s="84"/>
      <c r="E555" s="83"/>
      <c r="F555" s="84"/>
      <c r="G555" s="83"/>
      <c r="H555" s="101"/>
      <c r="I555" s="83"/>
      <c r="J555" s="83"/>
      <c r="K555" s="83"/>
      <c r="L555" s="53"/>
    </row>
    <row r="556" spans="1:12">
      <c r="A556" s="101"/>
      <c r="B556" s="83"/>
      <c r="C556" s="100"/>
      <c r="D556" s="84"/>
      <c r="E556" s="83"/>
      <c r="F556" s="84"/>
      <c r="G556" s="83"/>
      <c r="H556" s="101"/>
      <c r="I556" s="83"/>
      <c r="J556" s="83"/>
      <c r="K556" s="83"/>
      <c r="L556" s="53"/>
    </row>
    <row r="557" spans="1:12">
      <c r="A557" s="101"/>
      <c r="B557" s="83"/>
      <c r="C557" s="100"/>
      <c r="D557" s="84"/>
      <c r="E557" s="83"/>
      <c r="F557" s="84"/>
      <c r="G557" s="83"/>
      <c r="H557" s="101"/>
      <c r="I557" s="83"/>
      <c r="J557" s="83"/>
      <c r="K557" s="83"/>
      <c r="L557" s="53"/>
    </row>
    <row r="558" spans="1:12">
      <c r="A558" s="101"/>
      <c r="B558" s="83"/>
      <c r="C558" s="100"/>
      <c r="D558" s="84"/>
      <c r="E558" s="83"/>
      <c r="F558" s="84"/>
      <c r="G558" s="83"/>
      <c r="H558" s="101"/>
      <c r="I558" s="83"/>
      <c r="J558" s="83"/>
      <c r="K558" s="83"/>
      <c r="L558" s="53"/>
    </row>
    <row r="559" spans="1:12">
      <c r="A559" s="101"/>
      <c r="B559" s="83"/>
      <c r="C559" s="100"/>
      <c r="D559" s="84"/>
      <c r="E559" s="83"/>
      <c r="F559" s="84"/>
      <c r="G559" s="83"/>
      <c r="H559" s="101"/>
      <c r="I559" s="83"/>
      <c r="J559" s="83"/>
      <c r="K559" s="83"/>
      <c r="L559" s="53"/>
    </row>
    <row r="560" spans="1:12">
      <c r="A560" s="101"/>
      <c r="B560" s="83"/>
      <c r="C560" s="100"/>
      <c r="D560" s="84"/>
      <c r="E560" s="83"/>
      <c r="F560" s="84"/>
      <c r="G560" s="83"/>
      <c r="H560" s="101"/>
      <c r="I560" s="83"/>
      <c r="J560" s="83"/>
      <c r="K560" s="83"/>
      <c r="L560" s="53"/>
    </row>
    <row r="561" spans="1:12">
      <c r="A561" s="101"/>
      <c r="B561" s="83"/>
      <c r="C561" s="100"/>
      <c r="D561" s="84"/>
      <c r="E561" s="83"/>
      <c r="F561" s="84"/>
      <c r="G561" s="83"/>
      <c r="H561" s="101"/>
      <c r="I561" s="83"/>
      <c r="J561" s="83"/>
      <c r="K561" s="83"/>
      <c r="L561" s="53"/>
    </row>
    <row r="562" spans="1:12">
      <c r="A562" s="101"/>
      <c r="B562" s="83"/>
      <c r="C562" s="100"/>
      <c r="D562" s="84"/>
      <c r="E562" s="83"/>
      <c r="F562" s="84"/>
      <c r="G562" s="83"/>
      <c r="H562" s="101"/>
      <c r="I562" s="83"/>
      <c r="J562" s="83"/>
      <c r="K562" s="83"/>
      <c r="L562" s="53"/>
    </row>
    <row r="563" spans="1:12">
      <c r="A563" s="101"/>
      <c r="B563" s="83"/>
      <c r="C563" s="100"/>
      <c r="D563" s="84"/>
      <c r="E563" s="83"/>
      <c r="F563" s="84"/>
      <c r="G563" s="83"/>
      <c r="H563" s="101"/>
      <c r="I563" s="83"/>
      <c r="J563" s="83"/>
      <c r="K563" s="83"/>
      <c r="L563" s="53"/>
    </row>
    <row r="564" spans="1:12">
      <c r="A564" s="101"/>
      <c r="B564" s="83"/>
      <c r="C564" s="100"/>
      <c r="D564" s="84"/>
      <c r="E564" s="83"/>
      <c r="F564" s="84"/>
      <c r="G564" s="83"/>
      <c r="H564" s="101"/>
      <c r="I564" s="83"/>
      <c r="J564" s="83"/>
      <c r="K564" s="83"/>
      <c r="L564" s="53"/>
    </row>
    <row r="565" spans="1:12">
      <c r="A565" s="101"/>
      <c r="B565" s="83"/>
      <c r="C565" s="100"/>
      <c r="D565" s="84"/>
      <c r="E565" s="83"/>
      <c r="F565" s="84"/>
      <c r="G565" s="83"/>
      <c r="H565" s="101"/>
      <c r="I565" s="83"/>
      <c r="J565" s="83"/>
      <c r="K565" s="83"/>
      <c r="L565" s="53"/>
    </row>
    <row r="566" spans="1:12">
      <c r="A566" s="101"/>
      <c r="B566" s="83"/>
      <c r="C566" s="100"/>
      <c r="D566" s="84"/>
      <c r="E566" s="83"/>
      <c r="F566" s="84"/>
      <c r="G566" s="83"/>
      <c r="H566" s="101"/>
      <c r="I566" s="83"/>
      <c r="J566" s="83"/>
      <c r="K566" s="83"/>
      <c r="L566" s="53"/>
    </row>
    <row r="567" spans="1:12">
      <c r="A567" s="101"/>
      <c r="B567" s="83"/>
      <c r="C567" s="100"/>
      <c r="D567" s="84"/>
      <c r="E567" s="83"/>
      <c r="F567" s="84"/>
      <c r="G567" s="83"/>
      <c r="H567" s="101"/>
      <c r="I567" s="83"/>
      <c r="J567" s="83"/>
      <c r="K567" s="83"/>
      <c r="L567" s="53"/>
    </row>
    <row r="568" spans="1:12">
      <c r="A568" s="101"/>
      <c r="B568" s="83"/>
      <c r="C568" s="100"/>
      <c r="D568" s="84"/>
      <c r="E568" s="83"/>
      <c r="F568" s="84"/>
      <c r="G568" s="83"/>
      <c r="H568" s="101"/>
      <c r="I568" s="83"/>
      <c r="J568" s="83"/>
      <c r="K568" s="83"/>
      <c r="L568" s="53"/>
    </row>
    <row r="569" spans="1:12">
      <c r="A569" s="101"/>
      <c r="B569" s="83"/>
      <c r="C569" s="100"/>
      <c r="D569" s="84"/>
      <c r="E569" s="83"/>
      <c r="F569" s="84"/>
      <c r="G569" s="83"/>
      <c r="H569" s="101"/>
      <c r="I569" s="83"/>
      <c r="J569" s="83"/>
      <c r="K569" s="83"/>
      <c r="L569" s="53"/>
    </row>
    <row r="570" spans="1:12">
      <c r="A570" s="101"/>
      <c r="B570" s="83"/>
      <c r="C570" s="100"/>
      <c r="D570" s="84"/>
      <c r="E570" s="83"/>
      <c r="F570" s="84"/>
      <c r="G570" s="83"/>
      <c r="H570" s="101"/>
      <c r="I570" s="83"/>
      <c r="J570" s="83"/>
      <c r="K570" s="83"/>
      <c r="L570" s="53"/>
    </row>
    <row r="571" spans="1:12">
      <c r="A571" s="101"/>
      <c r="B571" s="83"/>
      <c r="C571" s="100"/>
      <c r="D571" s="84"/>
      <c r="E571" s="83"/>
      <c r="F571" s="84"/>
      <c r="G571" s="83"/>
      <c r="H571" s="101"/>
      <c r="I571" s="83"/>
      <c r="J571" s="83"/>
      <c r="K571" s="83"/>
      <c r="L571" s="53"/>
    </row>
  </sheetData>
  <autoFilter ref="A1:M362" xr:uid="{00000000-0001-0000-0E00-000000000000}"/>
  <conditionalFormatting sqref="C2:C254">
    <cfRule type="duplicateValues" dxfId="54" priority="8459"/>
    <cfRule type="duplicateValues" dxfId="53" priority="8460"/>
  </conditionalFormatting>
  <conditionalFormatting sqref="C255">
    <cfRule type="duplicateValues" dxfId="52" priority="17"/>
  </conditionalFormatting>
  <conditionalFormatting sqref="C256:C313">
    <cfRule type="duplicateValues" dxfId="51" priority="5616"/>
  </conditionalFormatting>
  <conditionalFormatting sqref="C314:C342">
    <cfRule type="duplicateValues" dxfId="50" priority="28"/>
  </conditionalFormatting>
  <conditionalFormatting sqref="C343:C1048576 C1">
    <cfRule type="duplicateValues" dxfId="49" priority="29"/>
  </conditionalFormatting>
  <conditionalFormatting sqref="C527:C1048576 C1 C343:C524">
    <cfRule type="duplicateValues" dxfId="48" priority="33"/>
  </conditionalFormatting>
  <conditionalFormatting sqref="C527:C1048576 C343:C524 C1">
    <cfRule type="duplicateValues" dxfId="47" priority="30"/>
    <cfRule type="duplicateValues" dxfId="46" priority="31"/>
    <cfRule type="duplicateValues" dxfId="45" priority="3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N35"/>
  <sheetViews>
    <sheetView showGridLines="0" zoomScale="80" zoomScaleNormal="80" workbookViewId="0">
      <selection activeCell="L3" sqref="L3"/>
    </sheetView>
  </sheetViews>
  <sheetFormatPr baseColWidth="10" defaultColWidth="79.140625" defaultRowHeight="15"/>
  <cols>
    <col min="1" max="1" width="4.42578125" bestFit="1" customWidth="1"/>
    <col min="2" max="2" width="8.28515625" bestFit="1" customWidth="1"/>
    <col min="3" max="3" width="13.140625" bestFit="1" customWidth="1"/>
    <col min="4" max="4" width="22.85546875" bestFit="1" customWidth="1"/>
    <col min="5" max="5" width="33.140625" bestFit="1" customWidth="1"/>
    <col min="6" max="6" width="3.5703125" bestFit="1" customWidth="1"/>
    <col min="7" max="7" width="8.140625" bestFit="1" customWidth="1"/>
    <col min="8" max="8" width="6.85546875" bestFit="1" customWidth="1"/>
    <col min="9" max="9" width="25.85546875" bestFit="1" customWidth="1"/>
    <col min="10" max="10" width="7.85546875" bestFit="1" customWidth="1"/>
    <col min="11" max="11" width="7.28515625" bestFit="1" customWidth="1"/>
    <col min="12" max="12" width="6.85546875" bestFit="1" customWidth="1"/>
    <col min="13" max="13" width="10.85546875" bestFit="1" customWidth="1"/>
    <col min="14" max="14" width="8.5703125" bestFit="1" customWidth="1"/>
  </cols>
  <sheetData>
    <row r="1" spans="1:14" ht="30">
      <c r="A1" s="48" t="s">
        <v>133</v>
      </c>
      <c r="B1" s="48" t="s">
        <v>47</v>
      </c>
      <c r="C1" s="48" t="s">
        <v>134</v>
      </c>
      <c r="D1" s="48" t="s">
        <v>135</v>
      </c>
      <c r="E1" s="49" t="s">
        <v>136</v>
      </c>
      <c r="F1" s="48" t="s">
        <v>137</v>
      </c>
      <c r="G1" s="50" t="s">
        <v>138</v>
      </c>
      <c r="H1" s="48" t="s">
        <v>139</v>
      </c>
      <c r="I1" s="48" t="s">
        <v>143</v>
      </c>
      <c r="J1" s="48" t="s">
        <v>145</v>
      </c>
      <c r="K1" s="48" t="s">
        <v>141</v>
      </c>
      <c r="L1" s="48" t="s">
        <v>147</v>
      </c>
      <c r="M1" s="54" t="s">
        <v>101</v>
      </c>
      <c r="N1" s="54" t="s">
        <v>142</v>
      </c>
    </row>
    <row r="2" spans="1:14">
      <c r="A2" s="12"/>
      <c r="B2" s="9"/>
      <c r="C2" s="9"/>
      <c r="D2" s="9"/>
      <c r="E2" s="9"/>
      <c r="F2" s="9"/>
      <c r="G2" s="51"/>
      <c r="H2" s="9"/>
      <c r="I2" s="12"/>
      <c r="J2" s="12"/>
      <c r="K2" s="12"/>
      <c r="L2" s="12"/>
      <c r="M2" s="33">
        <f>IFERROR(VLOOKUP(A2,COMISIONES!$C:$AP,27,0),0)</f>
        <v>0</v>
      </c>
      <c r="N2" s="53">
        <f>M2*B2</f>
        <v>0</v>
      </c>
    </row>
    <row r="3" spans="1:14">
      <c r="A3" s="12"/>
      <c r="B3" s="9"/>
      <c r="C3" s="9"/>
      <c r="D3" s="9"/>
      <c r="E3" s="9"/>
      <c r="F3" s="9"/>
      <c r="G3" s="51"/>
      <c r="H3" s="9"/>
      <c r="I3" s="12"/>
      <c r="J3" s="12"/>
      <c r="K3" s="12"/>
      <c r="L3" s="12"/>
    </row>
    <row r="4" spans="1:14">
      <c r="A4" s="12"/>
      <c r="B4" s="9"/>
      <c r="C4" s="9"/>
      <c r="D4" s="9"/>
      <c r="E4" s="9"/>
      <c r="F4" s="9"/>
      <c r="G4" s="51"/>
      <c r="H4" s="9"/>
      <c r="I4" s="12"/>
      <c r="J4" s="12"/>
      <c r="K4" s="12"/>
      <c r="L4" s="12"/>
    </row>
    <row r="5" spans="1:14">
      <c r="A5" s="12"/>
      <c r="B5" s="9"/>
      <c r="C5" s="9"/>
      <c r="D5" s="9"/>
      <c r="E5" s="9"/>
      <c r="F5" s="9"/>
      <c r="G5" s="51"/>
      <c r="H5" s="9"/>
      <c r="I5" s="12"/>
      <c r="J5" s="12"/>
      <c r="K5" s="12"/>
      <c r="L5" s="12"/>
    </row>
    <row r="6" spans="1:14">
      <c r="A6" s="12"/>
      <c r="B6" s="9"/>
      <c r="C6" s="9"/>
      <c r="D6" s="9"/>
      <c r="E6" s="9"/>
      <c r="F6" s="9"/>
      <c r="G6" s="51"/>
      <c r="H6" s="9"/>
      <c r="I6" s="12"/>
      <c r="J6" s="12"/>
      <c r="K6" s="12"/>
      <c r="L6" s="12"/>
    </row>
    <row r="7" spans="1:14">
      <c r="A7" s="12"/>
      <c r="B7" s="9"/>
      <c r="C7" s="9"/>
      <c r="D7" s="9"/>
      <c r="E7" s="9"/>
      <c r="F7" s="9"/>
      <c r="G7" s="51"/>
      <c r="H7" s="9"/>
      <c r="I7" s="12"/>
      <c r="J7" s="12"/>
      <c r="K7" s="12"/>
      <c r="L7" s="12"/>
    </row>
    <row r="8" spans="1:14">
      <c r="A8" s="12"/>
      <c r="B8" s="9"/>
      <c r="C8" s="9"/>
      <c r="D8" s="9"/>
      <c r="E8" s="9"/>
      <c r="F8" s="9"/>
      <c r="G8" s="51"/>
      <c r="H8" s="9"/>
      <c r="I8" s="12"/>
      <c r="J8" s="12"/>
      <c r="K8" s="12"/>
      <c r="L8" s="12"/>
    </row>
    <row r="9" spans="1:14">
      <c r="A9" s="12"/>
      <c r="B9" s="9"/>
      <c r="C9" s="9"/>
      <c r="D9" s="9"/>
      <c r="E9" s="9"/>
      <c r="F9" s="9"/>
      <c r="G9" s="51"/>
      <c r="H9" s="9"/>
      <c r="I9" s="12"/>
      <c r="J9" s="12"/>
      <c r="K9" s="12"/>
      <c r="L9" s="12"/>
    </row>
    <row r="10" spans="1:14">
      <c r="A10" s="12"/>
      <c r="B10" s="9"/>
      <c r="C10" s="9"/>
      <c r="D10" s="9"/>
      <c r="E10" s="9"/>
      <c r="F10" s="9"/>
      <c r="G10" s="51"/>
      <c r="H10" s="9"/>
      <c r="I10" s="12"/>
      <c r="J10" s="12"/>
      <c r="K10" s="12"/>
      <c r="L10" s="12"/>
    </row>
    <row r="11" spans="1:14">
      <c r="A11" s="12"/>
      <c r="B11" s="9"/>
      <c r="C11" s="9"/>
      <c r="D11" s="9"/>
      <c r="E11" s="9"/>
      <c r="F11" s="9"/>
      <c r="G11" s="51"/>
      <c r="H11" s="9"/>
      <c r="I11" s="12"/>
      <c r="J11" s="12"/>
      <c r="K11" s="12"/>
      <c r="L11" s="12"/>
    </row>
    <row r="12" spans="1:14">
      <c r="A12" s="12"/>
      <c r="B12" s="9"/>
      <c r="C12" s="9"/>
      <c r="D12" s="9"/>
      <c r="E12" s="9"/>
      <c r="F12" s="9"/>
      <c r="G12" s="51"/>
      <c r="H12" s="9"/>
      <c r="I12" s="12"/>
      <c r="J12" s="12"/>
      <c r="K12" s="12"/>
      <c r="L12" s="12"/>
    </row>
    <row r="13" spans="1:14">
      <c r="A13" s="12"/>
      <c r="B13" s="9"/>
      <c r="C13" s="9"/>
      <c r="D13" s="9"/>
      <c r="E13" s="9"/>
      <c r="F13" s="9"/>
      <c r="G13" s="51"/>
      <c r="H13" s="9"/>
      <c r="I13" s="12"/>
      <c r="J13" s="12"/>
      <c r="K13" s="12"/>
      <c r="L13" s="12"/>
    </row>
    <row r="14" spans="1:14">
      <c r="A14" s="12"/>
      <c r="B14" s="9"/>
      <c r="C14" s="9"/>
      <c r="D14" s="9"/>
      <c r="E14" s="9"/>
      <c r="F14" s="9"/>
      <c r="G14" s="51"/>
      <c r="H14" s="9"/>
      <c r="I14" s="12"/>
      <c r="J14" s="12"/>
      <c r="K14" s="12"/>
      <c r="L14" s="12"/>
    </row>
    <row r="15" spans="1:14">
      <c r="A15" s="12"/>
      <c r="B15" s="9"/>
      <c r="C15" s="9"/>
      <c r="D15" s="9"/>
      <c r="E15" s="9"/>
      <c r="F15" s="9"/>
      <c r="G15" s="51"/>
      <c r="H15" s="9"/>
      <c r="I15" s="12"/>
      <c r="J15" s="12"/>
      <c r="K15" s="12"/>
      <c r="L15" s="12"/>
    </row>
    <row r="16" spans="1:14">
      <c r="A16" s="12"/>
      <c r="B16" s="9"/>
      <c r="C16" s="9"/>
      <c r="D16" s="9"/>
      <c r="E16" s="9"/>
      <c r="F16" s="9"/>
      <c r="G16" s="51"/>
      <c r="H16" s="9"/>
      <c r="I16" s="12"/>
      <c r="J16" s="12"/>
      <c r="K16" s="12"/>
      <c r="L16" s="12"/>
    </row>
    <row r="17" spans="1:12">
      <c r="A17" s="12"/>
      <c r="B17" s="9"/>
      <c r="C17" s="9"/>
      <c r="D17" s="9"/>
      <c r="E17" s="9"/>
      <c r="F17" s="9"/>
      <c r="G17" s="51"/>
      <c r="H17" s="9"/>
      <c r="I17" s="12"/>
      <c r="J17" s="12"/>
      <c r="K17" s="12"/>
      <c r="L17" s="12"/>
    </row>
    <row r="18" spans="1:12">
      <c r="A18" s="12"/>
      <c r="B18" s="9"/>
      <c r="C18" s="9"/>
      <c r="D18" s="9"/>
      <c r="E18" s="9"/>
      <c r="F18" s="9"/>
      <c r="G18" s="51"/>
      <c r="H18" s="9"/>
      <c r="I18" s="12"/>
      <c r="J18" s="12"/>
      <c r="K18" s="12"/>
      <c r="L18" s="12"/>
    </row>
    <row r="19" spans="1:12">
      <c r="A19" s="12"/>
      <c r="B19" s="9"/>
      <c r="C19" s="9"/>
      <c r="D19" s="9"/>
      <c r="E19" s="9"/>
      <c r="F19" s="9"/>
      <c r="G19" s="51"/>
      <c r="H19" s="9"/>
      <c r="I19" s="12"/>
      <c r="J19" s="12"/>
      <c r="K19" s="12"/>
      <c r="L19" s="12"/>
    </row>
    <row r="20" spans="1:12">
      <c r="A20" s="12"/>
      <c r="B20" s="9"/>
      <c r="C20" s="9"/>
      <c r="D20" s="9"/>
      <c r="E20" s="9"/>
      <c r="F20" s="9"/>
      <c r="G20" s="51"/>
      <c r="H20" s="9"/>
      <c r="I20" s="12"/>
      <c r="J20" s="12"/>
      <c r="K20" s="12"/>
      <c r="L20" s="12"/>
    </row>
    <row r="21" spans="1:12">
      <c r="A21" s="12"/>
      <c r="B21" s="9"/>
      <c r="C21" s="9"/>
      <c r="D21" s="9"/>
      <c r="E21" s="9"/>
      <c r="F21" s="9"/>
      <c r="G21" s="51"/>
      <c r="H21" s="9"/>
      <c r="I21" s="12"/>
      <c r="J21" s="12"/>
      <c r="K21" s="12"/>
      <c r="L21" s="12"/>
    </row>
    <row r="22" spans="1:12">
      <c r="A22" s="9"/>
      <c r="B22" s="10"/>
      <c r="C22" s="9"/>
      <c r="D22" s="9"/>
      <c r="E22" s="11"/>
      <c r="F22" s="9"/>
      <c r="G22" s="9"/>
      <c r="H22" s="9"/>
      <c r="I22" s="11"/>
      <c r="J22" s="9"/>
      <c r="K22" s="9"/>
      <c r="L22" s="9"/>
    </row>
    <row r="23" spans="1:12">
      <c r="A23" s="9"/>
      <c r="B23" s="10"/>
      <c r="C23" s="9"/>
      <c r="D23" s="9"/>
      <c r="E23" s="11"/>
      <c r="F23" s="9"/>
      <c r="G23" s="9"/>
      <c r="H23" s="9"/>
      <c r="I23" s="11"/>
      <c r="J23" s="9"/>
      <c r="K23" s="9"/>
      <c r="L23" s="9"/>
    </row>
    <row r="24" spans="1:12">
      <c r="A24" s="9"/>
      <c r="B24" s="10"/>
      <c r="C24" s="9"/>
      <c r="D24" s="9"/>
      <c r="E24" s="11"/>
      <c r="F24" s="9"/>
      <c r="G24" s="9"/>
      <c r="H24" s="9"/>
      <c r="I24" s="11"/>
      <c r="J24" s="9"/>
      <c r="K24" s="9"/>
      <c r="L24" s="9"/>
    </row>
    <row r="25" spans="1:12">
      <c r="A25" s="9"/>
      <c r="B25" s="10"/>
      <c r="C25" s="9"/>
      <c r="D25" s="9"/>
      <c r="E25" s="11"/>
      <c r="F25" s="9"/>
      <c r="G25" s="9"/>
      <c r="H25" s="9"/>
      <c r="I25" s="11"/>
      <c r="J25" s="9"/>
      <c r="K25" s="9"/>
      <c r="L25" s="9"/>
    </row>
    <row r="26" spans="1:12">
      <c r="A26" s="9"/>
      <c r="B26" s="10"/>
      <c r="C26" s="9"/>
      <c r="D26" s="9"/>
      <c r="E26" s="11"/>
      <c r="F26" s="9"/>
      <c r="G26" s="9"/>
      <c r="H26" s="9"/>
      <c r="I26" s="11"/>
      <c r="J26" s="9"/>
      <c r="K26" s="9"/>
      <c r="L26" s="9"/>
    </row>
    <row r="27" spans="1:12">
      <c r="A27" s="9"/>
      <c r="B27" s="10"/>
      <c r="C27" s="9"/>
      <c r="D27" s="9"/>
      <c r="E27" s="11"/>
      <c r="F27" s="9"/>
      <c r="G27" s="9"/>
      <c r="H27" s="9"/>
      <c r="I27" s="11"/>
      <c r="J27" s="9"/>
      <c r="K27" s="9"/>
      <c r="L27" s="9"/>
    </row>
    <row r="28" spans="1:12">
      <c r="A28" s="9"/>
      <c r="B28" s="10"/>
      <c r="C28" s="9"/>
      <c r="D28" s="9"/>
      <c r="E28" s="11"/>
      <c r="F28" s="9"/>
      <c r="G28" s="9"/>
      <c r="H28" s="9"/>
      <c r="I28" s="11"/>
      <c r="J28" s="9"/>
      <c r="K28" s="9"/>
      <c r="L28" s="9"/>
    </row>
    <row r="29" spans="1:12">
      <c r="A29" s="9"/>
      <c r="B29" s="10"/>
      <c r="C29" s="9"/>
      <c r="D29" s="9"/>
      <c r="E29" s="11"/>
      <c r="F29" s="9"/>
      <c r="G29" s="9"/>
      <c r="H29" s="9"/>
      <c r="I29" s="11"/>
      <c r="J29" s="9"/>
      <c r="K29" s="9"/>
      <c r="L29" s="9"/>
    </row>
    <row r="30" spans="1:12">
      <c r="A30" s="9"/>
      <c r="B30" s="10"/>
      <c r="C30" s="9"/>
      <c r="D30" s="9"/>
      <c r="E30" s="11"/>
      <c r="F30" s="9"/>
      <c r="G30" s="9"/>
      <c r="H30" s="9"/>
      <c r="I30" s="11"/>
      <c r="J30" s="9"/>
      <c r="K30" s="9"/>
      <c r="L30" s="9"/>
    </row>
    <row r="31" spans="1:12">
      <c r="A31" s="9"/>
      <c r="B31" s="10"/>
      <c r="C31" s="9"/>
      <c r="D31" s="9"/>
      <c r="E31" s="11"/>
      <c r="F31" s="9"/>
      <c r="G31" s="9"/>
      <c r="H31" s="9"/>
      <c r="I31" s="11"/>
      <c r="J31" s="9"/>
      <c r="K31" s="9"/>
      <c r="L31" s="9"/>
    </row>
    <row r="32" spans="1:12">
      <c r="A32" s="9"/>
      <c r="B32" s="10"/>
      <c r="C32" s="9"/>
      <c r="D32" s="9"/>
      <c r="E32" s="11"/>
      <c r="F32" s="9"/>
      <c r="G32" s="9"/>
      <c r="H32" s="9"/>
      <c r="I32" s="11"/>
      <c r="J32" s="9"/>
      <c r="K32" s="9"/>
      <c r="L32" s="9"/>
    </row>
    <row r="33" spans="1:12">
      <c r="A33" s="9"/>
      <c r="B33" s="10"/>
      <c r="C33" s="9"/>
      <c r="D33" s="9"/>
      <c r="E33" s="11"/>
      <c r="F33" s="9"/>
      <c r="G33" s="9"/>
      <c r="H33" s="9"/>
      <c r="I33" s="11"/>
      <c r="J33" s="9"/>
      <c r="K33" s="9"/>
      <c r="L33" s="9"/>
    </row>
    <row r="34" spans="1:12">
      <c r="A34" s="9"/>
      <c r="B34" s="10"/>
      <c r="C34" s="9"/>
      <c r="D34" s="9"/>
      <c r="E34" s="11"/>
      <c r="F34" s="9"/>
      <c r="G34" s="9"/>
      <c r="H34" s="9"/>
      <c r="I34" s="11"/>
      <c r="J34" s="9"/>
      <c r="K34" s="9"/>
      <c r="L34" s="9"/>
    </row>
    <row r="35" spans="1:12">
      <c r="A35" s="9"/>
      <c r="B35" s="10"/>
      <c r="C35" s="9"/>
      <c r="D35" s="9"/>
      <c r="E35" s="11"/>
      <c r="F35" s="9"/>
      <c r="G35" s="9"/>
      <c r="H35" s="9"/>
      <c r="I35" s="11"/>
      <c r="J35" s="9"/>
      <c r="K35" s="9"/>
      <c r="L35" s="9"/>
    </row>
  </sheetData>
  <conditionalFormatting sqref="E1:E21">
    <cfRule type="duplicateValues" dxfId="44" priority="1"/>
    <cfRule type="duplicateValues" dxfId="4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PUNTOS 2021</vt:lpstr>
      <vt:lpstr>Jefe</vt:lpstr>
      <vt:lpstr>SUP</vt:lpstr>
      <vt:lpstr>Rango-Bono</vt:lpstr>
      <vt:lpstr>COMISIONES</vt:lpstr>
      <vt:lpstr>TC</vt:lpstr>
      <vt:lpstr>ADICIONALES</vt:lpstr>
      <vt:lpstr>PRF</vt:lpstr>
      <vt:lpstr>TP</vt:lpstr>
      <vt:lpstr>S.FUN</vt:lpstr>
      <vt:lpstr>CARGOS A</vt:lpstr>
      <vt:lpstr>COMPASS</vt:lpstr>
      <vt:lpstr>CUENTAS</vt:lpstr>
      <vt:lpstr>KASH</vt:lpstr>
      <vt:lpstr>DESC TC</vt:lpstr>
      <vt:lpstr>DESC ADICIONALES</vt:lpstr>
      <vt:lpstr>DESC PRF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Keila Paola Lopez Orellana</dc:creator>
  <cp:keywords/>
  <dc:description/>
  <cp:lastModifiedBy>Oliver Josue De Leon Milian</cp:lastModifiedBy>
  <cp:revision/>
  <dcterms:created xsi:type="dcterms:W3CDTF">2019-09-30T20:52:02Z</dcterms:created>
  <dcterms:modified xsi:type="dcterms:W3CDTF">2023-10-03T23:11:04Z</dcterms:modified>
  <cp:category/>
  <cp:contentStatus/>
</cp:coreProperties>
</file>