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B245FA5A-585F-4DB8-9423-3A0445414657}" xr6:coauthVersionLast="47" xr6:coauthVersionMax="47" xr10:uidLastSave="{00000000-0000-0000-0000-000000000000}"/>
  <bookViews>
    <workbookView xWindow="-108" yWindow="-108" windowWidth="23256" windowHeight="12456" firstSheet="15" activeTab="16" xr2:uid="{00000000-000D-0000-FFFF-FFFF00000000}"/>
  </bookViews>
  <sheets>
    <sheet name="Status" sheetId="1" r:id="rId1"/>
    <sheet name="Running Time" sheetId="2" r:id="rId2"/>
    <sheet name="Overall" sheetId="8" r:id="rId3"/>
    <sheet name="H3K27ac" sheetId="10" r:id="rId4"/>
    <sheet name="RNAPII" sheetId="11" r:id="rId5"/>
    <sheet name="CTCF" sheetId="9" r:id="rId6"/>
    <sheet name="Number of Loops" sheetId="3" r:id="rId7"/>
    <sheet name="line_graph" sheetId="5" r:id="rId8"/>
    <sheet name="new_line_graph" sheetId="19" r:id="rId9"/>
    <sheet name="new_ctcf" sheetId="24" r:id="rId10"/>
    <sheet name="ctcf seq dpt" sheetId="20" r:id="rId11"/>
    <sheet name="new_h3k27ac" sheetId="23" r:id="rId12"/>
    <sheet name="h3k27ac_seq_depth" sheetId="21" r:id="rId13"/>
    <sheet name="new_rnapii" sheetId="25" r:id="rId14"/>
    <sheet name="rnapii_seq_depth" sheetId="22" r:id="rId15"/>
    <sheet name="loop count" sheetId="13" r:id="rId16"/>
    <sheet name="REM (2)" sheetId="28" r:id="rId17"/>
    <sheet name="REM" sheetId="27" r:id="rId18"/>
    <sheet name="Sheet1" sheetId="29" r:id="rId19"/>
    <sheet name="new overall score" sheetId="18" r:id="rId20"/>
    <sheet name="Sheet2" sheetId="26" r:id="rId21"/>
    <sheet name="new running time" sheetId="14" r:id="rId22"/>
    <sheet name="ApaScore" sheetId="6" r:id="rId23"/>
    <sheet name="Overlap" sheetId="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8" l="1"/>
  <c r="P2" i="28"/>
  <c r="T4" i="29"/>
  <c r="F2" i="29"/>
  <c r="T3" i="29"/>
  <c r="T5" i="29"/>
  <c r="T6" i="29"/>
  <c r="T7" i="29"/>
  <c r="T8" i="29"/>
  <c r="T9" i="29"/>
  <c r="T10" i="29"/>
  <c r="T11" i="29"/>
  <c r="T12" i="29"/>
  <c r="T2" i="29"/>
  <c r="S2" i="29"/>
  <c r="R2" i="29"/>
  <c r="N3" i="29"/>
  <c r="N4" i="29"/>
  <c r="N5" i="29"/>
  <c r="N6" i="29"/>
  <c r="N7" i="29"/>
  <c r="N8" i="29"/>
  <c r="N9" i="29"/>
  <c r="N10" i="29"/>
  <c r="N11" i="29"/>
  <c r="N12" i="29"/>
  <c r="N2" i="29"/>
  <c r="M2" i="29"/>
  <c r="L2" i="29"/>
  <c r="E2" i="29"/>
  <c r="G3" i="29"/>
  <c r="G4" i="29"/>
  <c r="G5" i="29"/>
  <c r="G6" i="29"/>
  <c r="G7" i="29"/>
  <c r="G8" i="29"/>
  <c r="G9" i="29"/>
  <c r="G10" i="29"/>
  <c r="G11" i="29"/>
  <c r="G12" i="29"/>
  <c r="Q3" i="29"/>
  <c r="Q4" i="29"/>
  <c r="Q5" i="29"/>
  <c r="Q6" i="29"/>
  <c r="Q7" i="29"/>
  <c r="Q8" i="29"/>
  <c r="Q9" i="29"/>
  <c r="Q10" i="29"/>
  <c r="Q11" i="29"/>
  <c r="Q12" i="29"/>
  <c r="Q2" i="29"/>
  <c r="K3" i="29"/>
  <c r="K4" i="29"/>
  <c r="K5" i="29"/>
  <c r="K6" i="29"/>
  <c r="K7" i="29"/>
  <c r="K8" i="29"/>
  <c r="K9" i="29"/>
  <c r="K10" i="29"/>
  <c r="K11" i="29"/>
  <c r="K12" i="29"/>
  <c r="K2" i="29"/>
  <c r="D3" i="29"/>
  <c r="D4" i="29"/>
  <c r="D5" i="29"/>
  <c r="D6" i="29"/>
  <c r="D7" i="29"/>
  <c r="D8" i="29"/>
  <c r="D9" i="29"/>
  <c r="D10" i="29"/>
  <c r="D11" i="29"/>
  <c r="D12" i="29"/>
  <c r="D2" i="29"/>
  <c r="H2" i="21"/>
  <c r="N2" i="21" s="1"/>
  <c r="N11" i="21"/>
  <c r="N12" i="21"/>
  <c r="N3" i="21"/>
  <c r="N4" i="21"/>
  <c r="N5" i="21"/>
  <c r="N6" i="21"/>
  <c r="N7" i="21"/>
  <c r="N8" i="21"/>
  <c r="N9" i="21"/>
  <c r="N10" i="21"/>
  <c r="K12" i="20"/>
  <c r="K11" i="20"/>
  <c r="K10" i="20"/>
  <c r="K9" i="20"/>
  <c r="K8" i="20"/>
  <c r="K6" i="20"/>
  <c r="K5" i="20"/>
  <c r="K4" i="20"/>
  <c r="K3" i="20"/>
  <c r="K2" i="20"/>
  <c r="K7" i="20"/>
  <c r="I7" i="24"/>
  <c r="I6" i="24"/>
  <c r="I8" i="24"/>
  <c r="I3" i="24"/>
  <c r="I4" i="24"/>
  <c r="I5" i="24"/>
  <c r="I9" i="24"/>
  <c r="I10" i="24"/>
  <c r="I11" i="24"/>
  <c r="I12" i="24"/>
  <c r="I2" i="24"/>
  <c r="J7" i="23"/>
  <c r="J8" i="23"/>
  <c r="J3" i="23"/>
  <c r="J4" i="23"/>
  <c r="J5" i="23"/>
  <c r="J6" i="23"/>
  <c r="J9" i="23"/>
  <c r="J10" i="23"/>
  <c r="J11" i="23"/>
  <c r="J12" i="23"/>
  <c r="J2" i="23"/>
  <c r="G2" i="25"/>
  <c r="L2" i="18"/>
  <c r="H12" i="18"/>
  <c r="H11" i="18"/>
  <c r="H5" i="18"/>
  <c r="H4" i="18"/>
  <c r="H2" i="18"/>
  <c r="L35" i="25"/>
  <c r="L34" i="25"/>
  <c r="L30" i="25"/>
  <c r="L31" i="25"/>
  <c r="L32" i="25"/>
  <c r="L33" i="25"/>
  <c r="L36" i="25"/>
  <c r="L37" i="25"/>
  <c r="L38" i="25"/>
  <c r="L39" i="25"/>
  <c r="L29" i="25"/>
  <c r="U23" i="21"/>
  <c r="U22" i="21"/>
  <c r="U18" i="21"/>
  <c r="U19" i="21"/>
  <c r="U20" i="21"/>
  <c r="U21" i="21"/>
  <c r="U24" i="21"/>
  <c r="U25" i="21"/>
  <c r="U26" i="21"/>
  <c r="U27" i="21"/>
  <c r="U17" i="21"/>
  <c r="J40" i="20"/>
  <c r="J39" i="20"/>
  <c r="J35" i="20"/>
  <c r="J36" i="20"/>
  <c r="J37" i="20"/>
  <c r="J38" i="20"/>
  <c r="J41" i="20"/>
  <c r="J42" i="20"/>
  <c r="J43" i="20"/>
  <c r="J44" i="20"/>
  <c r="J34" i="20"/>
  <c r="H7" i="20"/>
  <c r="H2" i="20"/>
  <c r="I2" i="20" s="1"/>
  <c r="H18" i="20"/>
  <c r="H19" i="20"/>
  <c r="H6" i="20"/>
  <c r="I6" i="20" s="1"/>
  <c r="J6" i="20" s="1"/>
  <c r="H9" i="20"/>
  <c r="H8" i="20"/>
  <c r="I8" i="20" s="1"/>
  <c r="J8" i="20" s="1"/>
  <c r="G2" i="24"/>
  <c r="F2" i="24"/>
  <c r="E3" i="28"/>
  <c r="E4" i="28"/>
  <c r="E5" i="28"/>
  <c r="E6" i="28"/>
  <c r="E7" i="28"/>
  <c r="G7" i="28" s="1"/>
  <c r="J7" i="28" s="1"/>
  <c r="E8" i="28"/>
  <c r="E9" i="28"/>
  <c r="E10" i="28"/>
  <c r="E11" i="28"/>
  <c r="E12" i="28"/>
  <c r="E13" i="28"/>
  <c r="G2" i="28" s="1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F26" i="28" s="1"/>
  <c r="E36" i="28"/>
  <c r="F27" i="28" s="1"/>
  <c r="E37" i="28"/>
  <c r="F28" i="28" s="1"/>
  <c r="E38" i="28"/>
  <c r="E39" i="28"/>
  <c r="E40" i="28"/>
  <c r="E41" i="28"/>
  <c r="H3" i="18"/>
  <c r="E2" i="27"/>
  <c r="R41" i="28"/>
  <c r="P41" i="28"/>
  <c r="R40" i="28"/>
  <c r="P40" i="28"/>
  <c r="R39" i="28"/>
  <c r="P39" i="28"/>
  <c r="R38" i="28"/>
  <c r="P38" i="28"/>
  <c r="R37" i="28"/>
  <c r="P37" i="28"/>
  <c r="R36" i="28"/>
  <c r="P36" i="28"/>
  <c r="R35" i="28"/>
  <c r="P35" i="28"/>
  <c r="R34" i="28"/>
  <c r="P34" i="28"/>
  <c r="R33" i="28"/>
  <c r="P33" i="28"/>
  <c r="R32" i="28"/>
  <c r="P32" i="28"/>
  <c r="R31" i="28"/>
  <c r="P31" i="28"/>
  <c r="R30" i="28"/>
  <c r="P30" i="28"/>
  <c r="R29" i="28"/>
  <c r="P29" i="28"/>
  <c r="R28" i="28"/>
  <c r="P28" i="28"/>
  <c r="R27" i="28"/>
  <c r="P27" i="28"/>
  <c r="R26" i="28"/>
  <c r="P26" i="28"/>
  <c r="R25" i="28"/>
  <c r="P25" i="28"/>
  <c r="R24" i="28"/>
  <c r="P24" i="28"/>
  <c r="R23" i="28"/>
  <c r="P23" i="28"/>
  <c r="R22" i="28"/>
  <c r="P22" i="28"/>
  <c r="R21" i="28"/>
  <c r="P21" i="28"/>
  <c r="R20" i="28"/>
  <c r="P20" i="28"/>
  <c r="R19" i="28"/>
  <c r="P19" i="28"/>
  <c r="R18" i="28"/>
  <c r="P18" i="28"/>
  <c r="R17" i="28"/>
  <c r="P17" i="28"/>
  <c r="R16" i="28"/>
  <c r="P16" i="28"/>
  <c r="R15" i="28"/>
  <c r="P15" i="28"/>
  <c r="R14" i="28"/>
  <c r="P14" i="28"/>
  <c r="R13" i="28"/>
  <c r="P13" i="28"/>
  <c r="R12" i="28"/>
  <c r="P12" i="28"/>
  <c r="R11" i="28"/>
  <c r="P11" i="28"/>
  <c r="R10" i="28"/>
  <c r="P10" i="28"/>
  <c r="R9" i="28"/>
  <c r="P9" i="28"/>
  <c r="R8" i="28"/>
  <c r="P8" i="28"/>
  <c r="R7" i="28"/>
  <c r="P7" i="28"/>
  <c r="R6" i="28"/>
  <c r="P6" i="28"/>
  <c r="R5" i="28"/>
  <c r="P5" i="28"/>
  <c r="R4" i="28"/>
  <c r="P4" i="28"/>
  <c r="R3" i="28"/>
  <c r="P3" i="28"/>
  <c r="R2" i="28"/>
  <c r="L5" i="18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L3" i="26"/>
  <c r="L4" i="26"/>
  <c r="L5" i="26"/>
  <c r="L6" i="26"/>
  <c r="L7" i="26"/>
  <c r="L8" i="26"/>
  <c r="L9" i="26"/>
  <c r="L10" i="26"/>
  <c r="L11" i="26"/>
  <c r="L12" i="26"/>
  <c r="L2" i="26"/>
  <c r="H3" i="26"/>
  <c r="H4" i="26"/>
  <c r="H5" i="26"/>
  <c r="H6" i="26"/>
  <c r="H7" i="26"/>
  <c r="H8" i="26"/>
  <c r="H9" i="26"/>
  <c r="H10" i="26"/>
  <c r="H11" i="26"/>
  <c r="H12" i="26"/>
  <c r="H2" i="26"/>
  <c r="D3" i="26"/>
  <c r="D4" i="26"/>
  <c r="D5" i="26"/>
  <c r="D6" i="26"/>
  <c r="D7" i="26"/>
  <c r="D8" i="26"/>
  <c r="D9" i="26"/>
  <c r="D10" i="26"/>
  <c r="D11" i="26"/>
  <c r="D12" i="26"/>
  <c r="D2" i="26"/>
  <c r="F2" i="19"/>
  <c r="K23" i="13"/>
  <c r="K22" i="13"/>
  <c r="K21" i="13"/>
  <c r="K20" i="13"/>
  <c r="K19" i="13"/>
  <c r="K18" i="13"/>
  <c r="K17" i="13"/>
  <c r="K16" i="13"/>
  <c r="K15" i="13"/>
  <c r="K14" i="13"/>
  <c r="K13" i="13"/>
  <c r="G6" i="13"/>
  <c r="G6" i="24"/>
  <c r="H6" i="18"/>
  <c r="H7" i="18"/>
  <c r="H8" i="18"/>
  <c r="H9" i="18"/>
  <c r="H10" i="18"/>
  <c r="F36" i="25"/>
  <c r="F37" i="25"/>
  <c r="F38" i="25"/>
  <c r="F39" i="25"/>
  <c r="F40" i="25"/>
  <c r="F41" i="25"/>
  <c r="F42" i="25"/>
  <c r="F43" i="25"/>
  <c r="F44" i="25"/>
  <c r="F45" i="25"/>
  <c r="F25" i="25"/>
  <c r="F26" i="25"/>
  <c r="F27" i="25"/>
  <c r="F28" i="25"/>
  <c r="F29" i="25"/>
  <c r="F30" i="25"/>
  <c r="F31" i="25"/>
  <c r="F32" i="25"/>
  <c r="F33" i="25"/>
  <c r="F34" i="25"/>
  <c r="F14" i="25"/>
  <c r="F15" i="25"/>
  <c r="F16" i="25"/>
  <c r="F17" i="25"/>
  <c r="F18" i="25"/>
  <c r="F19" i="25"/>
  <c r="F20" i="25"/>
  <c r="F21" i="25"/>
  <c r="F22" i="25"/>
  <c r="F23" i="25"/>
  <c r="F3" i="25"/>
  <c r="F4" i="25"/>
  <c r="F5" i="25"/>
  <c r="F6" i="25"/>
  <c r="F7" i="25"/>
  <c r="F8" i="25"/>
  <c r="F9" i="25"/>
  <c r="F10" i="25"/>
  <c r="F11" i="25"/>
  <c r="F12" i="25"/>
  <c r="F35" i="25"/>
  <c r="F24" i="25"/>
  <c r="F13" i="25"/>
  <c r="F2" i="25"/>
  <c r="E2" i="25"/>
  <c r="E35" i="25"/>
  <c r="D35" i="25"/>
  <c r="E24" i="25"/>
  <c r="D24" i="25"/>
  <c r="E13" i="25"/>
  <c r="D13" i="25"/>
  <c r="G7" i="25"/>
  <c r="D2" i="25"/>
  <c r="F36" i="23"/>
  <c r="F37" i="23"/>
  <c r="F38" i="23"/>
  <c r="F39" i="23"/>
  <c r="F40" i="23"/>
  <c r="F41" i="23"/>
  <c r="F42" i="23"/>
  <c r="F43" i="23"/>
  <c r="F44" i="23"/>
  <c r="F45" i="23"/>
  <c r="F35" i="23"/>
  <c r="F25" i="23"/>
  <c r="F26" i="23"/>
  <c r="F27" i="23"/>
  <c r="F28" i="23"/>
  <c r="F29" i="23"/>
  <c r="F30" i="23"/>
  <c r="F31" i="23"/>
  <c r="F32" i="23"/>
  <c r="F33" i="23"/>
  <c r="F34" i="23"/>
  <c r="F24" i="23"/>
  <c r="F14" i="23"/>
  <c r="F15" i="23"/>
  <c r="F16" i="23"/>
  <c r="F17" i="23"/>
  <c r="F18" i="23"/>
  <c r="F19" i="23"/>
  <c r="F20" i="23"/>
  <c r="F21" i="23"/>
  <c r="F22" i="23"/>
  <c r="F23" i="23"/>
  <c r="F13" i="23"/>
  <c r="F3" i="23"/>
  <c r="F4" i="23"/>
  <c r="F5" i="23"/>
  <c r="F6" i="23"/>
  <c r="F7" i="23"/>
  <c r="F8" i="23"/>
  <c r="F9" i="23"/>
  <c r="F10" i="23"/>
  <c r="F11" i="23"/>
  <c r="F12" i="23"/>
  <c r="F2" i="23"/>
  <c r="F3" i="24"/>
  <c r="G3" i="24" s="1"/>
  <c r="F4" i="24"/>
  <c r="F5" i="24"/>
  <c r="F6" i="24"/>
  <c r="F7" i="24"/>
  <c r="F8" i="24"/>
  <c r="F9" i="24"/>
  <c r="G9" i="24" s="1"/>
  <c r="F10" i="24"/>
  <c r="F11" i="24"/>
  <c r="F12" i="24"/>
  <c r="E13" i="23"/>
  <c r="E2" i="23"/>
  <c r="F45" i="24"/>
  <c r="F44" i="24"/>
  <c r="F43" i="24"/>
  <c r="F42" i="24"/>
  <c r="F41" i="24"/>
  <c r="F40" i="24"/>
  <c r="F39" i="24"/>
  <c r="F38" i="24"/>
  <c r="G5" i="24" s="1"/>
  <c r="F37" i="24"/>
  <c r="F36" i="24"/>
  <c r="F35" i="24"/>
  <c r="E35" i="24"/>
  <c r="D35" i="24"/>
  <c r="F34" i="24"/>
  <c r="F33" i="24"/>
  <c r="F32" i="24"/>
  <c r="G10" i="24" s="1"/>
  <c r="F31" i="24"/>
  <c r="F30" i="24"/>
  <c r="F29" i="24"/>
  <c r="F28" i="24"/>
  <c r="F27" i="24"/>
  <c r="F26" i="24"/>
  <c r="F25" i="24"/>
  <c r="F24" i="24"/>
  <c r="E24" i="24"/>
  <c r="D24" i="24"/>
  <c r="F23" i="24"/>
  <c r="F22" i="24"/>
  <c r="F21" i="24"/>
  <c r="F20" i="24"/>
  <c r="F19" i="24"/>
  <c r="F18" i="24"/>
  <c r="G7" i="24" s="1"/>
  <c r="F17" i="24"/>
  <c r="F16" i="24"/>
  <c r="F15" i="24"/>
  <c r="F14" i="24"/>
  <c r="F13" i="24"/>
  <c r="E13" i="24"/>
  <c r="D13" i="24"/>
  <c r="G12" i="24"/>
  <c r="G11" i="24"/>
  <c r="G8" i="24"/>
  <c r="G4" i="24"/>
  <c r="E2" i="24"/>
  <c r="D2" i="24"/>
  <c r="G7" i="23"/>
  <c r="D2" i="23"/>
  <c r="D35" i="23"/>
  <c r="D24" i="23"/>
  <c r="E35" i="23"/>
  <c r="E24" i="23"/>
  <c r="D13" i="23"/>
  <c r="L3" i="18"/>
  <c r="L4" i="18"/>
  <c r="L6" i="18"/>
  <c r="L7" i="18"/>
  <c r="L8" i="18"/>
  <c r="L9" i="18"/>
  <c r="L10" i="18"/>
  <c r="L11" i="18"/>
  <c r="M11" i="18" s="1"/>
  <c r="L12" i="18"/>
  <c r="M12" i="18" s="1"/>
  <c r="I7" i="22"/>
  <c r="I25" i="22" s="1"/>
  <c r="I26" i="22"/>
  <c r="I12" i="22"/>
  <c r="J12" i="22" s="1"/>
  <c r="I2" i="22"/>
  <c r="J2" i="22" s="1"/>
  <c r="J3" i="22"/>
  <c r="J4" i="22"/>
  <c r="J5" i="22"/>
  <c r="J6" i="22"/>
  <c r="J7" i="22"/>
  <c r="J8" i="22"/>
  <c r="J9" i="22"/>
  <c r="J10" i="22"/>
  <c r="J11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I9" i="22" s="1"/>
  <c r="H8" i="22"/>
  <c r="I8" i="22" s="1"/>
  <c r="H7" i="22"/>
  <c r="H6" i="22"/>
  <c r="I6" i="22" s="1"/>
  <c r="H5" i="22"/>
  <c r="H4" i="22"/>
  <c r="H3" i="22"/>
  <c r="H2" i="22"/>
  <c r="J3" i="21"/>
  <c r="J4" i="21"/>
  <c r="J5" i="21"/>
  <c r="J6" i="21"/>
  <c r="J7" i="21"/>
  <c r="J8" i="21"/>
  <c r="J9" i="21"/>
  <c r="J10" i="21"/>
  <c r="J11" i="21"/>
  <c r="J12" i="21"/>
  <c r="I12" i="21"/>
  <c r="I11" i="21"/>
  <c r="I10" i="21"/>
  <c r="I9" i="21"/>
  <c r="I8" i="21"/>
  <c r="I7" i="21"/>
  <c r="I6" i="21"/>
  <c r="I5" i="21"/>
  <c r="I4" i="21"/>
  <c r="I3" i="21"/>
  <c r="J3" i="20"/>
  <c r="J4" i="20"/>
  <c r="J5" i="20"/>
  <c r="J10" i="20"/>
  <c r="J11" i="20"/>
  <c r="J12" i="20"/>
  <c r="I12" i="20"/>
  <c r="I3" i="20"/>
  <c r="I4" i="20"/>
  <c r="I5" i="20"/>
  <c r="I9" i="20"/>
  <c r="J9" i="20" s="1"/>
  <c r="I10" i="20"/>
  <c r="I11" i="20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14" i="20"/>
  <c r="H15" i="20"/>
  <c r="H16" i="20"/>
  <c r="H17" i="20"/>
  <c r="H20" i="20"/>
  <c r="H21" i="20"/>
  <c r="H22" i="20"/>
  <c r="H23" i="20"/>
  <c r="H13" i="20"/>
  <c r="H12" i="20"/>
  <c r="H3" i="20"/>
  <c r="H4" i="20"/>
  <c r="H5" i="20"/>
  <c r="H10" i="20"/>
  <c r="H11" i="20"/>
  <c r="F12" i="19"/>
  <c r="G3" i="19"/>
  <c r="G4" i="19"/>
  <c r="G5" i="19"/>
  <c r="G6" i="19"/>
  <c r="G7" i="19"/>
  <c r="G8" i="19"/>
  <c r="G9" i="19"/>
  <c r="G10" i="19"/>
  <c r="G11" i="19"/>
  <c r="G12" i="19"/>
  <c r="G2" i="19"/>
  <c r="F3" i="19"/>
  <c r="F4" i="19"/>
  <c r="F5" i="19"/>
  <c r="F6" i="19"/>
  <c r="F7" i="19"/>
  <c r="F8" i="19"/>
  <c r="F9" i="19"/>
  <c r="F10" i="19"/>
  <c r="F11" i="19"/>
  <c r="G2" i="5"/>
  <c r="D3" i="18"/>
  <c r="D4" i="18"/>
  <c r="D5" i="18"/>
  <c r="D6" i="18"/>
  <c r="D7" i="18"/>
  <c r="D8" i="18"/>
  <c r="D9" i="18"/>
  <c r="D10" i="18"/>
  <c r="D11" i="18"/>
  <c r="D12" i="18"/>
  <c r="D2" i="18"/>
  <c r="J26" i="14"/>
  <c r="J25" i="14"/>
  <c r="J24" i="14"/>
  <c r="J23" i="14"/>
  <c r="J22" i="14"/>
  <c r="J21" i="14"/>
  <c r="J20" i="14"/>
  <c r="J19" i="14"/>
  <c r="J18" i="14"/>
  <c r="J17" i="14"/>
  <c r="J16" i="14"/>
  <c r="I30" i="14"/>
  <c r="I2" i="8"/>
  <c r="K2" i="8" s="1"/>
  <c r="I29" i="14"/>
  <c r="I21" i="14"/>
  <c r="I26" i="14"/>
  <c r="I25" i="14"/>
  <c r="I24" i="14"/>
  <c r="I23" i="14"/>
  <c r="I22" i="14"/>
  <c r="I20" i="14"/>
  <c r="I19" i="14"/>
  <c r="I18" i="14"/>
  <c r="I17" i="14"/>
  <c r="I16" i="14"/>
  <c r="I8" i="14"/>
  <c r="H8" i="14"/>
  <c r="M8" i="14"/>
  <c r="L8" i="14"/>
  <c r="K8" i="14"/>
  <c r="G8" i="14"/>
  <c r="F8" i="14"/>
  <c r="E8" i="14"/>
  <c r="D8" i="14"/>
  <c r="C8" i="14"/>
  <c r="J8" i="14"/>
  <c r="H6" i="13"/>
  <c r="L6" i="13"/>
  <c r="K6" i="13"/>
  <c r="J6" i="13"/>
  <c r="I6" i="13"/>
  <c r="F6" i="13"/>
  <c r="E6" i="13"/>
  <c r="D6" i="13"/>
  <c r="C6" i="13"/>
  <c r="B6" i="13"/>
  <c r="N3" i="8"/>
  <c r="N4" i="8"/>
  <c r="N5" i="8"/>
  <c r="N6" i="8"/>
  <c r="N7" i="8"/>
  <c r="N8" i="8"/>
  <c r="N9" i="8"/>
  <c r="N10" i="8"/>
  <c r="N11" i="8"/>
  <c r="N12" i="8"/>
  <c r="K3" i="8"/>
  <c r="K4" i="8"/>
  <c r="K5" i="8"/>
  <c r="K6" i="8"/>
  <c r="K7" i="8"/>
  <c r="K8" i="8"/>
  <c r="K9" i="8"/>
  <c r="K10" i="8"/>
  <c r="K11" i="8"/>
  <c r="K12" i="8"/>
  <c r="H3" i="8"/>
  <c r="H4" i="8"/>
  <c r="H5" i="8"/>
  <c r="H6" i="8"/>
  <c r="H7" i="8"/>
  <c r="H8" i="8"/>
  <c r="H9" i="8"/>
  <c r="H10" i="8"/>
  <c r="H11" i="8"/>
  <c r="H12" i="8"/>
  <c r="H2" i="8"/>
  <c r="X5" i="11"/>
  <c r="X6" i="11"/>
  <c r="X7" i="11"/>
  <c r="X8" i="11"/>
  <c r="X9" i="11"/>
  <c r="X10" i="11"/>
  <c r="X11" i="11"/>
  <c r="X12" i="11"/>
  <c r="X13" i="11"/>
  <c r="X14" i="11"/>
  <c r="X4" i="11"/>
  <c r="W18" i="11"/>
  <c r="W17" i="11"/>
  <c r="W13" i="11"/>
  <c r="W12" i="11"/>
  <c r="W14" i="11"/>
  <c r="W5" i="11"/>
  <c r="W6" i="11"/>
  <c r="W7" i="11"/>
  <c r="W8" i="11"/>
  <c r="W9" i="11"/>
  <c r="W10" i="11"/>
  <c r="W11" i="11"/>
  <c r="W4" i="11"/>
  <c r="X5" i="10"/>
  <c r="X6" i="10"/>
  <c r="X7" i="10"/>
  <c r="X8" i="10"/>
  <c r="X9" i="10"/>
  <c r="X10" i="10"/>
  <c r="X11" i="10"/>
  <c r="X12" i="10"/>
  <c r="X13" i="10"/>
  <c r="X14" i="10"/>
  <c r="X4" i="10"/>
  <c r="W17" i="10"/>
  <c r="W18" i="9"/>
  <c r="W18" i="10"/>
  <c r="W13" i="10"/>
  <c r="W12" i="10"/>
  <c r="W5" i="10"/>
  <c r="W6" i="10"/>
  <c r="W7" i="10"/>
  <c r="W8" i="10"/>
  <c r="W9" i="10"/>
  <c r="W10" i="10"/>
  <c r="W11" i="10"/>
  <c r="W14" i="10"/>
  <c r="W4" i="10"/>
  <c r="X5" i="9"/>
  <c r="X6" i="9"/>
  <c r="X7" i="9"/>
  <c r="X8" i="9"/>
  <c r="X9" i="9"/>
  <c r="X10" i="9"/>
  <c r="X11" i="9"/>
  <c r="X12" i="9"/>
  <c r="X13" i="9"/>
  <c r="X14" i="9"/>
  <c r="X4" i="9"/>
  <c r="W19" i="9"/>
  <c r="W13" i="9"/>
  <c r="W12" i="9"/>
  <c r="W14" i="9"/>
  <c r="W5" i="9"/>
  <c r="W6" i="9"/>
  <c r="W7" i="9"/>
  <c r="W8" i="9"/>
  <c r="W9" i="9"/>
  <c r="W10" i="9"/>
  <c r="W11" i="9"/>
  <c r="W4" i="9"/>
  <c r="U5" i="9"/>
  <c r="U6" i="9"/>
  <c r="U7" i="9"/>
  <c r="U8" i="9"/>
  <c r="U9" i="9"/>
  <c r="U10" i="9"/>
  <c r="U11" i="9"/>
  <c r="U12" i="9"/>
  <c r="U13" i="9"/>
  <c r="U14" i="9"/>
  <c r="U4" i="9"/>
  <c r="G4" i="9"/>
  <c r="G5" i="9"/>
  <c r="G6" i="9"/>
  <c r="G7" i="9"/>
  <c r="G8" i="9"/>
  <c r="G9" i="9"/>
  <c r="G10" i="9"/>
  <c r="G11" i="9"/>
  <c r="G12" i="9"/>
  <c r="G13" i="9"/>
  <c r="G14" i="9"/>
  <c r="N4" i="9"/>
  <c r="N5" i="9"/>
  <c r="N6" i="9"/>
  <c r="N7" i="9"/>
  <c r="N8" i="9"/>
  <c r="N9" i="9"/>
  <c r="N10" i="9"/>
  <c r="N11" i="9"/>
  <c r="N14" i="9"/>
  <c r="J3" i="8"/>
  <c r="J4" i="8"/>
  <c r="J5" i="8"/>
  <c r="J6" i="8"/>
  <c r="J7" i="8"/>
  <c r="J8" i="8"/>
  <c r="J9" i="8"/>
  <c r="J10" i="8"/>
  <c r="J11" i="8"/>
  <c r="J12" i="8"/>
  <c r="J2" i="8"/>
  <c r="I3" i="8"/>
  <c r="I4" i="8"/>
  <c r="I5" i="8"/>
  <c r="I6" i="8"/>
  <c r="I7" i="8"/>
  <c r="I8" i="8"/>
  <c r="I9" i="8"/>
  <c r="I10" i="8"/>
  <c r="I11" i="8"/>
  <c r="I12" i="8"/>
  <c r="F30" i="2"/>
  <c r="G30" i="2"/>
  <c r="H30" i="2"/>
  <c r="I30" i="2"/>
  <c r="J30" i="2"/>
  <c r="K30" i="2"/>
  <c r="L30" i="2"/>
  <c r="M30" i="2"/>
  <c r="N30" i="2"/>
  <c r="E30" i="2"/>
  <c r="D30" i="2"/>
  <c r="B29" i="2"/>
  <c r="B28" i="2"/>
  <c r="I4" i="7"/>
  <c r="I5" i="7"/>
  <c r="I6" i="7"/>
  <c r="I7" i="7"/>
  <c r="I8" i="7"/>
  <c r="I9" i="7"/>
  <c r="I10" i="7"/>
  <c r="I11" i="7"/>
  <c r="I12" i="7"/>
  <c r="I13" i="7"/>
  <c r="I3" i="7"/>
  <c r="G18" i="7"/>
  <c r="G17" i="7"/>
  <c r="G12" i="7"/>
  <c r="G11" i="7"/>
  <c r="G13" i="7"/>
  <c r="G4" i="7"/>
  <c r="G5" i="7"/>
  <c r="G6" i="7"/>
  <c r="G7" i="7"/>
  <c r="G8" i="7"/>
  <c r="G9" i="7"/>
  <c r="G10" i="7"/>
  <c r="G3" i="7"/>
  <c r="X5" i="6"/>
  <c r="X6" i="6"/>
  <c r="X7" i="6"/>
  <c r="X8" i="6"/>
  <c r="X9" i="6"/>
  <c r="X10" i="6"/>
  <c r="X11" i="6"/>
  <c r="X12" i="6"/>
  <c r="X13" i="6"/>
  <c r="X14" i="6"/>
  <c r="X4" i="6"/>
  <c r="W20" i="6"/>
  <c r="W19" i="6"/>
  <c r="W13" i="6"/>
  <c r="W12" i="6"/>
  <c r="W14" i="6"/>
  <c r="W5" i="6"/>
  <c r="W6" i="6"/>
  <c r="W7" i="6"/>
  <c r="W8" i="6"/>
  <c r="W9" i="6"/>
  <c r="W10" i="6"/>
  <c r="W11" i="6"/>
  <c r="W4" i="6"/>
  <c r="U13" i="6"/>
  <c r="U12" i="6"/>
  <c r="G13" i="6"/>
  <c r="G12" i="6"/>
  <c r="U14" i="6"/>
  <c r="U5" i="6"/>
  <c r="U6" i="6"/>
  <c r="U7" i="6"/>
  <c r="U8" i="6"/>
  <c r="U9" i="6"/>
  <c r="U10" i="6"/>
  <c r="U11" i="6"/>
  <c r="U4" i="6"/>
  <c r="N14" i="6"/>
  <c r="N5" i="6"/>
  <c r="N6" i="6"/>
  <c r="N7" i="6"/>
  <c r="N8" i="6"/>
  <c r="N9" i="6"/>
  <c r="N10" i="6"/>
  <c r="N11" i="6"/>
  <c r="N4" i="6"/>
  <c r="G14" i="6"/>
  <c r="G6" i="6"/>
  <c r="G7" i="6"/>
  <c r="G8" i="6"/>
  <c r="G9" i="6"/>
  <c r="G10" i="6"/>
  <c r="G11" i="6"/>
  <c r="G5" i="6"/>
  <c r="G4" i="6"/>
  <c r="H25" i="5"/>
  <c r="H26" i="5"/>
  <c r="H27" i="5"/>
  <c r="H28" i="5"/>
  <c r="H29" i="5"/>
  <c r="H30" i="5"/>
  <c r="H31" i="5"/>
  <c r="H32" i="5"/>
  <c r="H33" i="5"/>
  <c r="H34" i="5"/>
  <c r="H24" i="5"/>
  <c r="G25" i="5"/>
  <c r="G26" i="5"/>
  <c r="G27" i="5"/>
  <c r="G28" i="5"/>
  <c r="G29" i="5"/>
  <c r="G30" i="5"/>
  <c r="G31" i="5"/>
  <c r="G32" i="5"/>
  <c r="G33" i="5"/>
  <c r="G34" i="5"/>
  <c r="G24" i="5"/>
  <c r="H3" i="5"/>
  <c r="H4" i="5"/>
  <c r="H5" i="5"/>
  <c r="H6" i="5"/>
  <c r="H7" i="5"/>
  <c r="H8" i="5"/>
  <c r="H9" i="5"/>
  <c r="H10" i="5"/>
  <c r="H11" i="5"/>
  <c r="H12" i="5"/>
  <c r="H2" i="5"/>
  <c r="G3" i="5"/>
  <c r="G4" i="5"/>
  <c r="G5" i="5"/>
  <c r="G6" i="5"/>
  <c r="G7" i="5"/>
  <c r="G8" i="5"/>
  <c r="G9" i="5"/>
  <c r="G10" i="5"/>
  <c r="G11" i="5"/>
  <c r="G12" i="5"/>
  <c r="M19" i="3"/>
  <c r="L19" i="3"/>
  <c r="N19" i="3"/>
  <c r="K19" i="3"/>
  <c r="J19" i="3"/>
  <c r="I19" i="3"/>
  <c r="H19" i="3"/>
  <c r="G19" i="3"/>
  <c r="F19" i="3"/>
  <c r="E19" i="3"/>
  <c r="D19" i="3"/>
  <c r="M26" i="2"/>
  <c r="L26" i="2"/>
  <c r="K26" i="2"/>
  <c r="J26" i="2"/>
  <c r="G26" i="2"/>
  <c r="N26" i="2"/>
  <c r="I26" i="2"/>
  <c r="H26" i="2"/>
  <c r="F26" i="2"/>
  <c r="E26" i="2"/>
  <c r="D26" i="2"/>
  <c r="G2" i="29" l="1"/>
  <c r="I2" i="21"/>
  <c r="I25" i="21" s="1"/>
  <c r="F2" i="28"/>
  <c r="G5" i="28"/>
  <c r="J5" i="28" s="1"/>
  <c r="F32" i="28"/>
  <c r="F24" i="28"/>
  <c r="M3" i="18"/>
  <c r="M7" i="18"/>
  <c r="M4" i="18"/>
  <c r="M5" i="18"/>
  <c r="G8" i="28"/>
  <c r="J8" i="28" s="1"/>
  <c r="G9" i="28"/>
  <c r="J9" i="28" s="1"/>
  <c r="F30" i="28"/>
  <c r="G11" i="28"/>
  <c r="J11" i="28" s="1"/>
  <c r="G3" i="28"/>
  <c r="G6" i="28"/>
  <c r="J6" i="28" s="1"/>
  <c r="M10" i="18"/>
  <c r="M9" i="18"/>
  <c r="M8" i="18"/>
  <c r="M2" i="18"/>
  <c r="M6" i="18"/>
  <c r="G12" i="28"/>
  <c r="J12" i="28" s="1"/>
  <c r="F25" i="28"/>
  <c r="F10" i="28"/>
  <c r="K10" i="28" s="1"/>
  <c r="N10" i="28" s="1"/>
  <c r="I7" i="20"/>
  <c r="I25" i="20" s="1"/>
  <c r="J2" i="20"/>
  <c r="F29" i="28"/>
  <c r="F8" i="28"/>
  <c r="K8" i="28" s="1"/>
  <c r="N8" i="28" s="1"/>
  <c r="F5" i="28"/>
  <c r="K5" i="28" s="1"/>
  <c r="N5" i="28" s="1"/>
  <c r="F31" i="28"/>
  <c r="G4" i="28"/>
  <c r="J4" i="28" s="1"/>
  <c r="K2" i="28"/>
  <c r="F3" i="28"/>
  <c r="F4" i="28"/>
  <c r="K4" i="28" s="1"/>
  <c r="N4" i="28" s="1"/>
  <c r="F6" i="28"/>
  <c r="K6" i="28" s="1"/>
  <c r="N6" i="28" s="1"/>
  <c r="F7" i="28"/>
  <c r="K7" i="28" s="1"/>
  <c r="N7" i="28" s="1"/>
  <c r="F9" i="28"/>
  <c r="F11" i="28"/>
  <c r="F12" i="28"/>
  <c r="K12" i="28" s="1"/>
  <c r="N12" i="28" s="1"/>
  <c r="G10" i="28"/>
  <c r="J10" i="28" s="1"/>
  <c r="G3" i="25"/>
  <c r="G11" i="25"/>
  <c r="G12" i="25"/>
  <c r="G4" i="25"/>
  <c r="G10" i="25"/>
  <c r="G8" i="25"/>
  <c r="G5" i="25"/>
  <c r="G6" i="25"/>
  <c r="G9" i="25"/>
  <c r="G2" i="23"/>
  <c r="G12" i="23"/>
  <c r="G4" i="23"/>
  <c r="G6" i="23"/>
  <c r="G8" i="23"/>
  <c r="G5" i="23"/>
  <c r="G10" i="23"/>
  <c r="G3" i="23"/>
  <c r="G11" i="23"/>
  <c r="G9" i="23"/>
  <c r="I10" i="22"/>
  <c r="I3" i="22"/>
  <c r="I4" i="22"/>
  <c r="I11" i="22"/>
  <c r="I5" i="22"/>
  <c r="N2" i="8"/>
  <c r="M17" i="8"/>
  <c r="M16" i="8"/>
  <c r="J2" i="21" l="1"/>
  <c r="I26" i="21"/>
  <c r="I2" i="28"/>
  <c r="J3" i="28"/>
  <c r="K3" i="28"/>
  <c r="N3" i="28" s="1"/>
  <c r="K11" i="28"/>
  <c r="N11" i="28" s="1"/>
  <c r="H2" i="28"/>
  <c r="I26" i="20"/>
  <c r="J7" i="20"/>
  <c r="K9" i="28"/>
  <c r="N9" i="28" s="1"/>
  <c r="M2" i="28"/>
  <c r="L2" i="28" l="1"/>
  <c r="N2" i="28" s="1"/>
  <c r="J2" i="28"/>
</calcChain>
</file>

<file path=xl/sharedStrings.xml><?xml version="1.0" encoding="utf-8"?>
<sst xmlns="http://schemas.openxmlformats.org/spreadsheetml/2006/main" count="1813" uniqueCount="154">
  <si>
    <t>Sn</t>
  </si>
  <si>
    <t>Category</t>
  </si>
  <si>
    <t>Tool</t>
  </si>
  <si>
    <t>Implementation</t>
  </si>
  <si>
    <t>VM status</t>
  </si>
  <si>
    <t>Basic Analysis</t>
  </si>
  <si>
    <t>A</t>
  </si>
  <si>
    <t>Clustering Based</t>
  </si>
  <si>
    <t>LOOPbit</t>
  </si>
  <si>
    <t>Python</t>
  </si>
  <si>
    <t>Done</t>
  </si>
  <si>
    <t>requires .tsv file for a particular region</t>
  </si>
  <si>
    <t>LASCA</t>
  </si>
  <si>
    <t>cLoops</t>
  </si>
  <si>
    <t>cLoops2</t>
  </si>
  <si>
    <t>B</t>
  </si>
  <si>
    <t>Probability-Based</t>
  </si>
  <si>
    <t>HiCExplorer</t>
  </si>
  <si>
    <t>HiC-ACT</t>
  </si>
  <si>
    <t>R</t>
  </si>
  <si>
    <t>Done: run with their sample data. It requirs HiC pipline results with col name like Fithic</t>
  </si>
  <si>
    <t>FitHiC</t>
  </si>
  <si>
    <t>FitHiC2</t>
  </si>
  <si>
    <t>FitHiChIP</t>
  </si>
  <si>
    <t>it runs with the provided hicpro. But hic is not running. Getting an error: As user did not provide any pre-computed locus pairs (along with their contact count) in BED input, neither provided the HiC-pro base installation directory, FitHiChIP quits - exit !</t>
  </si>
  <si>
    <t>HiC-DC</t>
  </si>
  <si>
    <t>requires bam file. Does not conatin any installation instruction. HiC.DC is not available as R library. May need to run as script</t>
  </si>
  <si>
    <t>ZipHiC</t>
  </si>
  <si>
    <t>no instructions for running the script</t>
  </si>
  <si>
    <t>NeoLoopFinder</t>
  </si>
  <si>
    <t>requires mcool file and getting error</t>
  </si>
  <si>
    <t>HMRFBayesHiC</t>
  </si>
  <si>
    <t>git not available</t>
  </si>
  <si>
    <t>C</t>
  </si>
  <si>
    <t>Classification Based</t>
  </si>
  <si>
    <t>FIREcaller</t>
  </si>
  <si>
    <t>Peakachu</t>
  </si>
  <si>
    <t>DONE. Running with hic and cool file. from where we can find the training set?</t>
  </si>
  <si>
    <t>D</t>
  </si>
  <si>
    <t>Computer Vision Based</t>
  </si>
  <si>
    <t>MUSTACHE</t>
  </si>
  <si>
    <t>Chromosight</t>
  </si>
  <si>
    <t>SIP &amp; SIPMeta</t>
  </si>
  <si>
    <t>Java</t>
  </si>
  <si>
    <t>E</t>
  </si>
  <si>
    <t>Pile-up Procedure Based</t>
  </si>
  <si>
    <t>Coolpup.py</t>
  </si>
  <si>
    <t>requirs bam or bowtie file. It requires two ends bam or bowtie files.</t>
  </si>
  <si>
    <t>what is meant by chromo size files? Done. Need to check result</t>
  </si>
  <si>
    <t>ValueError: No chromosomes are in common between the coordinate
                   file and the cooler file. Are they in the same
                   format, e.g. starting with "chr"?</t>
  </si>
  <si>
    <t>Gothic</t>
  </si>
  <si>
    <t>in requires an HiC interaction matrix</t>
  </si>
  <si>
    <t>DONE: requires contact counts and fragment files. Requires files from HiCPro</t>
  </si>
  <si>
    <t>Result</t>
  </si>
  <si>
    <t>DONE</t>
  </si>
  <si>
    <t>Run on machine 1</t>
  </si>
  <si>
    <t>Done. Only 10KB</t>
  </si>
  <si>
    <t>On Machine 2</t>
  </si>
  <si>
    <t>Error in if (abs(end - as.numeric(as.numeric(u[i, 2]))) == 0) { :
  missing value where TRUE/FALSE needed</t>
  </si>
  <si>
    <t>converting to bed format</t>
  </si>
  <si>
    <t>On Machine 1</t>
  </si>
  <si>
    <t>Mailed the author</t>
  </si>
  <si>
    <t>find out how to get peaks files</t>
  </si>
  <si>
    <t>Only 10K supports</t>
  </si>
  <si>
    <t>Stopped: On Machine 2</t>
  </si>
  <si>
    <t>Comment</t>
  </si>
  <si>
    <t>SIP</t>
  </si>
  <si>
    <t>Primary</t>
  </si>
  <si>
    <t>chr1</t>
  </si>
  <si>
    <t>10K</t>
  </si>
  <si>
    <t>5K</t>
  </si>
  <si>
    <t>chr6</t>
  </si>
  <si>
    <t>whole</t>
  </si>
  <si>
    <t>Replicate</t>
  </si>
  <si>
    <t>Bed file</t>
  </si>
  <si>
    <t>generating SVs</t>
  </si>
  <si>
    <t>bed file</t>
  </si>
  <si>
    <t>On machine 2</t>
  </si>
  <si>
    <t>Doesn't produce any output with hic data. Again running a sample test of chr6 10K.</t>
  </si>
  <si>
    <t>On Machine 2 and 1</t>
  </si>
  <si>
    <t>dependency issues</t>
  </si>
  <si>
    <t>cloops</t>
  </si>
  <si>
    <t>cloops2</t>
  </si>
  <si>
    <t>HiCCUPs</t>
  </si>
  <si>
    <t>HiCCUPS</t>
  </si>
  <si>
    <t>KR</t>
  </si>
  <si>
    <t>Average</t>
  </si>
  <si>
    <t>5kb</t>
  </si>
  <si>
    <t>10kb</t>
  </si>
  <si>
    <t>Resolution</t>
  </si>
  <si>
    <t>Chromosome</t>
  </si>
  <si>
    <t>Size (kb)</t>
  </si>
  <si>
    <t>Size (# bins)</t>
  </si>
  <si>
    <t>Clustering</t>
  </si>
  <si>
    <t>Probability</t>
  </si>
  <si>
    <t>Classification</t>
  </si>
  <si>
    <t>Computer Vision</t>
  </si>
  <si>
    <t>Size (kb) vs. Resolution</t>
  </si>
  <si>
    <t>Size (# bins) vs. Resolution</t>
  </si>
  <si>
    <t>KR Normalized</t>
  </si>
  <si>
    <t>MinMax(100%)</t>
  </si>
  <si>
    <t>MIN</t>
  </si>
  <si>
    <t>MAX</t>
  </si>
  <si>
    <t>Min</t>
  </si>
  <si>
    <t>Max</t>
  </si>
  <si>
    <t>CTCF</t>
  </si>
  <si>
    <t>H3K27ac</t>
  </si>
  <si>
    <t>RNAPII</t>
  </si>
  <si>
    <t>Biological</t>
  </si>
  <si>
    <t>ApaScore</t>
  </si>
  <si>
    <t>Overlaop</t>
  </si>
  <si>
    <t>Time</t>
  </si>
  <si>
    <t>Consistency</t>
  </si>
  <si>
    <t>Computational</t>
  </si>
  <si>
    <t>Tools</t>
  </si>
  <si>
    <t>Overall</t>
  </si>
  <si>
    <t>resolution</t>
  </si>
  <si>
    <t>Mustache</t>
  </si>
  <si>
    <t>100K</t>
  </si>
  <si>
    <t>250K</t>
  </si>
  <si>
    <t>5KB</t>
  </si>
  <si>
    <t>10KB</t>
  </si>
  <si>
    <t>100KB</t>
  </si>
  <si>
    <t>250KB</t>
  </si>
  <si>
    <t>Score</t>
  </si>
  <si>
    <t>Running Time</t>
  </si>
  <si>
    <t>Memory</t>
  </si>
  <si>
    <t>Computational Score</t>
  </si>
  <si>
    <t>Consistency Score</t>
  </si>
  <si>
    <t>Size (KB)</t>
  </si>
  <si>
    <t>Size (KB) vs. Resolution</t>
  </si>
  <si>
    <t>HiCExplorer**</t>
  </si>
  <si>
    <t>HiCCUPS*</t>
  </si>
  <si>
    <t>Fraction of Recovery</t>
  </si>
  <si>
    <t>Low</t>
  </si>
  <si>
    <t>High</t>
  </si>
  <si>
    <t>Avg</t>
  </si>
  <si>
    <t>Average Fraction of Recovery</t>
  </si>
  <si>
    <t>Biologicl Score</t>
  </si>
  <si>
    <t>BCC</t>
  </si>
  <si>
    <t>loops</t>
  </si>
  <si>
    <t>score</t>
  </si>
  <si>
    <t>H3k27ac</t>
  </si>
  <si>
    <t>Loop Count</t>
  </si>
  <si>
    <t>CTCF(REM)</t>
  </si>
  <si>
    <t>H3k27ac(REM)</t>
  </si>
  <si>
    <t>RNAPII(REM)</t>
  </si>
  <si>
    <t>High Vs. Low</t>
  </si>
  <si>
    <t>CTCF Score</t>
  </si>
  <si>
    <t>Avg (Seq. Depth)</t>
  </si>
  <si>
    <t>CTCF Score (Seq. Depth)</t>
  </si>
  <si>
    <t>%</t>
  </si>
  <si>
    <t>Varienc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</si>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</sst>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3">
    <xf numFmtId="0" fontId="0" fillId="0" borderId="0"/>
    <xf numFmtId="0" fontId="4" fillId="7" borderId="1" applyNumberFormat="0" applyAlignment="0" applyProtection="0"/>
    <xf numFmtId="0" fontId="9" fillId="8" borderId="0" applyNumberFormat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0" borderId="0" xfId="0" applyFont="1"/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/>
    <xf numFmtId="0" fontId="2" fillId="5" borderId="0" xfId="0" applyFont="1" applyFill="1"/>
    <xf numFmtId="0" fontId="2" fillId="5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5" fillId="6" borderId="0" xfId="0" applyFont="1" applyFill="1" applyAlignment="1">
      <alignment vertical="top" wrapText="1"/>
    </xf>
    <xf numFmtId="0" fontId="5" fillId="6" borderId="0" xfId="0" applyFont="1" applyFill="1"/>
    <xf numFmtId="0" fontId="6" fillId="6" borderId="0" xfId="0" applyFont="1" applyFill="1" applyAlignment="1">
      <alignment horizontal="center" vertical="top" wrapText="1"/>
    </xf>
    <xf numFmtId="0" fontId="6" fillId="6" borderId="0" xfId="0" applyFont="1" applyFill="1" applyAlignment="1">
      <alignment vertical="top" wrapText="1"/>
    </xf>
    <xf numFmtId="0" fontId="2" fillId="6" borderId="0" xfId="0" applyFont="1" applyFill="1" applyAlignment="1">
      <alignment vertical="top"/>
    </xf>
    <xf numFmtId="0" fontId="2" fillId="6" borderId="0" xfId="0" applyFont="1" applyFill="1" applyAlignment="1">
      <alignment horizontal="left" vertical="top"/>
    </xf>
    <xf numFmtId="0" fontId="2" fillId="6" borderId="0" xfId="0" applyFont="1" applyFill="1" applyAlignment="1">
      <alignment horizontal="center" vertical="top"/>
    </xf>
    <xf numFmtId="0" fontId="2" fillId="6" borderId="0" xfId="0" applyFont="1" applyFill="1" applyAlignment="1">
      <alignment vertical="top" wrapText="1"/>
    </xf>
    <xf numFmtId="0" fontId="2" fillId="6" borderId="0" xfId="0" applyFont="1" applyFill="1" applyAlignment="1">
      <alignment vertical="center" wrapText="1"/>
    </xf>
    <xf numFmtId="0" fontId="2" fillId="6" borderId="0" xfId="0" applyFont="1" applyFill="1"/>
    <xf numFmtId="0" fontId="3" fillId="6" borderId="0" xfId="0" applyFont="1" applyFill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center" vertical="top" wrapText="1"/>
    </xf>
    <xf numFmtId="0" fontId="6" fillId="6" borderId="0" xfId="0" applyFont="1" applyFill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0" fontId="8" fillId="7" borderId="1" xfId="1" applyFont="1" applyAlignment="1">
      <alignment horizontal="center" vertical="top"/>
    </xf>
    <xf numFmtId="0" fontId="8" fillId="7" borderId="1" xfId="1" applyFont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right" vertical="center"/>
    </xf>
    <xf numFmtId="1" fontId="0" fillId="0" borderId="0" xfId="0" applyNumberFormat="1"/>
    <xf numFmtId="2" fontId="0" fillId="0" borderId="0" xfId="0" applyNumberFormat="1"/>
    <xf numFmtId="0" fontId="6" fillId="0" borderId="0" xfId="0" applyFont="1" applyAlignment="1">
      <alignment vertical="center"/>
    </xf>
    <xf numFmtId="2" fontId="7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vertical="top"/>
    </xf>
    <xf numFmtId="0" fontId="9" fillId="8" borderId="0" xfId="2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2" fontId="2" fillId="0" borderId="0" xfId="0" applyNumberFormat="1" applyFont="1" applyAlignment="1">
      <alignment horizontal="center" vertical="center"/>
    </xf>
    <xf numFmtId="11" fontId="0" fillId="0" borderId="0" xfId="0" applyNumberFormat="1"/>
    <xf numFmtId="11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center"/>
    </xf>
  </cellXfs>
  <cellStyles count="3"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opLeftCell="A5" workbookViewId="0">
      <selection activeCell="I5" sqref="I5"/>
    </sheetView>
  </sheetViews>
  <sheetFormatPr defaultRowHeight="14.4" x14ac:dyDescent="0.3"/>
  <cols>
    <col min="1" max="1" width="3.5546875" style="15" bestFit="1" customWidth="1"/>
    <col min="2" max="2" width="23.88671875" style="15" bestFit="1" customWidth="1"/>
    <col min="3" max="3" width="15.33203125" style="16" bestFit="1" customWidth="1"/>
    <col min="4" max="4" width="18.44140625" style="17" bestFit="1" customWidth="1"/>
    <col min="5" max="5" width="11.6640625" style="17" bestFit="1" customWidth="1"/>
    <col min="6" max="6" width="47.21875" style="18" customWidth="1"/>
    <col min="7" max="7" width="41.109375" style="15" bestFit="1" customWidth="1"/>
    <col min="8" max="8" width="22.88671875" customWidth="1"/>
  </cols>
  <sheetData>
    <row r="1" spans="1:8" s="5" customFormat="1" ht="18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65</v>
      </c>
      <c r="H1" s="5" t="s">
        <v>53</v>
      </c>
    </row>
    <row r="3" spans="1:8" s="11" customFormat="1" ht="31.2" x14ac:dyDescent="0.3">
      <c r="A3" s="6" t="s">
        <v>6</v>
      </c>
      <c r="B3" s="7" t="s">
        <v>7</v>
      </c>
      <c r="C3" s="8" t="s">
        <v>8</v>
      </c>
      <c r="D3" s="9" t="s">
        <v>9</v>
      </c>
      <c r="E3" s="10" t="s">
        <v>10</v>
      </c>
      <c r="F3" s="7" t="s">
        <v>11</v>
      </c>
      <c r="G3" s="6" t="s">
        <v>51</v>
      </c>
      <c r="H3" s="24" t="s">
        <v>64</v>
      </c>
    </row>
    <row r="4" spans="1:8" s="11" customFormat="1" ht="15.6" x14ac:dyDescent="0.3">
      <c r="A4" s="6"/>
      <c r="B4" s="6"/>
      <c r="C4" s="8" t="s">
        <v>12</v>
      </c>
      <c r="D4" s="9" t="s">
        <v>9</v>
      </c>
      <c r="E4" s="10" t="s">
        <v>10</v>
      </c>
      <c r="F4" s="12" t="s">
        <v>10</v>
      </c>
      <c r="G4" s="6"/>
      <c r="H4" s="23" t="s">
        <v>56</v>
      </c>
    </row>
    <row r="5" spans="1:8" s="11" customFormat="1" ht="15.6" x14ac:dyDescent="0.3">
      <c r="A5" s="6"/>
      <c r="B5" s="6"/>
      <c r="C5" s="8" t="s">
        <v>13</v>
      </c>
      <c r="D5" s="9" t="s">
        <v>9</v>
      </c>
      <c r="E5" s="10" t="s">
        <v>10</v>
      </c>
      <c r="F5" s="12" t="s">
        <v>10</v>
      </c>
      <c r="G5" s="6" t="s">
        <v>59</v>
      </c>
      <c r="H5" s="21" t="s">
        <v>60</v>
      </c>
    </row>
    <row r="6" spans="1:8" s="11" customFormat="1" ht="15.6" x14ac:dyDescent="0.3">
      <c r="A6" s="6"/>
      <c r="B6" s="6"/>
      <c r="C6" s="8" t="s">
        <v>14</v>
      </c>
      <c r="D6" s="9" t="s">
        <v>9</v>
      </c>
      <c r="E6" s="10" t="s">
        <v>10</v>
      </c>
      <c r="F6" s="12" t="s">
        <v>10</v>
      </c>
      <c r="G6" s="6" t="s">
        <v>76</v>
      </c>
    </row>
    <row r="7" spans="1:8" s="11" customFormat="1" ht="15.6" x14ac:dyDescent="0.3">
      <c r="A7" s="6"/>
      <c r="B7" s="6"/>
      <c r="C7" s="8"/>
      <c r="D7" s="13"/>
      <c r="E7" s="13"/>
      <c r="F7" s="7"/>
      <c r="G7" s="6"/>
    </row>
    <row r="8" spans="1:8" s="11" customFormat="1" ht="15.6" x14ac:dyDescent="0.3">
      <c r="A8" s="7" t="s">
        <v>15</v>
      </c>
      <c r="B8" s="7" t="s">
        <v>16</v>
      </c>
      <c r="C8" s="36" t="s">
        <v>17</v>
      </c>
      <c r="D8" s="37" t="s">
        <v>9</v>
      </c>
      <c r="E8" s="12" t="s">
        <v>10</v>
      </c>
      <c r="F8" s="12" t="s">
        <v>10</v>
      </c>
      <c r="G8" s="7"/>
      <c r="H8" s="19" t="s">
        <v>54</v>
      </c>
    </row>
    <row r="9" spans="1:8" s="11" customFormat="1" ht="31.2" x14ac:dyDescent="0.3">
      <c r="A9" s="7"/>
      <c r="B9" s="7"/>
      <c r="C9" s="36" t="s">
        <v>18</v>
      </c>
      <c r="D9" s="38" t="s">
        <v>19</v>
      </c>
      <c r="E9" s="12" t="s">
        <v>10</v>
      </c>
      <c r="F9" s="12" t="s">
        <v>20</v>
      </c>
      <c r="G9" s="7" t="s">
        <v>78</v>
      </c>
      <c r="H9" s="35" t="s">
        <v>77</v>
      </c>
    </row>
    <row r="10" spans="1:8" s="11" customFormat="1" ht="31.2" x14ac:dyDescent="0.3">
      <c r="A10" s="7"/>
      <c r="B10" s="7"/>
      <c r="C10" s="36" t="s">
        <v>21</v>
      </c>
      <c r="D10" s="37" t="s">
        <v>9</v>
      </c>
      <c r="E10" s="12" t="s">
        <v>10</v>
      </c>
      <c r="F10" s="19" t="s">
        <v>20</v>
      </c>
      <c r="G10" s="7"/>
      <c r="H10" s="19" t="s">
        <v>10</v>
      </c>
    </row>
    <row r="11" spans="1:8" s="11" customFormat="1" ht="31.2" x14ac:dyDescent="0.3">
      <c r="A11" s="7"/>
      <c r="B11" s="7"/>
      <c r="C11" s="36" t="s">
        <v>22</v>
      </c>
      <c r="D11" s="37" t="s">
        <v>9</v>
      </c>
      <c r="E11" s="12" t="s">
        <v>10</v>
      </c>
      <c r="F11" s="19" t="s">
        <v>52</v>
      </c>
      <c r="G11" s="7"/>
      <c r="H11" s="19" t="s">
        <v>10</v>
      </c>
    </row>
    <row r="12" spans="1:8" s="11" customFormat="1" ht="93.6" x14ac:dyDescent="0.3">
      <c r="A12" s="7"/>
      <c r="B12" s="7"/>
      <c r="C12" s="36" t="s">
        <v>23</v>
      </c>
      <c r="D12" s="37" t="s">
        <v>9</v>
      </c>
      <c r="E12" s="12" t="s">
        <v>10</v>
      </c>
      <c r="F12" s="7" t="s">
        <v>24</v>
      </c>
      <c r="G12" s="7" t="s">
        <v>62</v>
      </c>
      <c r="H12" s="19" t="s">
        <v>10</v>
      </c>
    </row>
    <row r="13" spans="1:8" s="11" customFormat="1" ht="31.2" x14ac:dyDescent="0.3">
      <c r="A13" s="7"/>
      <c r="B13" s="7"/>
      <c r="C13" s="36" t="s">
        <v>50</v>
      </c>
      <c r="D13" s="38" t="s">
        <v>19</v>
      </c>
      <c r="E13" s="12" t="s">
        <v>10</v>
      </c>
      <c r="F13" s="7" t="s">
        <v>47</v>
      </c>
      <c r="G13" s="7"/>
      <c r="H13" s="7"/>
    </row>
    <row r="14" spans="1:8" s="11" customFormat="1" ht="46.8" x14ac:dyDescent="0.3">
      <c r="A14" s="7"/>
      <c r="B14" s="7"/>
      <c r="C14" s="36" t="s">
        <v>25</v>
      </c>
      <c r="D14" s="38" t="s">
        <v>19</v>
      </c>
      <c r="E14" s="12" t="s">
        <v>10</v>
      </c>
      <c r="F14" s="7" t="s">
        <v>26</v>
      </c>
      <c r="G14" s="7" t="s">
        <v>80</v>
      </c>
      <c r="H14" s="7"/>
    </row>
    <row r="15" spans="1:8" s="34" customFormat="1" ht="15.6" x14ac:dyDescent="0.3">
      <c r="A15" s="32"/>
      <c r="B15" s="32"/>
      <c r="C15" s="39" t="s">
        <v>27</v>
      </c>
      <c r="D15" s="40" t="s">
        <v>19</v>
      </c>
      <c r="E15" s="40" t="s">
        <v>10</v>
      </c>
      <c r="F15" s="32" t="s">
        <v>28</v>
      </c>
      <c r="G15" s="32" t="s">
        <v>61</v>
      </c>
      <c r="H15" s="32"/>
    </row>
    <row r="16" spans="1:8" s="11" customFormat="1" ht="15.6" x14ac:dyDescent="0.3">
      <c r="A16" s="7"/>
      <c r="B16" s="7"/>
      <c r="C16" s="36" t="s">
        <v>29</v>
      </c>
      <c r="D16" s="37" t="s">
        <v>9</v>
      </c>
      <c r="E16" s="12" t="s">
        <v>10</v>
      </c>
      <c r="F16" s="7" t="s">
        <v>30</v>
      </c>
      <c r="G16" s="7" t="s">
        <v>75</v>
      </c>
      <c r="H16" s="22" t="s">
        <v>79</v>
      </c>
    </row>
    <row r="17" spans="1:8" s="26" customFormat="1" ht="31.2" x14ac:dyDescent="0.3">
      <c r="A17" s="25"/>
      <c r="B17" s="25"/>
      <c r="C17" s="41" t="s">
        <v>31</v>
      </c>
      <c r="D17" s="27" t="s">
        <v>19</v>
      </c>
      <c r="E17" s="27" t="s">
        <v>32</v>
      </c>
      <c r="F17" s="28"/>
      <c r="G17" s="28" t="s">
        <v>61</v>
      </c>
      <c r="H17" s="25"/>
    </row>
    <row r="18" spans="1:8" s="11" customFormat="1" ht="15.6" x14ac:dyDescent="0.3">
      <c r="A18" s="6"/>
      <c r="B18" s="6"/>
      <c r="C18" s="8"/>
      <c r="D18" s="13"/>
      <c r="E18" s="13"/>
      <c r="F18" s="7"/>
      <c r="G18" s="6"/>
    </row>
    <row r="19" spans="1:8" s="34" customFormat="1" ht="46.8" x14ac:dyDescent="0.3">
      <c r="A19" s="29" t="s">
        <v>33</v>
      </c>
      <c r="B19" s="29" t="s">
        <v>34</v>
      </c>
      <c r="C19" s="30" t="s">
        <v>35</v>
      </c>
      <c r="D19" s="31" t="s">
        <v>19</v>
      </c>
      <c r="E19" s="31" t="s">
        <v>10</v>
      </c>
      <c r="F19" s="32" t="s">
        <v>63</v>
      </c>
      <c r="G19" s="32" t="s">
        <v>58</v>
      </c>
      <c r="H19" s="33" t="s">
        <v>57</v>
      </c>
    </row>
    <row r="20" spans="1:8" s="11" customFormat="1" ht="31.2" x14ac:dyDescent="0.3">
      <c r="A20" s="6"/>
      <c r="B20" s="6"/>
      <c r="C20" s="8" t="s">
        <v>36</v>
      </c>
      <c r="D20" s="9" t="s">
        <v>9</v>
      </c>
      <c r="E20" s="10" t="s">
        <v>10</v>
      </c>
      <c r="F20" s="12" t="s">
        <v>37</v>
      </c>
      <c r="G20" s="6"/>
      <c r="H20" s="20" t="s">
        <v>10</v>
      </c>
    </row>
    <row r="21" spans="1:8" s="11" customFormat="1" ht="15.6" x14ac:dyDescent="0.3">
      <c r="A21" s="6"/>
      <c r="B21" s="6"/>
      <c r="C21" s="8"/>
      <c r="D21" s="13"/>
      <c r="E21" s="13"/>
      <c r="F21" s="7"/>
      <c r="G21" s="6"/>
    </row>
    <row r="22" spans="1:8" s="11" customFormat="1" ht="15.6" x14ac:dyDescent="0.3">
      <c r="A22" s="6" t="s">
        <v>38</v>
      </c>
      <c r="B22" s="6" t="s">
        <v>39</v>
      </c>
      <c r="C22" s="8" t="s">
        <v>40</v>
      </c>
      <c r="D22" s="9" t="s">
        <v>9</v>
      </c>
      <c r="E22" s="10" t="s">
        <v>10</v>
      </c>
      <c r="F22" s="12" t="s">
        <v>10</v>
      </c>
      <c r="G22" s="6"/>
      <c r="H22" s="20" t="s">
        <v>10</v>
      </c>
    </row>
    <row r="23" spans="1:8" s="11" customFormat="1" ht="15.6" x14ac:dyDescent="0.3">
      <c r="A23" s="6"/>
      <c r="B23" s="6"/>
      <c r="C23" s="8" t="s">
        <v>41</v>
      </c>
      <c r="D23" s="9" t="s">
        <v>9</v>
      </c>
      <c r="E23" s="10" t="s">
        <v>10</v>
      </c>
      <c r="F23" s="12" t="s">
        <v>10</v>
      </c>
      <c r="G23" s="6"/>
      <c r="H23" s="20" t="s">
        <v>10</v>
      </c>
    </row>
    <row r="24" spans="1:8" s="11" customFormat="1" ht="31.2" x14ac:dyDescent="0.3">
      <c r="A24" s="6"/>
      <c r="B24" s="6"/>
      <c r="C24" s="8" t="s">
        <v>42</v>
      </c>
      <c r="D24" s="14" t="s">
        <v>43</v>
      </c>
      <c r="E24" s="10" t="s">
        <v>10</v>
      </c>
      <c r="F24" s="19" t="s">
        <v>48</v>
      </c>
      <c r="G24" s="6"/>
      <c r="H24" s="20" t="s">
        <v>10</v>
      </c>
    </row>
    <row r="25" spans="1:8" s="11" customFormat="1" ht="15.6" x14ac:dyDescent="0.3">
      <c r="A25" s="6"/>
      <c r="B25" s="6"/>
      <c r="C25" s="8"/>
      <c r="D25" s="13"/>
      <c r="E25" s="13"/>
      <c r="F25" s="7"/>
      <c r="G25" s="6"/>
    </row>
    <row r="26" spans="1:8" s="11" customFormat="1" ht="78" x14ac:dyDescent="0.3">
      <c r="A26" s="6" t="s">
        <v>44</v>
      </c>
      <c r="B26" s="6" t="s">
        <v>45</v>
      </c>
      <c r="C26" s="8" t="s">
        <v>46</v>
      </c>
      <c r="D26" s="9" t="s">
        <v>9</v>
      </c>
      <c r="E26" s="10" t="s">
        <v>10</v>
      </c>
      <c r="F26" s="7" t="s">
        <v>49</v>
      </c>
      <c r="G26" s="6" t="s">
        <v>74</v>
      </c>
      <c r="H26" s="22" t="s">
        <v>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BEBA-D10D-4CFE-B4A9-06BE70680AFD}">
  <dimension ref="A1:P45"/>
  <sheetViews>
    <sheetView topLeftCell="I1" workbookViewId="0">
      <selection activeCell="I17" sqref="I17"/>
    </sheetView>
  </sheetViews>
  <sheetFormatPr defaultRowHeight="14.4" x14ac:dyDescent="0.3"/>
  <cols>
    <col min="1" max="1" width="14.21875" bestFit="1" customWidth="1"/>
    <col min="2" max="2" width="6.6640625" bestFit="1" customWidth="1"/>
    <col min="3" max="3" width="19.5546875" bestFit="1" customWidth="1"/>
    <col min="4" max="5" width="17.77734375" bestFit="1" customWidth="1"/>
    <col min="9" max="9" width="17.77734375" bestFit="1" customWidth="1"/>
    <col min="11" max="11" width="14.21875" bestFit="1" customWidth="1"/>
    <col min="12" max="12" width="7.5546875" style="53" bestFit="1" customWidth="1"/>
    <col min="13" max="13" width="14.21875" bestFit="1" customWidth="1"/>
    <col min="14" max="14" width="7.5546875" bestFit="1" customWidth="1"/>
    <col min="15" max="15" width="12.5546875" bestFit="1" customWidth="1"/>
  </cols>
  <sheetData>
    <row r="1" spans="1:16" x14ac:dyDescent="0.3">
      <c r="D1" t="s">
        <v>101</v>
      </c>
      <c r="E1" t="s">
        <v>102</v>
      </c>
      <c r="F1" t="s">
        <v>151</v>
      </c>
      <c r="G1" t="s">
        <v>136</v>
      </c>
      <c r="K1" t="s">
        <v>2</v>
      </c>
      <c r="L1" s="53" t="s">
        <v>86</v>
      </c>
      <c r="M1" t="s">
        <v>2</v>
      </c>
      <c r="N1" s="53" t="s">
        <v>86</v>
      </c>
      <c r="O1" t="s">
        <v>2</v>
      </c>
      <c r="P1" s="53" t="s">
        <v>86</v>
      </c>
    </row>
    <row r="2" spans="1:16" ht="15.6" x14ac:dyDescent="0.3">
      <c r="A2" s="57" t="s">
        <v>41</v>
      </c>
      <c r="B2" s="11" t="s">
        <v>120</v>
      </c>
      <c r="C2" s="68">
        <v>5.96500301698129E-2</v>
      </c>
      <c r="D2" s="69">
        <f>MIN(C2:C12)</f>
        <v>1.20679251788639E-3</v>
      </c>
      <c r="E2" s="69">
        <f>MAX(C2:C12)</f>
        <v>0.156624428928541</v>
      </c>
      <c r="F2">
        <f>((C2-0.001206792517886)/(0.156624428928541-0.001206792517886))*100</f>
        <v>37.603993344425987</v>
      </c>
      <c r="G2">
        <f>SUM(F2,F13,F24,F35)/4</f>
        <v>14.089929115856267</v>
      </c>
      <c r="I2" s="69">
        <f>AVERAGE(C2,C13,C24,C35)</f>
        <v>3.0915977070942142E-2</v>
      </c>
      <c r="K2" s="57" t="s">
        <v>23</v>
      </c>
      <c r="L2" s="53">
        <v>0.25461167140763702</v>
      </c>
      <c r="M2" s="57" t="s">
        <v>132</v>
      </c>
      <c r="N2" s="53">
        <v>0.44742394013082554</v>
      </c>
      <c r="O2" t="s">
        <v>22</v>
      </c>
      <c r="P2" s="53">
        <v>0.17847062226344695</v>
      </c>
    </row>
    <row r="3" spans="1:16" ht="15.6" x14ac:dyDescent="0.3">
      <c r="A3" s="57" t="s">
        <v>13</v>
      </c>
      <c r="B3" s="11" t="s">
        <v>120</v>
      </c>
      <c r="C3" s="68">
        <v>2.2013188518231201E-2</v>
      </c>
      <c r="F3">
        <f t="shared" ref="F3:F12" si="0">((C3-0.001206792517886)/(0.156624428928541-0.001206792517886))*100</f>
        <v>13.387409872435024</v>
      </c>
      <c r="G3">
        <f t="shared" ref="G3:G12" si="1">SUM(F3,F14,F25,F36)/4</f>
        <v>7.3688907832268615</v>
      </c>
      <c r="I3" s="69">
        <f t="shared" ref="I3:I12" si="2">AVERAGE(C3,C14,C25,C36)</f>
        <v>2.2013188518231201E-2</v>
      </c>
      <c r="K3" s="57" t="s">
        <v>132</v>
      </c>
      <c r="L3" s="53">
        <v>0.21609667270062949</v>
      </c>
      <c r="M3" s="57" t="s">
        <v>23</v>
      </c>
      <c r="N3" s="53">
        <v>0.346267798798297</v>
      </c>
      <c r="O3" t="s">
        <v>23</v>
      </c>
      <c r="P3" s="53">
        <v>0.17604699639946961</v>
      </c>
    </row>
    <row r="4" spans="1:16" ht="15.6" x14ac:dyDescent="0.3">
      <c r="A4" s="57" t="s">
        <v>14</v>
      </c>
      <c r="B4" s="11" t="s">
        <v>120</v>
      </c>
      <c r="C4" s="68">
        <v>5.7451943797948497E-2</v>
      </c>
      <c r="F4">
        <f t="shared" si="0"/>
        <v>36.189683860233046</v>
      </c>
      <c r="G4">
        <f t="shared" si="1"/>
        <v>14.161039072789359</v>
      </c>
      <c r="I4" s="69">
        <f t="shared" si="2"/>
        <v>2.9943539350056038E-2</v>
      </c>
      <c r="K4" s="57" t="s">
        <v>22</v>
      </c>
      <c r="L4" s="53">
        <v>0.1585693043703128</v>
      </c>
      <c r="M4" s="57" t="s">
        <v>22</v>
      </c>
      <c r="N4" s="53">
        <v>0.20220076810675844</v>
      </c>
      <c r="O4" t="s">
        <v>132</v>
      </c>
      <c r="P4" s="53">
        <v>8.916549474881065E-2</v>
      </c>
    </row>
    <row r="5" spans="1:16" ht="15.6" x14ac:dyDescent="0.3">
      <c r="A5" s="57" t="s">
        <v>22</v>
      </c>
      <c r="B5" s="11" t="s">
        <v>120</v>
      </c>
      <c r="C5" s="68">
        <v>1.20679251788639E-3</v>
      </c>
      <c r="F5">
        <f t="shared" si="0"/>
        <v>2.5085898243595881E-13</v>
      </c>
      <c r="G5">
        <f t="shared" si="1"/>
        <v>40.154628112677401</v>
      </c>
      <c r="I5" s="69">
        <f t="shared" si="2"/>
        <v>0.1585693043703128</v>
      </c>
      <c r="K5" s="57" t="s">
        <v>131</v>
      </c>
      <c r="L5" s="53">
        <v>8.6070166364968545E-2</v>
      </c>
      <c r="M5" s="57" t="s">
        <v>131</v>
      </c>
      <c r="N5" s="53">
        <v>0.18077144424996699</v>
      </c>
      <c r="O5" t="s">
        <v>13</v>
      </c>
      <c r="P5" s="53">
        <v>2.267037690873E-2</v>
      </c>
    </row>
    <row r="6" spans="1:16" ht="15.6" x14ac:dyDescent="0.3">
      <c r="A6" s="57" t="s">
        <v>23</v>
      </c>
      <c r="B6" s="11" t="s">
        <v>120</v>
      </c>
      <c r="C6" s="68">
        <v>4.2442461856736502E-2</v>
      </c>
      <c r="F6">
        <f t="shared" si="0"/>
        <v>26.532168607875889</v>
      </c>
      <c r="G6">
        <f>SUM(F6,F17,F28,F39)/4</f>
        <v>69.328966916859272</v>
      </c>
      <c r="I6" s="69">
        <f>AVERAGE(C6,C17,C28,C39)</f>
        <v>0.25461167140763741</v>
      </c>
      <c r="K6" s="57" t="s">
        <v>117</v>
      </c>
      <c r="L6" s="53">
        <v>5.6977846737350249E-2</v>
      </c>
      <c r="M6" s="57" t="s">
        <v>117</v>
      </c>
      <c r="N6" s="53">
        <v>0.14054739504591701</v>
      </c>
      <c r="O6" t="s">
        <v>36</v>
      </c>
      <c r="P6" s="53">
        <v>1.5072858382454141E-2</v>
      </c>
    </row>
    <row r="7" spans="1:16" ht="15.6" x14ac:dyDescent="0.3">
      <c r="A7" s="57" t="s">
        <v>132</v>
      </c>
      <c r="B7" s="11" t="s">
        <v>120</v>
      </c>
      <c r="C7" s="68">
        <v>0.156624428928541</v>
      </c>
      <c r="F7">
        <f t="shared" si="0"/>
        <v>100</v>
      </c>
      <c r="G7">
        <f t="shared" si="1"/>
        <v>50</v>
      </c>
      <c r="I7" s="69">
        <f>AVERAGE(C7,C18)</f>
        <v>0.21609667270062949</v>
      </c>
      <c r="K7" s="57" t="s">
        <v>36</v>
      </c>
      <c r="L7" s="53">
        <v>5.5730648219980958E-2</v>
      </c>
      <c r="M7" s="57" t="s">
        <v>36</v>
      </c>
      <c r="N7" s="53">
        <v>0.13081233448597937</v>
      </c>
      <c r="O7" t="s">
        <v>41</v>
      </c>
      <c r="P7" s="53">
        <v>1.2509599752650539E-2</v>
      </c>
    </row>
    <row r="8" spans="1:16" ht="15.6" x14ac:dyDescent="0.3">
      <c r="A8" s="57" t="s">
        <v>131</v>
      </c>
      <c r="B8" s="11" t="s">
        <v>120</v>
      </c>
      <c r="C8" s="68">
        <v>7.3485044392724796E-2</v>
      </c>
      <c r="F8">
        <f t="shared" si="0"/>
        <v>46.505823627287903</v>
      </c>
      <c r="G8">
        <f t="shared" si="1"/>
        <v>20.129590703060217</v>
      </c>
      <c r="I8" s="69">
        <f>AVERAGE(C8,C19)</f>
        <v>8.6070166364968545E-2</v>
      </c>
      <c r="K8" s="57" t="s">
        <v>41</v>
      </c>
      <c r="L8" s="53">
        <v>3.0915977070942142E-2</v>
      </c>
      <c r="M8" s="57" t="s">
        <v>41</v>
      </c>
      <c r="N8" s="53">
        <v>0.11520093531812811</v>
      </c>
      <c r="O8" t="s">
        <v>117</v>
      </c>
      <c r="P8" s="53">
        <v>9.6396477264793744E-3</v>
      </c>
    </row>
    <row r="9" spans="1:16" ht="15.6" x14ac:dyDescent="0.3">
      <c r="A9" s="57" t="s">
        <v>12</v>
      </c>
      <c r="B9" s="11" t="s">
        <v>120</v>
      </c>
      <c r="C9" s="68">
        <v>4.80562020515473E-3</v>
      </c>
      <c r="F9">
        <f t="shared" si="0"/>
        <v>2.3155851358848771</v>
      </c>
      <c r="G9">
        <f t="shared" si="1"/>
        <v>1.7296829808063905</v>
      </c>
      <c r="I9" s="69">
        <f t="shared" si="2"/>
        <v>7.9438194983191077E-3</v>
      </c>
      <c r="K9" s="57" t="s">
        <v>66</v>
      </c>
      <c r="L9" s="53">
        <v>3.063582880786141E-2</v>
      </c>
      <c r="M9" s="57" t="s">
        <v>66</v>
      </c>
      <c r="N9" s="53">
        <v>6.4054296876801572E-2</v>
      </c>
      <c r="O9" t="s">
        <v>131</v>
      </c>
      <c r="P9" s="53">
        <v>9.1958150065328259E-3</v>
      </c>
    </row>
    <row r="10" spans="1:16" ht="15.6" x14ac:dyDescent="0.3">
      <c r="A10" s="57" t="s">
        <v>117</v>
      </c>
      <c r="B10" s="11" t="s">
        <v>120</v>
      </c>
      <c r="C10" s="68">
        <v>0.106499439703474</v>
      </c>
      <c r="F10">
        <f t="shared" si="0"/>
        <v>67.748197448696644</v>
      </c>
      <c r="G10">
        <f t="shared" si="1"/>
        <v>27.562200073531759</v>
      </c>
      <c r="I10" s="69">
        <f t="shared" si="2"/>
        <v>5.6977846737350249E-2</v>
      </c>
      <c r="K10" s="57" t="s">
        <v>14</v>
      </c>
      <c r="L10" s="53">
        <v>2.9943539350056038E-2</v>
      </c>
      <c r="M10" s="57" t="s">
        <v>13</v>
      </c>
      <c r="N10" s="53">
        <v>5.3931022336770357E-2</v>
      </c>
      <c r="O10" t="s">
        <v>12</v>
      </c>
      <c r="P10" s="53">
        <v>6.9267825618623104E-3</v>
      </c>
    </row>
    <row r="11" spans="1:16" ht="15.6" x14ac:dyDescent="0.3">
      <c r="A11" s="57" t="s">
        <v>36</v>
      </c>
      <c r="B11" s="11" t="s">
        <v>120</v>
      </c>
      <c r="C11" s="68">
        <v>9.1069735367640695E-2</v>
      </c>
      <c r="F11">
        <f t="shared" si="0"/>
        <v>57.820299500831908</v>
      </c>
      <c r="G11">
        <f t="shared" si="1"/>
        <v>25.965056528136177</v>
      </c>
      <c r="I11" s="69">
        <f t="shared" si="2"/>
        <v>5.5730648219980958E-2</v>
      </c>
      <c r="K11" s="57" t="s">
        <v>13</v>
      </c>
      <c r="L11" s="53">
        <v>2.2013188518231201E-2</v>
      </c>
      <c r="M11" s="57" t="s">
        <v>14</v>
      </c>
      <c r="N11" s="53">
        <v>3.8204623361960649E-2</v>
      </c>
      <c r="O11" t="s">
        <v>66</v>
      </c>
      <c r="P11" s="53">
        <v>6.5103777066315462E-3</v>
      </c>
    </row>
    <row r="12" spans="1:16" ht="15.6" x14ac:dyDescent="0.3">
      <c r="A12" s="57" t="s">
        <v>66</v>
      </c>
      <c r="B12" s="11" t="s">
        <v>120</v>
      </c>
      <c r="C12" s="68">
        <v>6.4821998103611805E-2</v>
      </c>
      <c r="F12">
        <f t="shared" si="0"/>
        <v>40.931780366056657</v>
      </c>
      <c r="G12">
        <f t="shared" si="1"/>
        <v>14.88371307598894</v>
      </c>
      <c r="I12" s="69">
        <f t="shared" si="2"/>
        <v>3.063582880786141E-2</v>
      </c>
      <c r="K12" s="57" t="s">
        <v>12</v>
      </c>
      <c r="L12" s="53">
        <v>7.9438194983191077E-3</v>
      </c>
      <c r="M12" s="57" t="s">
        <v>12</v>
      </c>
      <c r="N12" s="53">
        <v>1.7202566544512726E-2</v>
      </c>
      <c r="O12" t="s">
        <v>14</v>
      </c>
      <c r="P12" s="53">
        <v>5.4032893490121034E-3</v>
      </c>
    </row>
    <row r="13" spans="1:16" ht="15.6" x14ac:dyDescent="0.3">
      <c r="A13" s="57" t="s">
        <v>41</v>
      </c>
      <c r="B13" s="11" t="s">
        <v>121</v>
      </c>
      <c r="C13" s="68">
        <v>4.7571330057753602E-2</v>
      </c>
      <c r="D13" s="69">
        <f>MIN(C13:C23)</f>
        <v>7.4670287044220299E-3</v>
      </c>
      <c r="E13" s="69">
        <f>MAX(C13:C23)</f>
        <v>0.27556891647271797</v>
      </c>
      <c r="F13">
        <f>((C13-0.007467028704422)/(0.275568916472718-0.007467028704422))*100</f>
        <v>14.958604613777018</v>
      </c>
    </row>
    <row r="14" spans="1:16" ht="15.6" x14ac:dyDescent="0.3">
      <c r="A14" s="57" t="s">
        <v>13</v>
      </c>
      <c r="B14" s="11" t="s">
        <v>121</v>
      </c>
      <c r="C14" s="68">
        <v>2.2013188518231201E-2</v>
      </c>
      <c r="F14">
        <f t="shared" ref="F14:F23" si="3">((C14-0.007467028704422)/(0.275568916472718-0.007467028704422))*100</f>
        <v>5.4256088738847508</v>
      </c>
    </row>
    <row r="15" spans="1:16" ht="15.6" x14ac:dyDescent="0.3">
      <c r="A15" s="57" t="s">
        <v>14</v>
      </c>
      <c r="B15" s="11" t="s">
        <v>121</v>
      </c>
      <c r="C15" s="68">
        <v>6.2279113869494002E-2</v>
      </c>
      <c r="F15">
        <f t="shared" si="3"/>
        <v>20.444498030704928</v>
      </c>
    </row>
    <row r="16" spans="1:16" ht="15.6" x14ac:dyDescent="0.3">
      <c r="A16" s="57" t="s">
        <v>22</v>
      </c>
      <c r="B16" s="11" t="s">
        <v>121</v>
      </c>
      <c r="C16" s="68">
        <v>8.33225584001379E-2</v>
      </c>
      <c r="F16">
        <f t="shared" si="3"/>
        <v>28.293545534924842</v>
      </c>
    </row>
    <row r="17" spans="1:6" ht="15.6" x14ac:dyDescent="0.3">
      <c r="A17" s="57" t="s">
        <v>23</v>
      </c>
      <c r="B17" s="11" t="s">
        <v>121</v>
      </c>
      <c r="C17" s="68">
        <v>0.14361908456167599</v>
      </c>
      <c r="F17">
        <f t="shared" si="3"/>
        <v>50.783699059561215</v>
      </c>
    </row>
    <row r="18" spans="1:6" ht="15.6" x14ac:dyDescent="0.3">
      <c r="A18" s="57" t="s">
        <v>132</v>
      </c>
      <c r="B18" s="11" t="s">
        <v>121</v>
      </c>
      <c r="C18" s="68">
        <v>0.27556891647271797</v>
      </c>
      <c r="F18">
        <f t="shared" si="3"/>
        <v>100</v>
      </c>
    </row>
    <row r="19" spans="1:6" ht="15.6" x14ac:dyDescent="0.3">
      <c r="A19" s="57" t="s">
        <v>131</v>
      </c>
      <c r="B19" s="11" t="s">
        <v>121</v>
      </c>
      <c r="C19" s="68">
        <v>9.8655288337212294E-2</v>
      </c>
      <c r="F19">
        <f t="shared" si="3"/>
        <v>34.012539184952971</v>
      </c>
    </row>
    <row r="20" spans="1:6" ht="15.6" x14ac:dyDescent="0.3">
      <c r="A20" s="57" t="s">
        <v>12</v>
      </c>
      <c r="B20" s="11" t="s">
        <v>121</v>
      </c>
      <c r="C20" s="68">
        <v>7.4670287044220299E-3</v>
      </c>
      <c r="F20">
        <f t="shared" si="3"/>
        <v>1.1323180557322443E-14</v>
      </c>
    </row>
    <row r="21" spans="1:6" ht="15.6" x14ac:dyDescent="0.3">
      <c r="A21" s="57" t="s">
        <v>117</v>
      </c>
      <c r="B21" s="11" t="s">
        <v>121</v>
      </c>
      <c r="C21" s="68">
        <v>0.12141194724592699</v>
      </c>
      <c r="F21">
        <f t="shared" si="3"/>
        <v>42.500602845430393</v>
      </c>
    </row>
    <row r="22" spans="1:6" ht="15.6" x14ac:dyDescent="0.3">
      <c r="A22" s="57" t="s">
        <v>36</v>
      </c>
      <c r="B22" s="11" t="s">
        <v>121</v>
      </c>
      <c r="C22" s="68">
        <v>0.12948237220929201</v>
      </c>
      <c r="F22">
        <f t="shared" si="3"/>
        <v>45.510811028052288</v>
      </c>
    </row>
    <row r="23" spans="1:6" ht="15.6" x14ac:dyDescent="0.3">
      <c r="A23" s="57" t="s">
        <v>66</v>
      </c>
      <c r="B23" s="11" t="s">
        <v>121</v>
      </c>
      <c r="C23" s="68">
        <v>5.6783897939832802E-2</v>
      </c>
      <c r="F23">
        <f t="shared" si="3"/>
        <v>18.394823567237374</v>
      </c>
    </row>
    <row r="24" spans="1:6" ht="15.6" x14ac:dyDescent="0.3">
      <c r="A24" s="57" t="s">
        <v>41</v>
      </c>
      <c r="B24" s="11" t="s">
        <v>122</v>
      </c>
      <c r="C24" s="68">
        <v>1.2520472373071301E-2</v>
      </c>
      <c r="D24" s="69">
        <f>MIN(C24:C34)</f>
        <v>0</v>
      </c>
      <c r="E24" s="69">
        <f>MAX(C24:C34)</f>
        <v>0.45317214033273001</v>
      </c>
      <c r="F24">
        <f>((C24-0)/(0.45317214033273-0))*100</f>
        <v>2.7628513005849094</v>
      </c>
    </row>
    <row r="25" spans="1:6" ht="15.6" x14ac:dyDescent="0.3">
      <c r="A25" s="57" t="s">
        <v>13</v>
      </c>
      <c r="B25" s="11" t="s">
        <v>122</v>
      </c>
      <c r="C25" s="68">
        <v>2.2013188518231201E-2</v>
      </c>
      <c r="F25">
        <f t="shared" ref="F25:F34" si="4">((C25-0)/(0.45317214033273-0))*100</f>
        <v>4.8575776308906766</v>
      </c>
    </row>
    <row r="26" spans="1:6" ht="15.6" x14ac:dyDescent="0.3">
      <c r="A26" s="57" t="s">
        <v>14</v>
      </c>
      <c r="B26" s="11" t="s">
        <v>122</v>
      </c>
      <c r="C26" s="68">
        <v>3.2324799586242599E-5</v>
      </c>
      <c r="F26">
        <f t="shared" si="4"/>
        <v>7.1330068001331558E-3</v>
      </c>
    </row>
    <row r="27" spans="1:6" ht="15.6" x14ac:dyDescent="0.3">
      <c r="A27" s="57" t="s">
        <v>22</v>
      </c>
      <c r="B27" s="11" t="s">
        <v>122</v>
      </c>
      <c r="C27" s="68">
        <v>0.29383242823894501</v>
      </c>
      <c r="F27">
        <f t="shared" si="4"/>
        <v>64.83903181321034</v>
      </c>
    </row>
    <row r="28" spans="1:6" ht="15.6" x14ac:dyDescent="0.3">
      <c r="A28" s="57" t="s">
        <v>23</v>
      </c>
      <c r="B28" s="11" t="s">
        <v>122</v>
      </c>
      <c r="C28" s="68">
        <v>0.45317214033273001</v>
      </c>
      <c r="F28">
        <f t="shared" si="4"/>
        <v>100</v>
      </c>
    </row>
    <row r="29" spans="1:6" ht="15.6" x14ac:dyDescent="0.3">
      <c r="A29" s="57" t="s">
        <v>132</v>
      </c>
      <c r="B29" s="11" t="s">
        <v>122</v>
      </c>
      <c r="C29" s="68">
        <v>0</v>
      </c>
      <c r="F29">
        <f t="shared" si="4"/>
        <v>0</v>
      </c>
    </row>
    <row r="30" spans="1:6" ht="15.6" x14ac:dyDescent="0.3">
      <c r="A30" s="57" t="s">
        <v>131</v>
      </c>
      <c r="B30" s="11" t="s">
        <v>122</v>
      </c>
      <c r="C30" s="68">
        <v>0</v>
      </c>
      <c r="F30">
        <f t="shared" si="4"/>
        <v>0</v>
      </c>
    </row>
    <row r="31" spans="1:6" ht="15.6" x14ac:dyDescent="0.3">
      <c r="A31" s="57" t="s">
        <v>12</v>
      </c>
      <c r="B31" s="11" t="s">
        <v>122</v>
      </c>
      <c r="C31" s="68">
        <v>1.2542022239462099E-2</v>
      </c>
      <c r="F31">
        <f t="shared" si="4"/>
        <v>2.767606638451658</v>
      </c>
    </row>
    <row r="32" spans="1:6" ht="15.6" x14ac:dyDescent="0.3">
      <c r="A32" s="57" t="s">
        <v>117</v>
      </c>
      <c r="B32" s="11" t="s">
        <v>122</v>
      </c>
      <c r="C32" s="68">
        <v>0</v>
      </c>
      <c r="F32">
        <f t="shared" si="4"/>
        <v>0</v>
      </c>
    </row>
    <row r="33" spans="1:6" ht="15.6" x14ac:dyDescent="0.3">
      <c r="A33" s="57" t="s">
        <v>36</v>
      </c>
      <c r="B33" s="11" t="s">
        <v>122</v>
      </c>
      <c r="C33" s="68">
        <v>2.2304111714507402E-3</v>
      </c>
      <c r="F33">
        <f t="shared" si="4"/>
        <v>0.49217746920918787</v>
      </c>
    </row>
    <row r="34" spans="1:6" ht="15.6" x14ac:dyDescent="0.3">
      <c r="A34" s="57" t="s">
        <v>66</v>
      </c>
      <c r="B34" s="11" t="s">
        <v>122</v>
      </c>
      <c r="C34" s="68">
        <v>9.0509438841479203E-4</v>
      </c>
      <c r="F34">
        <f t="shared" si="4"/>
        <v>0.19972419040372819</v>
      </c>
    </row>
    <row r="35" spans="1:6" ht="15.6" x14ac:dyDescent="0.3">
      <c r="A35" s="57" t="s">
        <v>41</v>
      </c>
      <c r="B35" s="11" t="s">
        <v>123</v>
      </c>
      <c r="C35" s="68">
        <v>3.92207568313076E-3</v>
      </c>
      <c r="D35" s="69">
        <f>MIN(C35:C45)</f>
        <v>0</v>
      </c>
      <c r="E35" s="69">
        <f>MAX(C35:C45)</f>
        <v>0.37921299887940702</v>
      </c>
      <c r="F35">
        <f>((C35-0)/(0.379212998879407-0))*100</f>
        <v>1.0342672046371526</v>
      </c>
    </row>
    <row r="36" spans="1:6" ht="15.6" x14ac:dyDescent="0.3">
      <c r="A36" s="57" t="s">
        <v>13</v>
      </c>
      <c r="B36" s="11" t="s">
        <v>123</v>
      </c>
      <c r="C36" s="68">
        <v>2.2013188518231201E-2</v>
      </c>
      <c r="F36">
        <f t="shared" ref="F36:F45" si="5">((C36-0)/(0.379212998879407-0))*100</f>
        <v>5.8049667556969959</v>
      </c>
    </row>
    <row r="37" spans="1:6" ht="15.6" x14ac:dyDescent="0.3">
      <c r="A37" s="57" t="s">
        <v>14</v>
      </c>
      <c r="B37" s="11" t="s">
        <v>123</v>
      </c>
      <c r="C37" s="68">
        <v>1.07749331954142E-5</v>
      </c>
      <c r="F37">
        <f t="shared" si="5"/>
        <v>2.8413934193328434E-3</v>
      </c>
    </row>
    <row r="38" spans="1:6" ht="15.6" x14ac:dyDescent="0.3">
      <c r="A38" s="57" t="s">
        <v>22</v>
      </c>
      <c r="B38" s="11" t="s">
        <v>123</v>
      </c>
      <c r="C38" s="68">
        <v>0.25591543832428199</v>
      </c>
      <c r="F38">
        <f t="shared" si="5"/>
        <v>67.485935102574174</v>
      </c>
    </row>
    <row r="39" spans="1:6" ht="15.6" x14ac:dyDescent="0.3">
      <c r="A39" s="57" t="s">
        <v>23</v>
      </c>
      <c r="B39" s="11" t="s">
        <v>123</v>
      </c>
      <c r="C39" s="68">
        <v>0.37921299887940702</v>
      </c>
      <c r="F39">
        <f t="shared" si="5"/>
        <v>100</v>
      </c>
    </row>
    <row r="40" spans="1:6" ht="15.6" x14ac:dyDescent="0.3">
      <c r="A40" s="57" t="s">
        <v>132</v>
      </c>
      <c r="B40" s="11" t="s">
        <v>123</v>
      </c>
      <c r="C40" s="68">
        <v>0</v>
      </c>
      <c r="F40">
        <f t="shared" si="5"/>
        <v>0</v>
      </c>
    </row>
    <row r="41" spans="1:6" ht="15.6" x14ac:dyDescent="0.3">
      <c r="A41" s="57" t="s">
        <v>131</v>
      </c>
      <c r="B41" s="11" t="s">
        <v>123</v>
      </c>
      <c r="C41" s="68">
        <v>0</v>
      </c>
      <c r="F41">
        <f t="shared" si="5"/>
        <v>0</v>
      </c>
    </row>
    <row r="42" spans="1:6" ht="15.6" x14ac:dyDescent="0.3">
      <c r="A42" s="57" t="s">
        <v>12</v>
      </c>
      <c r="B42" s="11" t="s">
        <v>123</v>
      </c>
      <c r="C42" s="68">
        <v>6.9606068442375699E-3</v>
      </c>
      <c r="F42">
        <f t="shared" si="5"/>
        <v>1.8355401488890157</v>
      </c>
    </row>
    <row r="43" spans="1:6" ht="15.6" x14ac:dyDescent="0.3">
      <c r="A43" s="57" t="s">
        <v>117</v>
      </c>
      <c r="B43" s="11" t="s">
        <v>123</v>
      </c>
      <c r="C43" s="68">
        <v>0</v>
      </c>
      <c r="F43">
        <f t="shared" si="5"/>
        <v>0</v>
      </c>
    </row>
    <row r="44" spans="1:6" ht="15.6" x14ac:dyDescent="0.3">
      <c r="A44" s="57" t="s">
        <v>36</v>
      </c>
      <c r="B44" s="11" t="s">
        <v>123</v>
      </c>
      <c r="C44" s="68">
        <v>1.4007413154038399E-4</v>
      </c>
      <c r="F44">
        <f t="shared" si="5"/>
        <v>3.6938114451326803E-2</v>
      </c>
    </row>
    <row r="45" spans="1:6" ht="15.6" x14ac:dyDescent="0.3">
      <c r="A45" s="57" t="s">
        <v>66</v>
      </c>
      <c r="B45" s="11" t="s">
        <v>123</v>
      </c>
      <c r="C45" s="68">
        <v>3.2324799586242599E-5</v>
      </c>
      <c r="F45">
        <f t="shared" si="5"/>
        <v>8.5241802579985298E-3</v>
      </c>
    </row>
  </sheetData>
  <sortState xmlns:xlrd2="http://schemas.microsoft.com/office/spreadsheetml/2017/richdata2" ref="K2:L12">
    <sortCondition descending="1" ref="L2:L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6A85-C4CC-472D-8F11-A68C6223A0F2}">
  <dimension ref="A1:L45"/>
  <sheetViews>
    <sheetView topLeftCell="A3" workbookViewId="0">
      <selection activeCell="N18" sqref="N18"/>
    </sheetView>
  </sheetViews>
  <sheetFormatPr defaultRowHeight="14.4" x14ac:dyDescent="0.3"/>
  <cols>
    <col min="1" max="1" width="14.21875" bestFit="1" customWidth="1"/>
    <col min="2" max="2" width="11" bestFit="1" customWidth="1"/>
    <col min="3" max="3" width="39" style="69" bestFit="1" customWidth="1"/>
    <col min="6" max="6" width="25.21875" style="69" bestFit="1" customWidth="1"/>
    <col min="7" max="7" width="9.6640625" bestFit="1" customWidth="1"/>
    <col min="8" max="8" width="25.21875" bestFit="1" customWidth="1"/>
    <col min="9" max="9" width="12" bestFit="1" customWidth="1"/>
    <col min="10" max="10" width="12.6640625" bestFit="1" customWidth="1"/>
    <col min="11" max="11" width="18.44140625" bestFit="1" customWidth="1"/>
    <col min="12" max="12" width="4.5546875" bestFit="1" customWidth="1"/>
  </cols>
  <sheetData>
    <row r="1" spans="1:12" ht="15.6" x14ac:dyDescent="0.3">
      <c r="A1" s="49" t="s">
        <v>2</v>
      </c>
      <c r="B1" s="49" t="s">
        <v>89</v>
      </c>
      <c r="C1" s="67" t="s">
        <v>133</v>
      </c>
      <c r="F1" s="49" t="s">
        <v>2</v>
      </c>
      <c r="G1" t="s">
        <v>89</v>
      </c>
      <c r="H1" s="69" t="s">
        <v>137</v>
      </c>
      <c r="I1" t="s">
        <v>124</v>
      </c>
      <c r="J1" t="s">
        <v>124</v>
      </c>
      <c r="K1" t="s">
        <v>152</v>
      </c>
    </row>
    <row r="2" spans="1:12" ht="15.6" x14ac:dyDescent="0.3">
      <c r="A2" s="57" t="s">
        <v>41</v>
      </c>
      <c r="B2" s="11" t="s">
        <v>120</v>
      </c>
      <c r="C2" s="68">
        <v>5.96500301698129E-2</v>
      </c>
      <c r="F2" s="57" t="s">
        <v>41</v>
      </c>
      <c r="G2" t="s">
        <v>135</v>
      </c>
      <c r="H2" s="69">
        <f>SUM(C2,C13)/2</f>
        <v>5.3610680113783254E-2</v>
      </c>
      <c r="I2">
        <f>SUM(H2,H13)/2</f>
        <v>3.0915977070942142E-2</v>
      </c>
      <c r="J2">
        <f>((I2-0.00794381949831911)/(0.254611671407637-0.00794381949831911))*100</f>
        <v>9.3129921044872308</v>
      </c>
      <c r="K2" s="69">
        <f>H2-H13</f>
        <v>4.5389406085682225E-2</v>
      </c>
    </row>
    <row r="3" spans="1:12" ht="15.6" x14ac:dyDescent="0.3">
      <c r="A3" s="57" t="s">
        <v>13</v>
      </c>
      <c r="B3" s="11" t="s">
        <v>120</v>
      </c>
      <c r="C3" s="68">
        <v>2.2013188518231201E-2</v>
      </c>
      <c r="F3" s="57" t="s">
        <v>13</v>
      </c>
      <c r="G3" t="s">
        <v>135</v>
      </c>
      <c r="H3" s="69">
        <f t="shared" ref="H3:H12" si="0">SUM(C3,C14)/2</f>
        <v>2.2013188518231201E-2</v>
      </c>
      <c r="I3">
        <f t="shared" ref="I3:I11" si="1">SUM(H3,H14)/2</f>
        <v>2.2013188518231201E-2</v>
      </c>
      <c r="J3">
        <f t="shared" ref="J3:J12" si="2">((I3-0.00794381949831911)/(0.254611671407637-0.00794381949831911))*100</f>
        <v>5.7037708444813431</v>
      </c>
      <c r="K3" s="69">
        <f>H3-H14</f>
        <v>0</v>
      </c>
    </row>
    <row r="4" spans="1:12" ht="15.6" x14ac:dyDescent="0.3">
      <c r="A4" s="57" t="s">
        <v>14</v>
      </c>
      <c r="B4" s="11" t="s">
        <v>120</v>
      </c>
      <c r="C4" s="68">
        <v>5.7451943797948497E-2</v>
      </c>
      <c r="F4" s="57" t="s">
        <v>14</v>
      </c>
      <c r="G4" t="s">
        <v>135</v>
      </c>
      <c r="H4" s="69">
        <f t="shared" si="0"/>
        <v>5.9865528833721246E-2</v>
      </c>
      <c r="I4">
        <f t="shared" si="1"/>
        <v>2.9943539350056038E-2</v>
      </c>
      <c r="J4">
        <f t="shared" si="2"/>
        <v>8.9187624903080795</v>
      </c>
      <c r="K4" s="69">
        <f>H4-H15</f>
        <v>5.9843978967330416E-2</v>
      </c>
    </row>
    <row r="5" spans="1:12" ht="15.6" x14ac:dyDescent="0.3">
      <c r="A5" s="57" t="s">
        <v>22</v>
      </c>
      <c r="B5" s="11" t="s">
        <v>120</v>
      </c>
      <c r="C5" s="68">
        <v>1.20679251788639E-3</v>
      </c>
      <c r="F5" s="57" t="s">
        <v>22</v>
      </c>
      <c r="G5" t="s">
        <v>135</v>
      </c>
      <c r="H5" s="69">
        <f t="shared" si="0"/>
        <v>4.2264675459012142E-2</v>
      </c>
      <c r="I5">
        <f t="shared" si="1"/>
        <v>0.1585693043703128</v>
      </c>
      <c r="J5">
        <f t="shared" si="2"/>
        <v>61.064092343645939</v>
      </c>
      <c r="K5" s="69">
        <f>H5-H16</f>
        <v>-0.23260925782260133</v>
      </c>
    </row>
    <row r="6" spans="1:12" ht="15.6" x14ac:dyDescent="0.3">
      <c r="A6" s="57" t="s">
        <v>23</v>
      </c>
      <c r="B6" s="11" t="s">
        <v>120</v>
      </c>
      <c r="C6" s="68">
        <v>4.2442461856736502E-2</v>
      </c>
      <c r="F6" s="57" t="s">
        <v>23</v>
      </c>
      <c r="G6" t="s">
        <v>135</v>
      </c>
      <c r="H6" s="69">
        <f>SUM(C6,C17)/2</f>
        <v>9.3030773209206247E-2</v>
      </c>
      <c r="I6">
        <f t="shared" si="1"/>
        <v>0.25461167140763741</v>
      </c>
      <c r="J6">
        <f t="shared" si="2"/>
        <v>100.00000000000016</v>
      </c>
      <c r="K6" s="69">
        <f>H6-H17</f>
        <v>-0.32316179639686227</v>
      </c>
    </row>
    <row r="7" spans="1:12" ht="15.6" x14ac:dyDescent="0.3">
      <c r="A7" s="57" t="s">
        <v>132</v>
      </c>
      <c r="B7" s="11" t="s">
        <v>120</v>
      </c>
      <c r="C7" s="68">
        <v>0.156624428928541</v>
      </c>
      <c r="F7" s="57" t="s">
        <v>132</v>
      </c>
      <c r="G7" t="s">
        <v>135</v>
      </c>
      <c r="H7" s="69">
        <f>SUM(C7,C18)/2</f>
        <v>0.21609667270062949</v>
      </c>
      <c r="I7">
        <f t="shared" si="1"/>
        <v>0.10804833635031474</v>
      </c>
      <c r="J7">
        <f t="shared" si="2"/>
        <v>40.582717235806179</v>
      </c>
      <c r="K7" s="69">
        <f t="shared" ref="K7" si="3">H7-H18</f>
        <v>0.21609667270062949</v>
      </c>
    </row>
    <row r="8" spans="1:12" ht="15.6" x14ac:dyDescent="0.3">
      <c r="A8" s="57" t="s">
        <v>131</v>
      </c>
      <c r="B8" s="11" t="s">
        <v>120</v>
      </c>
      <c r="C8" s="68">
        <v>7.3485044392724796E-2</v>
      </c>
      <c r="F8" s="57" t="s">
        <v>131</v>
      </c>
      <c r="G8" t="s">
        <v>135</v>
      </c>
      <c r="H8" s="69">
        <f>SUM(C8,C19)/2</f>
        <v>8.6070166364968545E-2</v>
      </c>
      <c r="I8">
        <f t="shared" si="1"/>
        <v>4.3035083182484273E-2</v>
      </c>
      <c r="J8">
        <f t="shared" si="2"/>
        <v>14.226119623024774</v>
      </c>
      <c r="K8" s="69">
        <f>H8-H19</f>
        <v>8.6070166364968545E-2</v>
      </c>
    </row>
    <row r="9" spans="1:12" ht="15.6" x14ac:dyDescent="0.3">
      <c r="A9" s="57" t="s">
        <v>12</v>
      </c>
      <c r="B9" s="11" t="s">
        <v>120</v>
      </c>
      <c r="C9" s="68">
        <v>4.80562020515473E-3</v>
      </c>
      <c r="F9" s="57" t="s">
        <v>12</v>
      </c>
      <c r="G9" t="s">
        <v>135</v>
      </c>
      <c r="H9" s="69">
        <f>SUM(C9,C20)/2</f>
        <v>6.13632445478838E-3</v>
      </c>
      <c r="I9">
        <f t="shared" si="1"/>
        <v>7.9438194983191077E-3</v>
      </c>
      <c r="J9">
        <f>((I9-0.00794381949831911)/(0.254611671407637-0.00794381949831911))*100</f>
        <v>-7.0326289483987581E-16</v>
      </c>
      <c r="K9" s="69">
        <f>H9-H20</f>
        <v>-3.6149900870614546E-3</v>
      </c>
    </row>
    <row r="10" spans="1:12" ht="15.6" x14ac:dyDescent="0.3">
      <c r="A10" s="57" t="s">
        <v>117</v>
      </c>
      <c r="B10" s="11" t="s">
        <v>120</v>
      </c>
      <c r="C10" s="68">
        <v>0.106499439703474</v>
      </c>
      <c r="F10" s="57" t="s">
        <v>117</v>
      </c>
      <c r="G10" t="s">
        <v>135</v>
      </c>
      <c r="H10" s="69">
        <f t="shared" si="0"/>
        <v>0.1139556934747005</v>
      </c>
      <c r="I10">
        <f t="shared" si="1"/>
        <v>5.6977846737350249E-2</v>
      </c>
      <c r="J10">
        <f t="shared" si="2"/>
        <v>19.87856417424733</v>
      </c>
      <c r="K10" s="69">
        <f>H10-H21</f>
        <v>0.1139556934747005</v>
      </c>
    </row>
    <row r="11" spans="1:12" ht="15.6" x14ac:dyDescent="0.3">
      <c r="A11" s="57" t="s">
        <v>36</v>
      </c>
      <c r="B11" s="11" t="s">
        <v>120</v>
      </c>
      <c r="C11" s="68">
        <v>9.1069735367640695E-2</v>
      </c>
      <c r="F11" s="57" t="s">
        <v>36</v>
      </c>
      <c r="G11" t="s">
        <v>135</v>
      </c>
      <c r="H11" s="69">
        <f t="shared" si="0"/>
        <v>0.11027605378846636</v>
      </c>
      <c r="I11">
        <f t="shared" si="1"/>
        <v>5.5730648219980965E-2</v>
      </c>
      <c r="J11">
        <f t="shared" si="2"/>
        <v>19.372945583208651</v>
      </c>
      <c r="K11" s="69">
        <f>H11-H22</f>
        <v>0.10909081113697079</v>
      </c>
    </row>
    <row r="12" spans="1:12" ht="15.6" x14ac:dyDescent="0.3">
      <c r="A12" s="57" t="s">
        <v>66</v>
      </c>
      <c r="B12" s="11" t="s">
        <v>120</v>
      </c>
      <c r="C12" s="68">
        <v>6.4821998103611805E-2</v>
      </c>
      <c r="F12" s="57" t="s">
        <v>66</v>
      </c>
      <c r="G12" t="s">
        <v>135</v>
      </c>
      <c r="H12" s="69">
        <f t="shared" si="0"/>
        <v>6.08029480217223E-2</v>
      </c>
      <c r="I12">
        <f>SUM(H12,H23)/2</f>
        <v>3.063582880786141E-2</v>
      </c>
      <c r="J12">
        <f t="shared" si="2"/>
        <v>9.1994190300422787</v>
      </c>
      <c r="K12" s="69">
        <f>H12-H23</f>
        <v>6.033423842772178E-2</v>
      </c>
    </row>
    <row r="13" spans="1:12" ht="15.6" x14ac:dyDescent="0.3">
      <c r="A13" s="57" t="s">
        <v>41</v>
      </c>
      <c r="B13" s="11" t="s">
        <v>121</v>
      </c>
      <c r="C13" s="68">
        <v>4.7571330057753602E-2</v>
      </c>
      <c r="F13" s="57" t="s">
        <v>41</v>
      </c>
      <c r="G13" t="s">
        <v>134</v>
      </c>
      <c r="H13" s="69">
        <f t="shared" ref="H13:H23" si="4">SUM(C24,C35)/2</f>
        <v>8.2212740281010308E-3</v>
      </c>
    </row>
    <row r="14" spans="1:12" ht="15.6" x14ac:dyDescent="0.3">
      <c r="A14" s="57" t="s">
        <v>13</v>
      </c>
      <c r="B14" s="11" t="s">
        <v>121</v>
      </c>
      <c r="C14" s="68">
        <v>2.2013188518231201E-2</v>
      </c>
      <c r="F14" s="57" t="s">
        <v>13</v>
      </c>
      <c r="G14" t="s">
        <v>134</v>
      </c>
      <c r="H14" s="69">
        <f t="shared" si="4"/>
        <v>2.2013188518231201E-2</v>
      </c>
    </row>
    <row r="15" spans="1:12" ht="15.6" x14ac:dyDescent="0.3">
      <c r="A15" s="57" t="s">
        <v>14</v>
      </c>
      <c r="B15" s="11" t="s">
        <v>121</v>
      </c>
      <c r="C15" s="68">
        <v>6.2279113869494002E-2</v>
      </c>
      <c r="F15" s="57" t="s">
        <v>14</v>
      </c>
      <c r="G15" t="s">
        <v>134</v>
      </c>
      <c r="H15" s="69">
        <f t="shared" si="4"/>
        <v>2.15498663908284E-5</v>
      </c>
      <c r="K15" s="57" t="s">
        <v>13</v>
      </c>
      <c r="L15" s="53">
        <v>0</v>
      </c>
    </row>
    <row r="16" spans="1:12" ht="15.6" x14ac:dyDescent="0.3">
      <c r="A16" s="57" t="s">
        <v>22</v>
      </c>
      <c r="B16" s="11" t="s">
        <v>121</v>
      </c>
      <c r="C16" s="68">
        <v>8.33225584001379E-2</v>
      </c>
      <c r="F16" s="57" t="s">
        <v>22</v>
      </c>
      <c r="G16" t="s">
        <v>134</v>
      </c>
      <c r="H16" s="69">
        <f t="shared" si="4"/>
        <v>0.27487393328161347</v>
      </c>
      <c r="K16" s="57" t="s">
        <v>12</v>
      </c>
      <c r="L16" s="53">
        <v>3.6149900870614498E-3</v>
      </c>
    </row>
    <row r="17" spans="1:12" ht="15.6" x14ac:dyDescent="0.3">
      <c r="A17" s="57" t="s">
        <v>23</v>
      </c>
      <c r="B17" s="11" t="s">
        <v>121</v>
      </c>
      <c r="C17" s="68">
        <v>0.14361908456167599</v>
      </c>
      <c r="F17" s="57" t="s">
        <v>23</v>
      </c>
      <c r="G17" t="s">
        <v>134</v>
      </c>
      <c r="H17" s="69">
        <f t="shared" si="4"/>
        <v>0.41619256960606854</v>
      </c>
      <c r="K17" s="57" t="s">
        <v>41</v>
      </c>
      <c r="L17" s="53">
        <v>4.5389406085682225E-2</v>
      </c>
    </row>
    <row r="18" spans="1:12" ht="15.6" x14ac:dyDescent="0.3">
      <c r="A18" s="57" t="s">
        <v>132</v>
      </c>
      <c r="B18" s="11" t="s">
        <v>121</v>
      </c>
      <c r="C18" s="68">
        <v>0.27556891647271797</v>
      </c>
      <c r="F18" s="57" t="s">
        <v>132</v>
      </c>
      <c r="G18" t="s">
        <v>134</v>
      </c>
      <c r="H18" s="69">
        <f>SUM(C29,C40)/2</f>
        <v>0</v>
      </c>
      <c r="K18" s="57" t="s">
        <v>14</v>
      </c>
      <c r="L18" s="53">
        <v>5.9843978967330416E-2</v>
      </c>
    </row>
    <row r="19" spans="1:12" ht="15.6" x14ac:dyDescent="0.3">
      <c r="A19" s="57" t="s">
        <v>131</v>
      </c>
      <c r="B19" s="11" t="s">
        <v>121</v>
      </c>
      <c r="C19" s="68">
        <v>9.8655288337212294E-2</v>
      </c>
      <c r="F19" s="57" t="s">
        <v>131</v>
      </c>
      <c r="G19" t="s">
        <v>134</v>
      </c>
      <c r="H19" s="69">
        <f>SUM(C30,C41)/2</f>
        <v>0</v>
      </c>
      <c r="K19" s="57" t="s">
        <v>66</v>
      </c>
      <c r="L19" s="53">
        <v>6.033423842772178E-2</v>
      </c>
    </row>
    <row r="20" spans="1:12" ht="15.6" x14ac:dyDescent="0.3">
      <c r="A20" s="57" t="s">
        <v>12</v>
      </c>
      <c r="B20" s="11" t="s">
        <v>121</v>
      </c>
      <c r="C20" s="68">
        <v>7.4670287044220299E-3</v>
      </c>
      <c r="F20" s="57" t="s">
        <v>12</v>
      </c>
      <c r="G20" t="s">
        <v>134</v>
      </c>
      <c r="H20" s="69">
        <f t="shared" si="4"/>
        <v>9.7513145418498346E-3</v>
      </c>
      <c r="K20" s="57" t="s">
        <v>131</v>
      </c>
      <c r="L20" s="53">
        <v>8.6070166364968545E-2</v>
      </c>
    </row>
    <row r="21" spans="1:12" ht="15.6" x14ac:dyDescent="0.3">
      <c r="A21" s="57" t="s">
        <v>117</v>
      </c>
      <c r="B21" s="11" t="s">
        <v>121</v>
      </c>
      <c r="C21" s="68">
        <v>0.12141194724592699</v>
      </c>
      <c r="F21" s="57" t="s">
        <v>117</v>
      </c>
      <c r="G21" t="s">
        <v>134</v>
      </c>
      <c r="H21" s="69">
        <f t="shared" si="4"/>
        <v>0</v>
      </c>
      <c r="K21" s="57" t="s">
        <v>36</v>
      </c>
      <c r="L21" s="53">
        <v>0.10909081113697079</v>
      </c>
    </row>
    <row r="22" spans="1:12" ht="15.6" x14ac:dyDescent="0.3">
      <c r="A22" s="57" t="s">
        <v>36</v>
      </c>
      <c r="B22" s="11" t="s">
        <v>121</v>
      </c>
      <c r="C22" s="68">
        <v>0.12948237220929201</v>
      </c>
      <c r="F22" s="57" t="s">
        <v>36</v>
      </c>
      <c r="G22" t="s">
        <v>134</v>
      </c>
      <c r="H22" s="69">
        <f t="shared" si="4"/>
        <v>1.1852426514955621E-3</v>
      </c>
      <c r="K22" s="57" t="s">
        <v>117</v>
      </c>
      <c r="L22" s="53">
        <v>0.1139556934747005</v>
      </c>
    </row>
    <row r="23" spans="1:12" ht="15.6" x14ac:dyDescent="0.3">
      <c r="A23" s="57" t="s">
        <v>66</v>
      </c>
      <c r="B23" s="11" t="s">
        <v>121</v>
      </c>
      <c r="C23" s="68">
        <v>5.6783897939832802E-2</v>
      </c>
      <c r="F23" s="57" t="s">
        <v>66</v>
      </c>
      <c r="G23" t="s">
        <v>134</v>
      </c>
      <c r="H23" s="69">
        <f t="shared" si="4"/>
        <v>4.6870959400051733E-4</v>
      </c>
      <c r="K23" s="57" t="s">
        <v>132</v>
      </c>
      <c r="L23" s="53">
        <v>0.21609667270062949</v>
      </c>
    </row>
    <row r="24" spans="1:12" ht="15.6" x14ac:dyDescent="0.3">
      <c r="A24" s="57" t="s">
        <v>41</v>
      </c>
      <c r="B24" s="11" t="s">
        <v>122</v>
      </c>
      <c r="C24" s="68">
        <v>1.2520472373071301E-2</v>
      </c>
      <c r="K24" s="57" t="s">
        <v>22</v>
      </c>
      <c r="L24" s="53">
        <v>0.232609257822601</v>
      </c>
    </row>
    <row r="25" spans="1:12" ht="15.6" x14ac:dyDescent="0.3">
      <c r="A25" s="57" t="s">
        <v>13</v>
      </c>
      <c r="B25" s="11" t="s">
        <v>122</v>
      </c>
      <c r="C25" s="68">
        <v>2.2013188518231201E-2</v>
      </c>
      <c r="H25" t="s">
        <v>101</v>
      </c>
      <c r="I25">
        <f>MIN(I2:I12)</f>
        <v>7.9438194983191077E-3</v>
      </c>
      <c r="J25">
        <v>7.9438194983191095E-3</v>
      </c>
      <c r="K25" s="57" t="s">
        <v>23</v>
      </c>
      <c r="L25" s="53">
        <v>0.32316179639686199</v>
      </c>
    </row>
    <row r="26" spans="1:12" ht="15.6" x14ac:dyDescent="0.3">
      <c r="A26" s="57" t="s">
        <v>14</v>
      </c>
      <c r="B26" s="11" t="s">
        <v>122</v>
      </c>
      <c r="C26" s="68">
        <v>3.2324799586242599E-5</v>
      </c>
      <c r="H26" t="s">
        <v>102</v>
      </c>
      <c r="I26">
        <f>MAX(I3:I13)</f>
        <v>0.25461167140763741</v>
      </c>
      <c r="J26">
        <v>0.25461167140763702</v>
      </c>
    </row>
    <row r="27" spans="1:12" ht="15.6" x14ac:dyDescent="0.3">
      <c r="A27" s="57" t="s">
        <v>22</v>
      </c>
      <c r="B27" s="11" t="s">
        <v>122</v>
      </c>
      <c r="C27" s="68">
        <v>0.29383242823894501</v>
      </c>
    </row>
    <row r="28" spans="1:12" ht="15.6" x14ac:dyDescent="0.3">
      <c r="A28" s="57" t="s">
        <v>23</v>
      </c>
      <c r="B28" s="11" t="s">
        <v>122</v>
      </c>
      <c r="C28" s="68">
        <v>0.45317214033273001</v>
      </c>
    </row>
    <row r="29" spans="1:12" ht="15.6" x14ac:dyDescent="0.3">
      <c r="A29" s="57" t="s">
        <v>132</v>
      </c>
      <c r="B29" s="11" t="s">
        <v>122</v>
      </c>
      <c r="C29" s="68">
        <v>0</v>
      </c>
    </row>
    <row r="30" spans="1:12" ht="15.6" x14ac:dyDescent="0.3">
      <c r="A30" s="57" t="s">
        <v>131</v>
      </c>
      <c r="B30" s="11" t="s">
        <v>122</v>
      </c>
      <c r="C30" s="68">
        <v>0</v>
      </c>
    </row>
    <row r="31" spans="1:12" ht="15.6" x14ac:dyDescent="0.3">
      <c r="A31" s="57" t="s">
        <v>12</v>
      </c>
      <c r="B31" s="11" t="s">
        <v>122</v>
      </c>
      <c r="C31" s="68">
        <v>1.2542022239462099E-2</v>
      </c>
    </row>
    <row r="32" spans="1:12" ht="15.6" x14ac:dyDescent="0.3">
      <c r="A32" s="57" t="s">
        <v>117</v>
      </c>
      <c r="B32" s="11" t="s">
        <v>122</v>
      </c>
      <c r="C32" s="68">
        <v>0</v>
      </c>
    </row>
    <row r="33" spans="1:10" ht="15.6" x14ac:dyDescent="0.3">
      <c r="A33" s="57" t="s">
        <v>36</v>
      </c>
      <c r="B33" s="11" t="s">
        <v>122</v>
      </c>
      <c r="C33" s="68">
        <v>2.2304111714507402E-3</v>
      </c>
    </row>
    <row r="34" spans="1:10" ht="15.6" x14ac:dyDescent="0.3">
      <c r="A34" s="57" t="s">
        <v>66</v>
      </c>
      <c r="B34" s="11" t="s">
        <v>122</v>
      </c>
      <c r="C34" s="68">
        <v>9.0509438841479203E-4</v>
      </c>
      <c r="H34" s="71">
        <v>4.1927100000000004E-6</v>
      </c>
      <c r="I34" s="71">
        <v>3.42102E-5</v>
      </c>
      <c r="J34" s="71">
        <f>SUM(H34,I34)/2</f>
        <v>1.9201454999999999E-5</v>
      </c>
    </row>
    <row r="35" spans="1:10" ht="15.6" x14ac:dyDescent="0.3">
      <c r="A35" s="57" t="s">
        <v>41</v>
      </c>
      <c r="B35" s="11" t="s">
        <v>123</v>
      </c>
      <c r="C35" s="68">
        <v>3.92207568313076E-3</v>
      </c>
      <c r="H35" s="71">
        <v>2.8850800000000002E-5</v>
      </c>
      <c r="I35" s="71">
        <v>2.8850800000000002E-5</v>
      </c>
      <c r="J35" s="71">
        <f t="shared" ref="J35:J44" si="5">SUM(H35,I35)/2</f>
        <v>2.8850800000000002E-5</v>
      </c>
    </row>
    <row r="36" spans="1:10" ht="15.6" x14ac:dyDescent="0.3">
      <c r="A36" s="57" t="s">
        <v>13</v>
      </c>
      <c r="B36" s="11" t="s">
        <v>123</v>
      </c>
      <c r="C36" s="68">
        <v>2.2013188518231201E-2</v>
      </c>
      <c r="H36" s="71">
        <v>2.8398299999999999E-6</v>
      </c>
      <c r="I36" s="71">
        <v>2.7510500000000001E-6</v>
      </c>
      <c r="J36" s="71">
        <f t="shared" si="5"/>
        <v>2.7954399999999998E-6</v>
      </c>
    </row>
    <row r="37" spans="1:10" ht="15.6" x14ac:dyDescent="0.3">
      <c r="A37" s="57" t="s">
        <v>14</v>
      </c>
      <c r="B37" s="11" t="s">
        <v>123</v>
      </c>
      <c r="C37" s="68">
        <v>1.07749331954142E-5</v>
      </c>
      <c r="H37" s="71">
        <v>9.4195599999999997E-8</v>
      </c>
      <c r="I37" s="71">
        <v>7.7287799999999997E-7</v>
      </c>
      <c r="J37" s="71">
        <f t="shared" si="5"/>
        <v>4.3353679999999999E-7</v>
      </c>
    </row>
    <row r="38" spans="1:10" ht="15.6" x14ac:dyDescent="0.3">
      <c r="A38" s="57" t="s">
        <v>22</v>
      </c>
      <c r="B38" s="11" t="s">
        <v>123</v>
      </c>
      <c r="C38" s="68">
        <v>0.25591543832428199</v>
      </c>
      <c r="H38" s="71">
        <v>4.3109100000000004E-6</v>
      </c>
      <c r="I38" s="71">
        <v>1.2618200000000001E-5</v>
      </c>
      <c r="J38" s="71">
        <f t="shared" si="5"/>
        <v>8.4645550000000005E-6</v>
      </c>
    </row>
    <row r="39" spans="1:10" ht="15.6" x14ac:dyDescent="0.3">
      <c r="A39" s="57" t="s">
        <v>23</v>
      </c>
      <c r="B39" s="11" t="s">
        <v>123</v>
      </c>
      <c r="C39" s="68">
        <v>0.37921299887940702</v>
      </c>
      <c r="H39" s="71">
        <v>5.6815099999999996E-6</v>
      </c>
      <c r="I39">
        <v>0</v>
      </c>
      <c r="J39" s="71">
        <f>H39</f>
        <v>5.6815099999999996E-6</v>
      </c>
    </row>
    <row r="40" spans="1:10" ht="15.6" x14ac:dyDescent="0.3">
      <c r="A40" s="57" t="s">
        <v>132</v>
      </c>
      <c r="B40" s="11" t="s">
        <v>123</v>
      </c>
      <c r="C40" s="68">
        <v>0</v>
      </c>
      <c r="H40" s="71">
        <v>3.49124E-6</v>
      </c>
      <c r="I40">
        <v>0</v>
      </c>
      <c r="J40" s="71">
        <f>H40</f>
        <v>3.49124E-6</v>
      </c>
    </row>
    <row r="41" spans="1:10" ht="15.6" x14ac:dyDescent="0.3">
      <c r="A41" s="57" t="s">
        <v>131</v>
      </c>
      <c r="B41" s="11" t="s">
        <v>123</v>
      </c>
      <c r="C41" s="68">
        <v>0</v>
      </c>
      <c r="H41" s="71">
        <v>1.48163E-7</v>
      </c>
      <c r="I41" s="71">
        <v>3.1314300000000002E-6</v>
      </c>
      <c r="J41" s="71">
        <f t="shared" si="5"/>
        <v>1.6397965000000002E-6</v>
      </c>
    </row>
    <row r="42" spans="1:10" ht="15.6" x14ac:dyDescent="0.3">
      <c r="A42" s="57" t="s">
        <v>12</v>
      </c>
      <c r="B42" s="11" t="s">
        <v>123</v>
      </c>
      <c r="C42" s="68">
        <v>6.9606068442375699E-3</v>
      </c>
      <c r="H42" s="71">
        <v>3.5311299999999999E-6</v>
      </c>
      <c r="I42">
        <v>0</v>
      </c>
      <c r="J42" s="71">
        <f t="shared" si="5"/>
        <v>1.765565E-6</v>
      </c>
    </row>
    <row r="43" spans="1:10" ht="15.6" x14ac:dyDescent="0.3">
      <c r="A43" s="57" t="s">
        <v>117</v>
      </c>
      <c r="B43" s="11" t="s">
        <v>123</v>
      </c>
      <c r="C43" s="68">
        <v>0</v>
      </c>
      <c r="H43" s="71">
        <v>3.1503900000000001E-6</v>
      </c>
      <c r="I43" s="71">
        <v>1.3976599999999999E-5</v>
      </c>
      <c r="J43" s="71">
        <f t="shared" si="5"/>
        <v>8.5634949999999999E-6</v>
      </c>
    </row>
    <row r="44" spans="1:10" ht="15.6" x14ac:dyDescent="0.3">
      <c r="A44" s="57" t="s">
        <v>36</v>
      </c>
      <c r="B44" s="11" t="s">
        <v>123</v>
      </c>
      <c r="C44" s="68">
        <v>1.4007413154038399E-4</v>
      </c>
      <c r="H44" s="71">
        <v>1.05991E-5</v>
      </c>
      <c r="I44" s="71">
        <v>2.75206E-6</v>
      </c>
      <c r="J44" s="71">
        <f t="shared" si="5"/>
        <v>6.6755799999999995E-6</v>
      </c>
    </row>
    <row r="45" spans="1:10" ht="15.6" x14ac:dyDescent="0.3">
      <c r="A45" s="57" t="s">
        <v>66</v>
      </c>
      <c r="B45" s="11" t="s">
        <v>123</v>
      </c>
      <c r="C45" s="68">
        <v>3.2324799586242599E-5</v>
      </c>
    </row>
  </sheetData>
  <sortState xmlns:xlrd2="http://schemas.microsoft.com/office/spreadsheetml/2017/richdata2" ref="K15:L25">
    <sortCondition ref="L15:L25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47B8-386A-474F-A656-B6A80FB9E503}">
  <dimension ref="A1:M45"/>
  <sheetViews>
    <sheetView workbookViewId="0">
      <selection activeCell="L1" sqref="L1:M12"/>
    </sheetView>
  </sheetViews>
  <sheetFormatPr defaultRowHeight="14.4" x14ac:dyDescent="0.3"/>
  <cols>
    <col min="1" max="1" width="14.21875" bestFit="1" customWidth="1"/>
    <col min="2" max="2" width="6.6640625" bestFit="1" customWidth="1"/>
    <col min="3" max="3" width="19.5546875" bestFit="1" customWidth="1"/>
    <col min="4" max="5" width="17.77734375" bestFit="1" customWidth="1"/>
    <col min="7" max="7" width="12" bestFit="1" customWidth="1"/>
    <col min="10" max="10" width="17.77734375" bestFit="1" customWidth="1"/>
    <col min="11" max="12" width="14.21875" bestFit="1" customWidth="1"/>
    <col min="13" max="13" width="17.77734375" style="53" bestFit="1" customWidth="1"/>
    <col min="14" max="14" width="14.21875" bestFit="1" customWidth="1"/>
  </cols>
  <sheetData>
    <row r="1" spans="1:13" x14ac:dyDescent="0.3">
      <c r="D1" t="s">
        <v>101</v>
      </c>
      <c r="E1" t="s">
        <v>102</v>
      </c>
      <c r="F1" t="s">
        <v>124</v>
      </c>
      <c r="G1" t="s">
        <v>136</v>
      </c>
      <c r="H1" t="s">
        <v>140</v>
      </c>
      <c r="I1" t="s">
        <v>141</v>
      </c>
      <c r="L1" t="s">
        <v>2</v>
      </c>
      <c r="M1" s="53" t="s">
        <v>86</v>
      </c>
    </row>
    <row r="2" spans="1:13" ht="15.6" x14ac:dyDescent="0.3">
      <c r="A2" s="57" t="s">
        <v>41</v>
      </c>
      <c r="B2" s="11" t="s">
        <v>120</v>
      </c>
      <c r="C2" s="68">
        <v>0.21640733086238401</v>
      </c>
      <c r="D2" s="69">
        <f>MIN(C2:C12)</f>
        <v>1.87883239107042E-3</v>
      </c>
      <c r="E2" s="69">
        <f>MAX(C2:C12)</f>
        <v>0.390404290569969</v>
      </c>
      <c r="F2">
        <f>((C2-0.00187883239107)/(0.390404290569969-0.00187883239107))*100</f>
        <v>55.216072449114264</v>
      </c>
      <c r="G2">
        <f>SUM(F2,F13,F24,F35)/4</f>
        <v>25.363849782931425</v>
      </c>
      <c r="H2">
        <v>15402</v>
      </c>
      <c r="J2" s="69">
        <f>AVERAGE(C2,C13,C24,C35)</f>
        <v>0.11520093531812811</v>
      </c>
      <c r="K2" s="57"/>
      <c r="L2" s="57" t="s">
        <v>132</v>
      </c>
      <c r="M2" s="53">
        <v>0.44742394013082554</v>
      </c>
    </row>
    <row r="3" spans="1:13" ht="15.6" x14ac:dyDescent="0.3">
      <c r="A3" s="57" t="s">
        <v>13</v>
      </c>
      <c r="B3" s="11" t="s">
        <v>120</v>
      </c>
      <c r="C3" s="68">
        <v>6.2069790083181003E-2</v>
      </c>
      <c r="F3">
        <f t="shared" ref="F3:F12" si="0">((C3-0.00187883239107)/(0.390404290569969-0.00187883239107))*100</f>
        <v>15.492152811359841</v>
      </c>
      <c r="G3">
        <f t="shared" ref="G3:G12" si="1">SUM(F3,F14,F25,F36)/4</f>
        <v>10.881158055671035</v>
      </c>
      <c r="H3">
        <v>763</v>
      </c>
      <c r="J3" s="69">
        <f t="shared" ref="J3:J12" si="2">AVERAGE(C3,C14,C25,C36)</f>
        <v>5.3931022336770357E-2</v>
      </c>
      <c r="K3" s="57"/>
      <c r="L3" s="57" t="s">
        <v>23</v>
      </c>
      <c r="M3" s="53">
        <v>0.346267798798297</v>
      </c>
    </row>
    <row r="4" spans="1:13" ht="15.6" x14ac:dyDescent="0.3">
      <c r="A4" s="57" t="s">
        <v>14</v>
      </c>
      <c r="B4" s="11" t="s">
        <v>120</v>
      </c>
      <c r="C4" s="68">
        <v>9.5325123405127499E-2</v>
      </c>
      <c r="F4">
        <f t="shared" si="0"/>
        <v>24.051523277794981</v>
      </c>
      <c r="G4">
        <f t="shared" si="1"/>
        <v>7.8722636804247808</v>
      </c>
      <c r="H4">
        <v>18634</v>
      </c>
      <c r="J4" s="69">
        <f t="shared" si="2"/>
        <v>3.8204623361960649E-2</v>
      </c>
      <c r="K4" s="57"/>
      <c r="L4" s="57" t="s">
        <v>22</v>
      </c>
      <c r="M4" s="53">
        <v>0.20220076810675844</v>
      </c>
    </row>
    <row r="5" spans="1:13" ht="15.6" x14ac:dyDescent="0.3">
      <c r="A5" s="57" t="s">
        <v>22</v>
      </c>
      <c r="B5" s="11" t="s">
        <v>120</v>
      </c>
      <c r="C5" s="68">
        <v>1.87883239107042E-3</v>
      </c>
      <c r="F5">
        <f t="shared" si="0"/>
        <v>1.081061518052399E-13</v>
      </c>
      <c r="G5">
        <f t="shared" si="1"/>
        <v>42.09917405507376</v>
      </c>
      <c r="H5">
        <v>463587</v>
      </c>
      <c r="J5" s="69">
        <f t="shared" si="2"/>
        <v>0.20220076810675844</v>
      </c>
      <c r="K5" s="57"/>
      <c r="L5" s="57" t="s">
        <v>131</v>
      </c>
      <c r="M5" s="53">
        <v>0.18077144424996699</v>
      </c>
    </row>
    <row r="6" spans="1:13" ht="15.6" x14ac:dyDescent="0.3">
      <c r="A6" s="57" t="s">
        <v>23</v>
      </c>
      <c r="B6" s="11" t="s">
        <v>120</v>
      </c>
      <c r="C6" s="68">
        <v>0.137803815737783</v>
      </c>
      <c r="F6">
        <f t="shared" si="0"/>
        <v>34.984833164812969</v>
      </c>
      <c r="G6">
        <f t="shared" si="1"/>
        <v>73.922084527996773</v>
      </c>
      <c r="H6">
        <v>8554</v>
      </c>
      <c r="J6" s="69">
        <f t="shared" si="2"/>
        <v>0.346267798798297</v>
      </c>
      <c r="K6" s="57"/>
      <c r="L6" s="57" t="s">
        <v>117</v>
      </c>
      <c r="M6" s="53">
        <v>0.14054739504591701</v>
      </c>
    </row>
    <row r="7" spans="1:13" ht="15.6" x14ac:dyDescent="0.3">
      <c r="A7" s="57" t="s">
        <v>132</v>
      </c>
      <c r="B7" s="11" t="s">
        <v>120</v>
      </c>
      <c r="C7" s="68">
        <v>0.390404290569969</v>
      </c>
      <c r="F7">
        <f t="shared" si="0"/>
        <v>100</v>
      </c>
      <c r="G7">
        <f t="shared" si="1"/>
        <v>50</v>
      </c>
      <c r="H7">
        <v>33196</v>
      </c>
      <c r="J7" s="69">
        <f>AVERAGE(C7,C18)</f>
        <v>0.44742394013082554</v>
      </c>
      <c r="K7" s="57"/>
      <c r="L7" s="57" t="s">
        <v>36</v>
      </c>
      <c r="M7" s="53">
        <v>0.13081233448597937</v>
      </c>
    </row>
    <row r="8" spans="1:13" ht="15.6" x14ac:dyDescent="0.3">
      <c r="A8" s="57" t="s">
        <v>131</v>
      </c>
      <c r="B8" s="11" t="s">
        <v>120</v>
      </c>
      <c r="C8" s="68">
        <v>0.14938425538456299</v>
      </c>
      <c r="F8">
        <f t="shared" si="0"/>
        <v>37.96544599287833</v>
      </c>
      <c r="G8">
        <f t="shared" si="1"/>
        <v>19.358458596995355</v>
      </c>
      <c r="H8">
        <v>26895</v>
      </c>
      <c r="J8" s="69">
        <f>AVERAGE(C8,C19)</f>
        <v>0.18077144424996699</v>
      </c>
      <c r="K8" s="57"/>
      <c r="L8" s="57" t="s">
        <v>41</v>
      </c>
      <c r="M8" s="53">
        <v>0.11520093531812811</v>
      </c>
    </row>
    <row r="9" spans="1:13" ht="15.6" x14ac:dyDescent="0.3">
      <c r="A9" s="57" t="s">
        <v>12</v>
      </c>
      <c r="B9" s="11" t="s">
        <v>120</v>
      </c>
      <c r="C9" s="68">
        <v>1.7695185064990501E-2</v>
      </c>
      <c r="F9">
        <f t="shared" si="0"/>
        <v>4.0708664878886163</v>
      </c>
      <c r="G9">
        <f t="shared" si="1"/>
        <v>2.5791775363932854</v>
      </c>
      <c r="H9">
        <v>64975</v>
      </c>
      <c r="J9" s="69">
        <f t="shared" si="2"/>
        <v>1.7202566544512726E-2</v>
      </c>
      <c r="K9" s="57"/>
      <c r="L9" s="57" t="s">
        <v>66</v>
      </c>
      <c r="M9" s="53">
        <v>6.4054296876801572E-2</v>
      </c>
    </row>
    <row r="10" spans="1:13" ht="15.6" x14ac:dyDescent="0.3">
      <c r="A10" s="57" t="s">
        <v>117</v>
      </c>
      <c r="B10" s="11" t="s">
        <v>120</v>
      </c>
      <c r="C10" s="68">
        <v>0.24125915930790601</v>
      </c>
      <c r="F10">
        <f t="shared" si="0"/>
        <v>61.612520332351508</v>
      </c>
      <c r="G10">
        <f t="shared" si="1"/>
        <v>30.901830401719451</v>
      </c>
      <c r="H10">
        <v>20113</v>
      </c>
      <c r="J10" s="69">
        <f t="shared" si="2"/>
        <v>0.14054739504591701</v>
      </c>
      <c r="K10" s="57"/>
      <c r="L10" s="57" t="s">
        <v>13</v>
      </c>
      <c r="M10" s="53">
        <v>5.3931022336770357E-2</v>
      </c>
    </row>
    <row r="11" spans="1:13" ht="15.6" x14ac:dyDescent="0.3">
      <c r="A11" s="57" t="s">
        <v>36</v>
      </c>
      <c r="B11" s="11" t="s">
        <v>120</v>
      </c>
      <c r="C11" s="68">
        <v>0.240575947529335</v>
      </c>
      <c r="F11">
        <f t="shared" si="0"/>
        <v>61.436672967863906</v>
      </c>
      <c r="G11">
        <f t="shared" si="1"/>
        <v>28.875262049757541</v>
      </c>
      <c r="H11">
        <v>49668</v>
      </c>
      <c r="J11" s="69">
        <f t="shared" si="2"/>
        <v>0.13081233448597937</v>
      </c>
      <c r="K11" s="57"/>
      <c r="L11" s="57" t="s">
        <v>14</v>
      </c>
      <c r="M11" s="53">
        <v>3.8204623361960649E-2</v>
      </c>
    </row>
    <row r="12" spans="1:13" ht="15.6" x14ac:dyDescent="0.3">
      <c r="A12" s="57" t="s">
        <v>66</v>
      </c>
      <c r="B12" s="11" t="s">
        <v>120</v>
      </c>
      <c r="C12" s="68">
        <v>0.145626590602422</v>
      </c>
      <c r="F12">
        <f t="shared" si="0"/>
        <v>36.998285488196359</v>
      </c>
      <c r="G12">
        <f t="shared" si="1"/>
        <v>13.857980856662762</v>
      </c>
      <c r="H12">
        <v>8765</v>
      </c>
      <c r="J12" s="69">
        <f t="shared" si="2"/>
        <v>6.4054296876801572E-2</v>
      </c>
      <c r="K12" s="57"/>
      <c r="L12" s="57" t="s">
        <v>12</v>
      </c>
      <c r="M12" s="53">
        <v>1.7202566544512726E-2</v>
      </c>
    </row>
    <row r="13" spans="1:13" ht="15.6" x14ac:dyDescent="0.3">
      <c r="A13" s="57" t="s">
        <v>41</v>
      </c>
      <c r="B13" s="11" t="s">
        <v>121</v>
      </c>
      <c r="C13" s="68">
        <v>0.20669271413243701</v>
      </c>
      <c r="D13" s="69">
        <f>MIN(C13:C23)</f>
        <v>2.15802579103994E-2</v>
      </c>
      <c r="E13" s="69">
        <f>MAX(C13:C23)</f>
        <v>0.50444358969168202</v>
      </c>
      <c r="F13">
        <f>((C13-0.021580257910399)/(0.504443589691682-0.021580257910399))*100</f>
        <v>38.336407848398444</v>
      </c>
      <c r="H13">
        <v>10542</v>
      </c>
    </row>
    <row r="14" spans="1:13" ht="15.6" x14ac:dyDescent="0.3">
      <c r="A14" s="57" t="s">
        <v>13</v>
      </c>
      <c r="B14" s="11" t="s">
        <v>121</v>
      </c>
      <c r="C14" s="68">
        <v>4.5792254590359703E-2</v>
      </c>
      <c r="F14">
        <f t="shared" ref="F14:F23" si="3">((C14-0.021580257910399)/(0.504443589691682-0.021580257910399))*100</f>
        <v>5.0142545698474636</v>
      </c>
      <c r="H14">
        <v>763</v>
      </c>
    </row>
    <row r="15" spans="1:13" ht="15.6" x14ac:dyDescent="0.3">
      <c r="A15" s="57" t="s">
        <v>14</v>
      </c>
      <c r="B15" s="11" t="s">
        <v>121</v>
      </c>
      <c r="C15" s="68">
        <v>5.7493370042715097E-2</v>
      </c>
      <c r="F15">
        <f t="shared" si="3"/>
        <v>7.4375314439041409</v>
      </c>
      <c r="H15">
        <v>23986</v>
      </c>
    </row>
    <row r="16" spans="1:13" ht="15.6" x14ac:dyDescent="0.3">
      <c r="A16" s="57" t="s">
        <v>22</v>
      </c>
      <c r="B16" s="11" t="s">
        <v>121</v>
      </c>
      <c r="C16" s="68">
        <v>7.7433852258234306E-2</v>
      </c>
      <c r="F16">
        <f t="shared" si="3"/>
        <v>11.567164179104546</v>
      </c>
      <c r="H16">
        <v>448482</v>
      </c>
    </row>
    <row r="17" spans="1:8" ht="15.6" x14ac:dyDescent="0.3">
      <c r="A17" s="57" t="s">
        <v>23</v>
      </c>
      <c r="B17" s="11" t="s">
        <v>121</v>
      </c>
      <c r="C17" s="68">
        <v>0.31469522440634001</v>
      </c>
      <c r="F17">
        <f t="shared" si="3"/>
        <v>60.703504947174139</v>
      </c>
      <c r="H17">
        <v>39239</v>
      </c>
    </row>
    <row r="18" spans="1:8" ht="15.6" x14ac:dyDescent="0.3">
      <c r="A18" s="57" t="s">
        <v>132</v>
      </c>
      <c r="B18" s="11" t="s">
        <v>121</v>
      </c>
      <c r="C18" s="68">
        <v>0.50444358969168202</v>
      </c>
      <c r="F18">
        <f t="shared" si="3"/>
        <v>100</v>
      </c>
      <c r="H18">
        <v>41471</v>
      </c>
    </row>
    <row r="19" spans="1:8" ht="15.6" x14ac:dyDescent="0.3">
      <c r="A19" s="57" t="s">
        <v>131</v>
      </c>
      <c r="B19" s="11" t="s">
        <v>121</v>
      </c>
      <c r="C19" s="68">
        <v>0.212158633115371</v>
      </c>
      <c r="F19">
        <f t="shared" si="3"/>
        <v>39.468388395103091</v>
      </c>
      <c r="H19">
        <v>23212</v>
      </c>
    </row>
    <row r="20" spans="1:8" ht="15.6" x14ac:dyDescent="0.3">
      <c r="A20" s="57" t="s">
        <v>12</v>
      </c>
      <c r="B20" s="11" t="s">
        <v>121</v>
      </c>
      <c r="C20" s="68">
        <v>2.15802579103994E-2</v>
      </c>
      <c r="F20">
        <f t="shared" si="3"/>
        <v>8.262926033393438E-14</v>
      </c>
      <c r="H20">
        <v>33580</v>
      </c>
    </row>
    <row r="21" spans="1:8" ht="15.6" x14ac:dyDescent="0.3">
      <c r="A21" s="57" t="s">
        <v>117</v>
      </c>
      <c r="B21" s="11" t="s">
        <v>121</v>
      </c>
      <c r="C21" s="68">
        <v>0.32093042087576201</v>
      </c>
      <c r="F21">
        <f t="shared" si="3"/>
        <v>61.994801274526303</v>
      </c>
      <c r="H21">
        <v>68703</v>
      </c>
    </row>
    <row r="22" spans="1:8" ht="15.6" x14ac:dyDescent="0.3">
      <c r="A22" s="57" t="s">
        <v>36</v>
      </c>
      <c r="B22" s="11" t="s">
        <v>121</v>
      </c>
      <c r="C22" s="68">
        <v>0.28202117537502303</v>
      </c>
      <c r="F22">
        <f t="shared" si="3"/>
        <v>53.936776790206324</v>
      </c>
      <c r="H22">
        <v>28985</v>
      </c>
    </row>
    <row r="23" spans="1:8" ht="15.6" x14ac:dyDescent="0.3">
      <c r="A23" s="57" t="s">
        <v>66</v>
      </c>
      <c r="B23" s="11" t="s">
        <v>121</v>
      </c>
      <c r="C23" s="68">
        <v>0.11057351661032</v>
      </c>
      <c r="F23">
        <f t="shared" si="3"/>
        <v>18.430320308569474</v>
      </c>
      <c r="H23">
        <v>4114</v>
      </c>
    </row>
    <row r="24" spans="1:8" ht="15.6" x14ac:dyDescent="0.3">
      <c r="A24" s="57" t="s">
        <v>41</v>
      </c>
      <c r="B24" s="11" t="s">
        <v>122</v>
      </c>
      <c r="C24" s="68">
        <v>2.4868908739986699E-2</v>
      </c>
      <c r="D24" s="69">
        <f>MIN(C24:C34)</f>
        <v>0</v>
      </c>
      <c r="E24" s="69">
        <f>MAX(C24:C34)</f>
        <v>0.51483423574222398</v>
      </c>
      <c r="F24">
        <f>((C24-0)/(0.514834235742224-0))*100</f>
        <v>4.8304691128657744</v>
      </c>
      <c r="H24">
        <v>562</v>
      </c>
    </row>
    <row r="25" spans="1:8" ht="15.6" x14ac:dyDescent="0.3">
      <c r="A25" s="57" t="s">
        <v>13</v>
      </c>
      <c r="B25" s="11" t="s">
        <v>122</v>
      </c>
      <c r="C25" s="68">
        <v>6.2069790083181003E-2</v>
      </c>
      <c r="F25">
        <f t="shared" ref="F25:F34" si="4">((C25-0)/(0.514834235742224-0))*100</f>
        <v>12.056267002853161</v>
      </c>
      <c r="H25">
        <v>763</v>
      </c>
    </row>
    <row r="26" spans="1:8" ht="15.6" x14ac:dyDescent="0.3">
      <c r="A26" s="57" t="s">
        <v>14</v>
      </c>
      <c r="B26" s="11" t="s">
        <v>122</v>
      </c>
      <c r="C26" s="68">
        <v>0</v>
      </c>
      <c r="F26">
        <f t="shared" si="4"/>
        <v>0</v>
      </c>
      <c r="H26">
        <v>282</v>
      </c>
    </row>
    <row r="27" spans="1:8" ht="15.6" x14ac:dyDescent="0.3">
      <c r="A27" s="57" t="s">
        <v>22</v>
      </c>
      <c r="B27" s="11" t="s">
        <v>122</v>
      </c>
      <c r="C27" s="68">
        <v>0.39424735682443202</v>
      </c>
      <c r="F27">
        <f t="shared" si="4"/>
        <v>76.577533010417469</v>
      </c>
      <c r="H27">
        <v>378871</v>
      </c>
    </row>
    <row r="28" spans="1:8" ht="15.6" x14ac:dyDescent="0.3">
      <c r="A28" s="57" t="s">
        <v>23</v>
      </c>
      <c r="B28" s="11" t="s">
        <v>122</v>
      </c>
      <c r="C28" s="68">
        <v>0.51483423574222398</v>
      </c>
      <c r="F28">
        <f t="shared" si="4"/>
        <v>100</v>
      </c>
      <c r="H28">
        <v>62101</v>
      </c>
    </row>
    <row r="29" spans="1:8" ht="15.6" x14ac:dyDescent="0.3">
      <c r="A29" s="57" t="s">
        <v>132</v>
      </c>
      <c r="B29" s="11" t="s">
        <v>122</v>
      </c>
      <c r="C29" s="68">
        <v>0</v>
      </c>
      <c r="F29">
        <f t="shared" si="4"/>
        <v>0</v>
      </c>
      <c r="H29">
        <v>0</v>
      </c>
    </row>
    <row r="30" spans="1:8" ht="15.6" x14ac:dyDescent="0.3">
      <c r="A30" s="57" t="s">
        <v>131</v>
      </c>
      <c r="B30" s="11" t="s">
        <v>122</v>
      </c>
      <c r="C30" s="68">
        <v>0</v>
      </c>
      <c r="F30">
        <f t="shared" si="4"/>
        <v>0</v>
      </c>
      <c r="H30">
        <v>0</v>
      </c>
    </row>
    <row r="31" spans="1:8" ht="15.6" x14ac:dyDescent="0.3">
      <c r="A31" s="57" t="s">
        <v>12</v>
      </c>
      <c r="B31" s="11" t="s">
        <v>122</v>
      </c>
      <c r="C31" s="68">
        <v>1.8258834782311599E-2</v>
      </c>
      <c r="F31">
        <f t="shared" si="4"/>
        <v>3.5465463472894885</v>
      </c>
      <c r="H31">
        <v>4876</v>
      </c>
    </row>
    <row r="32" spans="1:8" ht="15.6" x14ac:dyDescent="0.3">
      <c r="A32" s="57" t="s">
        <v>117</v>
      </c>
      <c r="B32" s="11" t="s">
        <v>122</v>
      </c>
      <c r="C32" s="68">
        <v>0</v>
      </c>
      <c r="F32">
        <f t="shared" si="4"/>
        <v>0</v>
      </c>
      <c r="H32">
        <v>18277</v>
      </c>
    </row>
    <row r="33" spans="1:8" ht="15.6" x14ac:dyDescent="0.3">
      <c r="A33" s="57" t="s">
        <v>36</v>
      </c>
      <c r="B33" s="11" t="s">
        <v>122</v>
      </c>
      <c r="C33" s="68">
        <v>6.3197089517823301E-4</v>
      </c>
      <c r="F33">
        <f t="shared" si="4"/>
        <v>0.1227523057527703</v>
      </c>
      <c r="H33">
        <v>137</v>
      </c>
    </row>
    <row r="34" spans="1:8" ht="15.6" x14ac:dyDescent="0.3">
      <c r="A34" s="57" t="s">
        <v>66</v>
      </c>
      <c r="B34" s="11" t="s">
        <v>122</v>
      </c>
      <c r="C34" s="68">
        <v>1.70802944642766E-5</v>
      </c>
      <c r="F34">
        <f t="shared" si="4"/>
        <v>3.3176298852100146E-3</v>
      </c>
      <c r="H34">
        <v>167</v>
      </c>
    </row>
    <row r="35" spans="1:8" ht="15.6" x14ac:dyDescent="0.3">
      <c r="A35" s="57" t="s">
        <v>41</v>
      </c>
      <c r="B35" s="11" t="s">
        <v>123</v>
      </c>
      <c r="C35" s="68">
        <v>1.28347875377047E-2</v>
      </c>
      <c r="D35" s="69">
        <f>MIN(C35:C45)</f>
        <v>0</v>
      </c>
      <c r="E35" s="69">
        <f>MAX(C35:C45)</f>
        <v>0.41773791930684101</v>
      </c>
      <c r="F35">
        <f>((C35-0)/(0.417737919306841-0))*100</f>
        <v>3.0724497213472173</v>
      </c>
      <c r="H35">
        <v>85</v>
      </c>
    </row>
    <row r="36" spans="1:8" ht="15.6" x14ac:dyDescent="0.3">
      <c r="A36" s="57" t="s">
        <v>13</v>
      </c>
      <c r="B36" s="11" t="s">
        <v>123</v>
      </c>
      <c r="C36" s="68">
        <v>4.5792254590359703E-2</v>
      </c>
      <c r="F36">
        <f t="shared" ref="F36:F45" si="5">((C36-0)/(0.417737919306841-0))*100</f>
        <v>10.961957838623675</v>
      </c>
      <c r="H36">
        <v>763</v>
      </c>
    </row>
    <row r="37" spans="1:8" ht="15.6" x14ac:dyDescent="0.3">
      <c r="A37" s="57" t="s">
        <v>14</v>
      </c>
      <c r="B37" s="11" t="s">
        <v>123</v>
      </c>
      <c r="C37" s="68">
        <v>0</v>
      </c>
      <c r="F37">
        <f t="shared" si="5"/>
        <v>0</v>
      </c>
      <c r="H37">
        <v>2</v>
      </c>
    </row>
    <row r="38" spans="1:8" ht="15.6" x14ac:dyDescent="0.3">
      <c r="A38" s="57" t="s">
        <v>22</v>
      </c>
      <c r="B38" s="11" t="s">
        <v>123</v>
      </c>
      <c r="C38" s="68">
        <v>0.33524303095329699</v>
      </c>
      <c r="F38">
        <f t="shared" si="5"/>
        <v>80.251999030772907</v>
      </c>
      <c r="H38">
        <v>332268</v>
      </c>
    </row>
    <row r="39" spans="1:8" ht="15.6" x14ac:dyDescent="0.3">
      <c r="A39" s="57" t="s">
        <v>23</v>
      </c>
      <c r="B39" s="11" t="s">
        <v>123</v>
      </c>
      <c r="C39" s="68">
        <v>0.41773791930684101</v>
      </c>
      <c r="F39">
        <f t="shared" si="5"/>
        <v>100</v>
      </c>
      <c r="H39">
        <v>21139</v>
      </c>
    </row>
    <row r="40" spans="1:8" ht="15.6" x14ac:dyDescent="0.3">
      <c r="A40" s="57" t="s">
        <v>132</v>
      </c>
      <c r="B40" s="11" t="s">
        <v>123</v>
      </c>
      <c r="C40" s="68">
        <v>0</v>
      </c>
      <c r="F40">
        <f t="shared" si="5"/>
        <v>0</v>
      </c>
      <c r="H40">
        <v>0</v>
      </c>
    </row>
    <row r="41" spans="1:8" ht="15.6" x14ac:dyDescent="0.3">
      <c r="A41" s="57" t="s">
        <v>131</v>
      </c>
      <c r="B41" s="11" t="s">
        <v>123</v>
      </c>
      <c r="C41" s="68">
        <v>0</v>
      </c>
      <c r="F41">
        <f t="shared" si="5"/>
        <v>0</v>
      </c>
      <c r="H41">
        <v>0</v>
      </c>
    </row>
    <row r="42" spans="1:8" ht="15.6" x14ac:dyDescent="0.3">
      <c r="A42" s="57" t="s">
        <v>12</v>
      </c>
      <c r="B42" s="11" t="s">
        <v>123</v>
      </c>
      <c r="C42" s="68">
        <v>1.12759884203494E-2</v>
      </c>
      <c r="F42">
        <f t="shared" si="5"/>
        <v>2.6992973103949534</v>
      </c>
      <c r="H42">
        <v>1886</v>
      </c>
    </row>
    <row r="43" spans="1:8" ht="15.6" x14ac:dyDescent="0.3">
      <c r="A43" s="57" t="s">
        <v>117</v>
      </c>
      <c r="B43" s="11" t="s">
        <v>123</v>
      </c>
      <c r="C43" s="68">
        <v>0</v>
      </c>
      <c r="F43">
        <f t="shared" si="5"/>
        <v>0</v>
      </c>
      <c r="H43">
        <v>266</v>
      </c>
    </row>
    <row r="44" spans="1:8" ht="15.6" x14ac:dyDescent="0.3">
      <c r="A44" s="57" t="s">
        <v>36</v>
      </c>
      <c r="B44" s="11" t="s">
        <v>123</v>
      </c>
      <c r="C44" s="68">
        <v>2.02441443812377E-5</v>
      </c>
      <c r="F44">
        <f t="shared" si="5"/>
        <v>4.8461352071722677E-3</v>
      </c>
      <c r="H44">
        <v>12</v>
      </c>
    </row>
    <row r="45" spans="1:8" ht="15.6" x14ac:dyDescent="0.3">
      <c r="A45" s="57" t="s">
        <v>66</v>
      </c>
      <c r="B45" s="11" t="s">
        <v>123</v>
      </c>
      <c r="C45" s="68">
        <v>0</v>
      </c>
      <c r="F45">
        <f t="shared" si="5"/>
        <v>0</v>
      </c>
      <c r="H45">
        <v>383</v>
      </c>
    </row>
  </sheetData>
  <sortState xmlns:xlrd2="http://schemas.microsoft.com/office/spreadsheetml/2017/richdata2" ref="L2:M12">
    <sortCondition descending="1" ref="M2:M1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B4E2-ED93-47E5-80E6-81C89A828FF3}">
  <dimension ref="A1:U45"/>
  <sheetViews>
    <sheetView topLeftCell="D1" workbookViewId="0">
      <selection activeCell="H2" sqref="H2"/>
    </sheetView>
  </sheetViews>
  <sheetFormatPr defaultRowHeight="14.4" x14ac:dyDescent="0.3"/>
  <cols>
    <col min="1" max="1" width="14.21875" bestFit="1" customWidth="1"/>
    <col min="2" max="2" width="11" bestFit="1" customWidth="1"/>
    <col min="3" max="3" width="39" style="69" bestFit="1" customWidth="1"/>
    <col min="6" max="6" width="25.21875" style="69" bestFit="1" customWidth="1"/>
    <col min="7" max="7" width="9.6640625" bestFit="1" customWidth="1"/>
    <col min="8" max="8" width="25.21875" bestFit="1" customWidth="1"/>
    <col min="9" max="10" width="17.77734375" bestFit="1" customWidth="1"/>
    <col min="14" max="14" width="18.44140625" style="53" bestFit="1" customWidth="1"/>
  </cols>
  <sheetData>
    <row r="1" spans="1:14" ht="15.6" x14ac:dyDescent="0.3">
      <c r="A1" s="49" t="s">
        <v>2</v>
      </c>
      <c r="B1" s="49" t="s">
        <v>89</v>
      </c>
      <c r="C1" s="67" t="s">
        <v>133</v>
      </c>
      <c r="F1" s="49" t="s">
        <v>2</v>
      </c>
      <c r="G1" t="s">
        <v>89</v>
      </c>
      <c r="H1" s="69" t="s">
        <v>137</v>
      </c>
      <c r="I1" t="s">
        <v>136</v>
      </c>
      <c r="J1" t="s">
        <v>124</v>
      </c>
    </row>
    <row r="2" spans="1:14" ht="15.6" x14ac:dyDescent="0.3">
      <c r="A2" s="57" t="s">
        <v>41</v>
      </c>
      <c r="B2" s="11" t="s">
        <v>120</v>
      </c>
      <c r="C2" s="68">
        <v>0.21640733086238401</v>
      </c>
      <c r="F2" s="57" t="s">
        <v>41</v>
      </c>
      <c r="G2" t="s">
        <v>135</v>
      </c>
      <c r="H2" s="69">
        <f>SUM(C2,C13)/2</f>
        <v>0.21155002249741051</v>
      </c>
      <c r="I2">
        <f>SUM(H2,H13)/2</f>
        <v>0.1152009353181281</v>
      </c>
      <c r="J2">
        <f>((I2-0.0172025665445127)/(0.346267798798297-0.0172025665445127))*100</f>
        <v>29.78083345433355</v>
      </c>
      <c r="N2" s="53">
        <f>H2-H13</f>
        <v>0.19269817435856482</v>
      </c>
    </row>
    <row r="3" spans="1:14" ht="15.6" x14ac:dyDescent="0.3">
      <c r="A3" s="57" t="s">
        <v>13</v>
      </c>
      <c r="B3" s="11" t="s">
        <v>120</v>
      </c>
      <c r="C3" s="68">
        <v>6.2069790083181003E-2</v>
      </c>
      <c r="F3" s="57" t="s">
        <v>13</v>
      </c>
      <c r="G3" t="s">
        <v>135</v>
      </c>
      <c r="H3" s="69">
        <f t="shared" ref="H3:H12" si="0">SUM(C3,C14)/2</f>
        <v>5.3931022336770357E-2</v>
      </c>
      <c r="I3">
        <f t="shared" ref="I3:I11" si="1">SUM(H3,H14)/2</f>
        <v>5.3931022336770357E-2</v>
      </c>
      <c r="J3">
        <f t="shared" ref="J3:J12" si="2">((I3-0.0172025665445127)/(0.346267798798297-0.0172025665445127))*100</f>
        <v>11.161451345285741</v>
      </c>
      <c r="N3" s="53">
        <f t="shared" ref="N3:N12" si="3">H3-H14</f>
        <v>0</v>
      </c>
    </row>
    <row r="4" spans="1:14" ht="15.6" x14ac:dyDescent="0.3">
      <c r="A4" s="57" t="s">
        <v>14</v>
      </c>
      <c r="B4" s="11" t="s">
        <v>120</v>
      </c>
      <c r="C4" s="68">
        <v>9.5325123405127499E-2</v>
      </c>
      <c r="F4" s="57" t="s">
        <v>14</v>
      </c>
      <c r="G4" t="s">
        <v>135</v>
      </c>
      <c r="H4" s="69">
        <f t="shared" si="0"/>
        <v>7.6409246723921298E-2</v>
      </c>
      <c r="I4">
        <f t="shared" si="1"/>
        <v>3.8204623361960649E-2</v>
      </c>
      <c r="J4">
        <f t="shared" si="2"/>
        <v>6.3823384420176525</v>
      </c>
      <c r="N4" s="53">
        <f t="shared" si="3"/>
        <v>7.6409246723921298E-2</v>
      </c>
    </row>
    <row r="5" spans="1:14" ht="15.6" x14ac:dyDescent="0.3">
      <c r="A5" s="57" t="s">
        <v>22</v>
      </c>
      <c r="B5" s="11" t="s">
        <v>120</v>
      </c>
      <c r="C5" s="68">
        <v>1.87883239107042E-3</v>
      </c>
      <c r="F5" s="57" t="s">
        <v>22</v>
      </c>
      <c r="G5" t="s">
        <v>135</v>
      </c>
      <c r="H5" s="69">
        <f t="shared" si="0"/>
        <v>3.9656342324652365E-2</v>
      </c>
      <c r="I5">
        <f t="shared" si="1"/>
        <v>0.20220076810675844</v>
      </c>
      <c r="J5">
        <f t="shared" si="2"/>
        <v>56.21930955609735</v>
      </c>
      <c r="N5" s="53">
        <f t="shared" si="3"/>
        <v>-0.32508885156421213</v>
      </c>
    </row>
    <row r="6" spans="1:14" ht="15.6" x14ac:dyDescent="0.3">
      <c r="A6" s="57" t="s">
        <v>23</v>
      </c>
      <c r="B6" s="11" t="s">
        <v>120</v>
      </c>
      <c r="C6" s="68">
        <v>0.137803815737783</v>
      </c>
      <c r="F6" s="57" t="s">
        <v>23</v>
      </c>
      <c r="G6" t="s">
        <v>135</v>
      </c>
      <c r="H6" s="69">
        <f t="shared" si="0"/>
        <v>0.22624952007206151</v>
      </c>
      <c r="I6">
        <f t="shared" si="1"/>
        <v>0.346267798798297</v>
      </c>
      <c r="J6">
        <f t="shared" si="2"/>
        <v>100</v>
      </c>
      <c r="N6" s="53">
        <f t="shared" si="3"/>
        <v>-0.24003655745247099</v>
      </c>
    </row>
    <row r="7" spans="1:14" ht="15.6" x14ac:dyDescent="0.3">
      <c r="A7" s="57" t="s">
        <v>132</v>
      </c>
      <c r="B7" s="11" t="s">
        <v>120</v>
      </c>
      <c r="C7" s="68">
        <v>0.390404290569969</v>
      </c>
      <c r="F7" s="57" t="s">
        <v>132</v>
      </c>
      <c r="G7" t="s">
        <v>135</v>
      </c>
      <c r="H7" s="69">
        <f t="shared" si="0"/>
        <v>0.44742394013082554</v>
      </c>
      <c r="I7">
        <f t="shared" si="1"/>
        <v>0.22371197006541277</v>
      </c>
      <c r="J7">
        <f t="shared" si="2"/>
        <v>62.756372682251119</v>
      </c>
      <c r="N7" s="53">
        <f t="shared" si="3"/>
        <v>0.44742394013082554</v>
      </c>
    </row>
    <row r="8" spans="1:14" ht="15.6" x14ac:dyDescent="0.3">
      <c r="A8" s="57" t="s">
        <v>131</v>
      </c>
      <c r="B8" s="11" t="s">
        <v>120</v>
      </c>
      <c r="C8" s="68">
        <v>0.14938425538456299</v>
      </c>
      <c r="F8" s="57" t="s">
        <v>131</v>
      </c>
      <c r="G8" t="s">
        <v>135</v>
      </c>
      <c r="H8" s="69">
        <f t="shared" si="0"/>
        <v>0.18077144424996699</v>
      </c>
      <c r="I8">
        <f t="shared" si="1"/>
        <v>9.0385722124983497E-2</v>
      </c>
      <c r="J8">
        <f t="shared" si="2"/>
        <v>22.239710673545083</v>
      </c>
      <c r="N8" s="53">
        <f t="shared" si="3"/>
        <v>0.18077144424996699</v>
      </c>
    </row>
    <row r="9" spans="1:14" ht="15.6" x14ac:dyDescent="0.3">
      <c r="A9" s="57" t="s">
        <v>12</v>
      </c>
      <c r="B9" s="11" t="s">
        <v>120</v>
      </c>
      <c r="C9" s="68">
        <v>1.7695185064990501E-2</v>
      </c>
      <c r="F9" s="57" t="s">
        <v>12</v>
      </c>
      <c r="G9" t="s">
        <v>135</v>
      </c>
      <c r="H9" s="69">
        <f t="shared" si="0"/>
        <v>1.9637721487694951E-2</v>
      </c>
      <c r="I9">
        <f t="shared" si="1"/>
        <v>1.7202566544512726E-2</v>
      </c>
      <c r="J9">
        <f t="shared" si="2"/>
        <v>7.3803386937411726E-15</v>
      </c>
      <c r="N9" s="53">
        <f t="shared" si="3"/>
        <v>4.8703098863644503E-3</v>
      </c>
    </row>
    <row r="10" spans="1:14" ht="15.6" x14ac:dyDescent="0.3">
      <c r="A10" s="57" t="s">
        <v>117</v>
      </c>
      <c r="B10" s="11" t="s">
        <v>120</v>
      </c>
      <c r="C10" s="68">
        <v>0.24125915930790601</v>
      </c>
      <c r="F10" s="57" t="s">
        <v>117</v>
      </c>
      <c r="G10" t="s">
        <v>135</v>
      </c>
      <c r="H10" s="69">
        <f t="shared" si="0"/>
        <v>0.28109479009183402</v>
      </c>
      <c r="I10">
        <f t="shared" si="1"/>
        <v>0.14054739504591701</v>
      </c>
      <c r="J10">
        <f t="shared" si="2"/>
        <v>37.483397336330363</v>
      </c>
      <c r="N10" s="53">
        <f t="shared" si="3"/>
        <v>0.28109479009183402</v>
      </c>
    </row>
    <row r="11" spans="1:14" ht="15.6" x14ac:dyDescent="0.3">
      <c r="A11" s="57" t="s">
        <v>36</v>
      </c>
      <c r="B11" s="11" t="s">
        <v>120</v>
      </c>
      <c r="C11" s="68">
        <v>0.240575947529335</v>
      </c>
      <c r="F11" s="57" t="s">
        <v>36</v>
      </c>
      <c r="G11" t="s">
        <v>135</v>
      </c>
      <c r="H11" s="69">
        <f t="shared" si="0"/>
        <v>0.261298561452179</v>
      </c>
      <c r="I11">
        <f t="shared" si="1"/>
        <v>0.13081233448597937</v>
      </c>
      <c r="J11">
        <f t="shared" si="2"/>
        <v>34.524998938158149</v>
      </c>
      <c r="N11" s="53">
        <f t="shared" si="3"/>
        <v>0.26097245393239926</v>
      </c>
    </row>
    <row r="12" spans="1:14" ht="15.6" x14ac:dyDescent="0.3">
      <c r="A12" s="57" t="s">
        <v>66</v>
      </c>
      <c r="B12" s="11" t="s">
        <v>120</v>
      </c>
      <c r="C12" s="68">
        <v>0.145626590602422</v>
      </c>
      <c r="F12" s="57" t="s">
        <v>66</v>
      </c>
      <c r="G12" t="s">
        <v>135</v>
      </c>
      <c r="H12" s="69">
        <f t="shared" si="0"/>
        <v>0.128100053606371</v>
      </c>
      <c r="I12">
        <f>SUM(H12,H23)/2</f>
        <v>6.4054296876801572E-2</v>
      </c>
      <c r="J12">
        <f t="shared" si="2"/>
        <v>14.237824522329209</v>
      </c>
      <c r="N12" s="53">
        <f t="shared" si="3"/>
        <v>0.12809151345913886</v>
      </c>
    </row>
    <row r="13" spans="1:14" ht="15.6" x14ac:dyDescent="0.3">
      <c r="A13" s="57" t="s">
        <v>41</v>
      </c>
      <c r="B13" s="11" t="s">
        <v>121</v>
      </c>
      <c r="C13" s="68">
        <v>0.20669271413243701</v>
      </c>
      <c r="F13" s="57" t="s">
        <v>41</v>
      </c>
      <c r="G13" t="s">
        <v>134</v>
      </c>
      <c r="H13" s="69">
        <f t="shared" ref="H13:H23" si="4">SUM(C24,C35)/2</f>
        <v>1.88518481388457E-2</v>
      </c>
    </row>
    <row r="14" spans="1:14" ht="15.6" x14ac:dyDescent="0.3">
      <c r="A14" s="57" t="s">
        <v>13</v>
      </c>
      <c r="B14" s="11" t="s">
        <v>121</v>
      </c>
      <c r="C14" s="68">
        <v>4.5792254590359703E-2</v>
      </c>
      <c r="F14" s="57" t="s">
        <v>13</v>
      </c>
      <c r="G14" t="s">
        <v>134</v>
      </c>
      <c r="H14" s="69">
        <f t="shared" si="4"/>
        <v>5.3931022336770357E-2</v>
      </c>
    </row>
    <row r="15" spans="1:14" ht="15.6" x14ac:dyDescent="0.3">
      <c r="A15" s="57" t="s">
        <v>14</v>
      </c>
      <c r="B15" s="11" t="s">
        <v>121</v>
      </c>
      <c r="C15" s="68">
        <v>5.7493370042715097E-2</v>
      </c>
      <c r="F15" s="57" t="s">
        <v>14</v>
      </c>
      <c r="G15" t="s">
        <v>134</v>
      </c>
      <c r="H15" s="69">
        <f t="shared" si="4"/>
        <v>0</v>
      </c>
    </row>
    <row r="16" spans="1:14" ht="15.6" x14ac:dyDescent="0.3">
      <c r="A16" s="57" t="s">
        <v>22</v>
      </c>
      <c r="B16" s="11" t="s">
        <v>121</v>
      </c>
      <c r="C16" s="68">
        <v>7.7433852258234306E-2</v>
      </c>
      <c r="F16" s="57" t="s">
        <v>22</v>
      </c>
      <c r="G16" t="s">
        <v>134</v>
      </c>
      <c r="H16" s="69">
        <f t="shared" si="4"/>
        <v>0.36474519388886451</v>
      </c>
    </row>
    <row r="17" spans="1:21" ht="15.6" x14ac:dyDescent="0.3">
      <c r="A17" s="57" t="s">
        <v>23</v>
      </c>
      <c r="B17" s="11" t="s">
        <v>121</v>
      </c>
      <c r="C17" s="68">
        <v>0.31469522440634001</v>
      </c>
      <c r="F17" s="57" t="s">
        <v>23</v>
      </c>
      <c r="G17" t="s">
        <v>134</v>
      </c>
      <c r="H17" s="69">
        <f t="shared" si="4"/>
        <v>0.46628607752453249</v>
      </c>
      <c r="R17" s="71">
        <v>1.68286E-5</v>
      </c>
      <c r="T17" s="71">
        <v>9.7624100000000006E-5</v>
      </c>
      <c r="U17" s="71">
        <f>SUM(R17,T17)/2</f>
        <v>5.7226350000000001E-5</v>
      </c>
    </row>
    <row r="18" spans="1:21" ht="15.6" x14ac:dyDescent="0.3">
      <c r="A18" s="57" t="s">
        <v>132</v>
      </c>
      <c r="B18" s="11" t="s">
        <v>121</v>
      </c>
      <c r="C18" s="68">
        <v>0.50444358969168202</v>
      </c>
      <c r="F18" s="57" t="s">
        <v>132</v>
      </c>
      <c r="G18" t="s">
        <v>134</v>
      </c>
      <c r="H18" s="69">
        <f t="shared" si="4"/>
        <v>0</v>
      </c>
      <c r="R18" s="71">
        <v>7.0682899999999994E-5</v>
      </c>
      <c r="T18" s="71">
        <v>7.0682899999999994E-5</v>
      </c>
      <c r="U18" s="71">
        <f t="shared" ref="U18:U27" si="5">SUM(R18,T18)/2</f>
        <v>7.0682899999999994E-5</v>
      </c>
    </row>
    <row r="19" spans="1:21" ht="15.6" x14ac:dyDescent="0.3">
      <c r="A19" s="57" t="s">
        <v>131</v>
      </c>
      <c r="B19" s="11" t="s">
        <v>121</v>
      </c>
      <c r="C19" s="68">
        <v>0.212158633115371</v>
      </c>
      <c r="F19" s="57" t="s">
        <v>131</v>
      </c>
      <c r="G19" t="s">
        <v>134</v>
      </c>
      <c r="H19" s="69">
        <f t="shared" si="4"/>
        <v>0</v>
      </c>
      <c r="R19" s="71">
        <v>3.7563100000000002E-6</v>
      </c>
      <c r="T19">
        <v>0</v>
      </c>
      <c r="U19" s="71">
        <f t="shared" si="5"/>
        <v>1.8781550000000001E-6</v>
      </c>
    </row>
    <row r="20" spans="1:21" ht="15.6" x14ac:dyDescent="0.3">
      <c r="A20" s="57" t="s">
        <v>12</v>
      </c>
      <c r="B20" s="11" t="s">
        <v>121</v>
      </c>
      <c r="C20" s="68">
        <v>2.15802579103994E-2</v>
      </c>
      <c r="F20" s="57" t="s">
        <v>12</v>
      </c>
      <c r="G20" t="s">
        <v>134</v>
      </c>
      <c r="H20" s="69">
        <f t="shared" si="4"/>
        <v>1.47674116013305E-2</v>
      </c>
      <c r="R20" s="71">
        <v>8.8355199999999997E-8</v>
      </c>
      <c r="T20" s="71">
        <v>1.0247699999999999E-6</v>
      </c>
      <c r="U20" s="71">
        <f t="shared" si="5"/>
        <v>5.5656259999999996E-7</v>
      </c>
    </row>
    <row r="21" spans="1:21" ht="15.6" x14ac:dyDescent="0.3">
      <c r="A21" s="57" t="s">
        <v>117</v>
      </c>
      <c r="B21" s="11" t="s">
        <v>121</v>
      </c>
      <c r="C21" s="68">
        <v>0.32093042087576201</v>
      </c>
      <c r="F21" s="57" t="s">
        <v>117</v>
      </c>
      <c r="G21" t="s">
        <v>134</v>
      </c>
      <c r="H21" s="69">
        <f t="shared" si="4"/>
        <v>0</v>
      </c>
      <c r="R21" s="71">
        <v>1.20649E-5</v>
      </c>
      <c r="T21" s="71">
        <v>1.4025900000000001E-5</v>
      </c>
      <c r="U21" s="71">
        <f t="shared" si="5"/>
        <v>1.30454E-5</v>
      </c>
    </row>
    <row r="22" spans="1:21" ht="15.6" x14ac:dyDescent="0.3">
      <c r="A22" s="57" t="s">
        <v>36</v>
      </c>
      <c r="B22" s="11" t="s">
        <v>121</v>
      </c>
      <c r="C22" s="68">
        <v>0.28202117537502303</v>
      </c>
      <c r="F22" s="57" t="s">
        <v>36</v>
      </c>
      <c r="G22" t="s">
        <v>134</v>
      </c>
      <c r="H22" s="69">
        <f t="shared" si="4"/>
        <v>3.2610751977973538E-4</v>
      </c>
      <c r="R22" s="71">
        <v>1.19622E-5</v>
      </c>
      <c r="T22">
        <v>0</v>
      </c>
      <c r="U22" s="71">
        <f>R22</f>
        <v>1.19622E-5</v>
      </c>
    </row>
    <row r="23" spans="1:21" ht="15.6" x14ac:dyDescent="0.3">
      <c r="A23" s="57" t="s">
        <v>66</v>
      </c>
      <c r="B23" s="11" t="s">
        <v>121</v>
      </c>
      <c r="C23" s="68">
        <v>0.11057351661032</v>
      </c>
      <c r="F23" s="57" t="s">
        <v>66</v>
      </c>
      <c r="G23" t="s">
        <v>134</v>
      </c>
      <c r="H23" s="69">
        <f t="shared" si="4"/>
        <v>8.5401472321383002E-6</v>
      </c>
      <c r="R23" s="71">
        <v>7.3471999999999997E-6</v>
      </c>
      <c r="T23">
        <v>0</v>
      </c>
      <c r="U23" s="71">
        <f>R23</f>
        <v>7.3471999999999997E-6</v>
      </c>
    </row>
    <row r="24" spans="1:21" ht="15.6" x14ac:dyDescent="0.3">
      <c r="A24" s="57" t="s">
        <v>41</v>
      </c>
      <c r="B24" s="11" t="s">
        <v>122</v>
      </c>
      <c r="C24" s="68">
        <v>2.4868908739986699E-2</v>
      </c>
      <c r="R24" s="71">
        <v>4.5749499999999998E-7</v>
      </c>
      <c r="T24" s="71">
        <v>4.8617100000000002E-6</v>
      </c>
      <c r="U24" s="71">
        <f t="shared" si="5"/>
        <v>2.6596025000000001E-6</v>
      </c>
    </row>
    <row r="25" spans="1:21" ht="15.6" x14ac:dyDescent="0.3">
      <c r="A25" s="57" t="s">
        <v>13</v>
      </c>
      <c r="B25" s="11" t="s">
        <v>122</v>
      </c>
      <c r="C25" s="68">
        <v>6.2069790083181003E-2</v>
      </c>
      <c r="H25" t="s">
        <v>101</v>
      </c>
      <c r="I25" s="69">
        <f>MIN(I2:I12)</f>
        <v>1.7202566544512726E-2</v>
      </c>
      <c r="J25" s="69">
        <v>1.7202566544512701E-2</v>
      </c>
      <c r="R25" s="71">
        <v>8.3332300000000005E-6</v>
      </c>
      <c r="T25">
        <v>0</v>
      </c>
      <c r="U25" s="71">
        <f t="shared" si="5"/>
        <v>4.1666150000000003E-6</v>
      </c>
    </row>
    <row r="26" spans="1:21" ht="15.6" x14ac:dyDescent="0.3">
      <c r="A26" s="57" t="s">
        <v>14</v>
      </c>
      <c r="B26" s="11" t="s">
        <v>122</v>
      </c>
      <c r="C26" s="68">
        <v>0</v>
      </c>
      <c r="H26" t="s">
        <v>102</v>
      </c>
      <c r="I26">
        <f>MAX(I2:I12)</f>
        <v>0.346267798798297</v>
      </c>
      <c r="J26">
        <v>0.346267798798297</v>
      </c>
      <c r="R26" s="71">
        <v>7.2867900000000004E-6</v>
      </c>
      <c r="T26" s="71">
        <v>3.1499699999999999E-6</v>
      </c>
      <c r="U26" s="71">
        <f t="shared" si="5"/>
        <v>5.2183800000000002E-6</v>
      </c>
    </row>
    <row r="27" spans="1:21" ht="15.6" x14ac:dyDescent="0.3">
      <c r="A27" s="57" t="s">
        <v>22</v>
      </c>
      <c r="B27" s="11" t="s">
        <v>122</v>
      </c>
      <c r="C27" s="68">
        <v>0.39424735682443202</v>
      </c>
      <c r="R27" s="71">
        <v>2.1746000000000002E-5</v>
      </c>
      <c r="T27" s="71">
        <v>5.1138599999999997E-8</v>
      </c>
      <c r="U27" s="71">
        <f t="shared" si="5"/>
        <v>1.0898569300000001E-5</v>
      </c>
    </row>
    <row r="28" spans="1:21" ht="15.6" x14ac:dyDescent="0.3">
      <c r="A28" s="57" t="s">
        <v>23</v>
      </c>
      <c r="B28" s="11" t="s">
        <v>122</v>
      </c>
      <c r="C28" s="68">
        <v>0.51483423574222398</v>
      </c>
    </row>
    <row r="29" spans="1:21" ht="15.6" x14ac:dyDescent="0.3">
      <c r="A29" s="57" t="s">
        <v>132</v>
      </c>
      <c r="B29" s="11" t="s">
        <v>122</v>
      </c>
      <c r="C29" s="68">
        <v>0</v>
      </c>
    </row>
    <row r="30" spans="1:21" ht="15.6" x14ac:dyDescent="0.3">
      <c r="A30" s="57" t="s">
        <v>131</v>
      </c>
      <c r="B30" s="11" t="s">
        <v>122</v>
      </c>
      <c r="C30" s="68">
        <v>0</v>
      </c>
    </row>
    <row r="31" spans="1:21" ht="15.6" x14ac:dyDescent="0.3">
      <c r="A31" s="57" t="s">
        <v>12</v>
      </c>
      <c r="B31" s="11" t="s">
        <v>122</v>
      </c>
      <c r="C31" s="68">
        <v>1.8258834782311599E-2</v>
      </c>
    </row>
    <row r="32" spans="1:21" ht="15.6" x14ac:dyDescent="0.3">
      <c r="A32" s="57" t="s">
        <v>117</v>
      </c>
      <c r="B32" s="11" t="s">
        <v>122</v>
      </c>
      <c r="C32" s="68">
        <v>0</v>
      </c>
    </row>
    <row r="33" spans="1:3" ht="15.6" x14ac:dyDescent="0.3">
      <c r="A33" s="57" t="s">
        <v>36</v>
      </c>
      <c r="B33" s="11" t="s">
        <v>122</v>
      </c>
      <c r="C33" s="68">
        <v>6.3197089517823301E-4</v>
      </c>
    </row>
    <row r="34" spans="1:3" ht="15.6" x14ac:dyDescent="0.3">
      <c r="A34" s="57" t="s">
        <v>66</v>
      </c>
      <c r="B34" s="11" t="s">
        <v>122</v>
      </c>
      <c r="C34" s="68">
        <v>1.70802944642766E-5</v>
      </c>
    </row>
    <row r="35" spans="1:3" ht="15.6" x14ac:dyDescent="0.3">
      <c r="A35" s="57" t="s">
        <v>41</v>
      </c>
      <c r="B35" s="11" t="s">
        <v>123</v>
      </c>
      <c r="C35" s="68">
        <v>1.28347875377047E-2</v>
      </c>
    </row>
    <row r="36" spans="1:3" ht="15.6" x14ac:dyDescent="0.3">
      <c r="A36" s="57" t="s">
        <v>13</v>
      </c>
      <c r="B36" s="11" t="s">
        <v>123</v>
      </c>
      <c r="C36" s="68">
        <v>4.5792254590359703E-2</v>
      </c>
    </row>
    <row r="37" spans="1:3" ht="15.6" x14ac:dyDescent="0.3">
      <c r="A37" s="57" t="s">
        <v>14</v>
      </c>
      <c r="B37" s="11" t="s">
        <v>123</v>
      </c>
      <c r="C37" s="68">
        <v>0</v>
      </c>
    </row>
    <row r="38" spans="1:3" ht="15.6" x14ac:dyDescent="0.3">
      <c r="A38" s="57" t="s">
        <v>22</v>
      </c>
      <c r="B38" s="11" t="s">
        <v>123</v>
      </c>
      <c r="C38" s="68">
        <v>0.33524303095329699</v>
      </c>
    </row>
    <row r="39" spans="1:3" ht="15.6" x14ac:dyDescent="0.3">
      <c r="A39" s="57" t="s">
        <v>23</v>
      </c>
      <c r="B39" s="11" t="s">
        <v>123</v>
      </c>
      <c r="C39" s="68">
        <v>0.41773791930684101</v>
      </c>
    </row>
    <row r="40" spans="1:3" ht="15.6" x14ac:dyDescent="0.3">
      <c r="A40" s="57" t="s">
        <v>132</v>
      </c>
      <c r="B40" s="11" t="s">
        <v>123</v>
      </c>
      <c r="C40" s="68">
        <v>0</v>
      </c>
    </row>
    <row r="41" spans="1:3" ht="15.6" x14ac:dyDescent="0.3">
      <c r="A41" s="57" t="s">
        <v>131</v>
      </c>
      <c r="B41" s="11" t="s">
        <v>123</v>
      </c>
      <c r="C41" s="68">
        <v>0</v>
      </c>
    </row>
    <row r="42" spans="1:3" ht="15.6" x14ac:dyDescent="0.3">
      <c r="A42" s="57" t="s">
        <v>12</v>
      </c>
      <c r="B42" s="11" t="s">
        <v>123</v>
      </c>
      <c r="C42" s="68">
        <v>1.12759884203494E-2</v>
      </c>
    </row>
    <row r="43" spans="1:3" ht="15.6" x14ac:dyDescent="0.3">
      <c r="A43" s="57" t="s">
        <v>117</v>
      </c>
      <c r="B43" s="11" t="s">
        <v>123</v>
      </c>
      <c r="C43" s="68">
        <v>0</v>
      </c>
    </row>
    <row r="44" spans="1:3" ht="15.6" x14ac:dyDescent="0.3">
      <c r="A44" s="57" t="s">
        <v>36</v>
      </c>
      <c r="B44" s="11" t="s">
        <v>123</v>
      </c>
      <c r="C44" s="68">
        <v>2.02441443812377E-5</v>
      </c>
    </row>
    <row r="45" spans="1:3" ht="15.6" x14ac:dyDescent="0.3">
      <c r="A45" s="57" t="s">
        <v>66</v>
      </c>
      <c r="B45" s="11" t="s">
        <v>123</v>
      </c>
      <c r="C45" s="6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D6C0-B5C8-4DF4-833E-6500768AF19D}">
  <dimension ref="A1:L45"/>
  <sheetViews>
    <sheetView workbookViewId="0">
      <selection activeCell="A2" sqref="A2:A12"/>
    </sheetView>
  </sheetViews>
  <sheetFormatPr defaultRowHeight="14.4" x14ac:dyDescent="0.3"/>
  <cols>
    <col min="1" max="1" width="14.21875" bestFit="1" customWidth="1"/>
    <col min="2" max="2" width="6.6640625" bestFit="1" customWidth="1"/>
    <col min="3" max="3" width="19.5546875" bestFit="1" customWidth="1"/>
    <col min="4" max="5" width="17.77734375" bestFit="1" customWidth="1"/>
    <col min="7" max="7" width="12" bestFit="1" customWidth="1"/>
    <col min="9" max="9" width="14.21875" bestFit="1" customWidth="1"/>
    <col min="10" max="10" width="17.77734375" style="53" bestFit="1" customWidth="1"/>
    <col min="12" max="12" width="12.5546875" bestFit="1" customWidth="1"/>
    <col min="13" max="13" width="17.77734375" bestFit="1" customWidth="1"/>
  </cols>
  <sheetData>
    <row r="1" spans="1:10" x14ac:dyDescent="0.3">
      <c r="D1" t="s">
        <v>101</v>
      </c>
      <c r="E1" t="s">
        <v>102</v>
      </c>
      <c r="F1" t="s">
        <v>124</v>
      </c>
      <c r="G1" t="s">
        <v>136</v>
      </c>
      <c r="I1" t="s">
        <v>2</v>
      </c>
      <c r="J1" s="53" t="s">
        <v>86</v>
      </c>
    </row>
    <row r="2" spans="1:10" ht="15.6" x14ac:dyDescent="0.3">
      <c r="A2" s="57" t="s">
        <v>41</v>
      </c>
      <c r="B2" s="11" t="s">
        <v>120</v>
      </c>
      <c r="C2" s="68">
        <v>2.0805282108055798E-2</v>
      </c>
      <c r="D2" s="69">
        <f>MIN(C2:C12)</f>
        <v>5.89449747164956E-3</v>
      </c>
      <c r="E2" s="69">
        <f>MAX(C2:C12)</f>
        <v>7.5990145916240301E-2</v>
      </c>
      <c r="F2">
        <f>((C2-0.00589449747165)/(0.07599014591624-0.00589449747165))*100</f>
        <v>21.272054638588077</v>
      </c>
      <c r="G2">
        <f>SUM(F2,F13,F24,F35)/4</f>
        <v>7.5105798804264907</v>
      </c>
      <c r="I2" t="s">
        <v>22</v>
      </c>
      <c r="J2" s="53">
        <v>0.17847062226344695</v>
      </c>
    </row>
    <row r="3" spans="1:10" ht="15.6" x14ac:dyDescent="0.3">
      <c r="A3" s="57" t="s">
        <v>13</v>
      </c>
      <c r="B3" s="11" t="s">
        <v>120</v>
      </c>
      <c r="C3" s="68">
        <v>2.267037690873E-2</v>
      </c>
      <c r="F3">
        <f t="shared" ref="F3:F12" si="0">((C3-0.00589449747165)/(0.07599014591624-0.00589449747165))*100</f>
        <v>23.932840068297804</v>
      </c>
      <c r="G3">
        <f t="shared" ref="G3:G12" si="1">SUM(F3,F14,F25,F36)/4</f>
        <v>12.699751591141341</v>
      </c>
      <c r="I3" t="s">
        <v>23</v>
      </c>
      <c r="J3" s="53">
        <v>0.17604699639946961</v>
      </c>
    </row>
    <row r="4" spans="1:10" ht="15.6" x14ac:dyDescent="0.3">
      <c r="A4" s="57" t="s">
        <v>14</v>
      </c>
      <c r="B4" s="11" t="s">
        <v>120</v>
      </c>
      <c r="C4" s="68">
        <v>1.6426797522515801E-2</v>
      </c>
      <c r="F4">
        <f t="shared" si="0"/>
        <v>15.025611838360401</v>
      </c>
      <c r="G4">
        <f t="shared" si="1"/>
        <v>3.7572434369812622</v>
      </c>
      <c r="I4" t="s">
        <v>132</v>
      </c>
      <c r="J4" s="53">
        <v>8.916549474881065E-2</v>
      </c>
    </row>
    <row r="5" spans="1:10" ht="15.6" x14ac:dyDescent="0.3">
      <c r="A5" s="57" t="s">
        <v>22</v>
      </c>
      <c r="B5" s="11" t="s">
        <v>120</v>
      </c>
      <c r="C5" s="68">
        <v>1.66063253642919E-2</v>
      </c>
      <c r="F5">
        <f t="shared" si="0"/>
        <v>15.281730221968784</v>
      </c>
      <c r="G5">
        <f t="shared" si="1"/>
        <v>74.116130678384565</v>
      </c>
      <c r="I5" t="s">
        <v>13</v>
      </c>
      <c r="J5" s="53">
        <v>2.267037690873E-2</v>
      </c>
    </row>
    <row r="6" spans="1:10" ht="15.6" x14ac:dyDescent="0.3">
      <c r="A6" s="57" t="s">
        <v>23</v>
      </c>
      <c r="B6" s="11" t="s">
        <v>120</v>
      </c>
      <c r="C6" s="68">
        <v>4.9140759801721501E-2</v>
      </c>
      <c r="F6">
        <f t="shared" si="0"/>
        <v>61.69607285145139</v>
      </c>
      <c r="G6">
        <f t="shared" si="1"/>
        <v>79.695384716850526</v>
      </c>
      <c r="I6" t="s">
        <v>36</v>
      </c>
      <c r="J6" s="53">
        <v>1.5072858382454141E-2</v>
      </c>
    </row>
    <row r="7" spans="1:10" ht="15.6" x14ac:dyDescent="0.3">
      <c r="A7" s="57" t="s">
        <v>132</v>
      </c>
      <c r="B7" s="11" t="s">
        <v>120</v>
      </c>
      <c r="C7" s="68">
        <v>7.5990145916240301E-2</v>
      </c>
      <c r="F7">
        <f t="shared" si="0"/>
        <v>100.00000000000044</v>
      </c>
      <c r="G7">
        <f t="shared" si="1"/>
        <v>32.247649089394244</v>
      </c>
      <c r="I7" t="s">
        <v>41</v>
      </c>
      <c r="J7" s="53">
        <v>1.2509599752650539E-2</v>
      </c>
    </row>
    <row r="8" spans="1:10" ht="15.6" x14ac:dyDescent="0.3">
      <c r="A8" s="57" t="s">
        <v>131</v>
      </c>
      <c r="B8" s="11" t="s">
        <v>120</v>
      </c>
      <c r="C8" s="68">
        <v>1.57884763073118E-2</v>
      </c>
      <c r="F8">
        <f t="shared" si="0"/>
        <v>14.114968696641569</v>
      </c>
      <c r="G8">
        <f t="shared" si="1"/>
        <v>4.7086612314154852</v>
      </c>
      <c r="I8" t="s">
        <v>117</v>
      </c>
      <c r="J8" s="53">
        <v>9.6396477264793744E-3</v>
      </c>
    </row>
    <row r="9" spans="1:10" ht="15.6" x14ac:dyDescent="0.3">
      <c r="A9" s="57" t="s">
        <v>12</v>
      </c>
      <c r="B9" s="11" t="s">
        <v>120</v>
      </c>
      <c r="C9" s="68">
        <v>5.89449747164956E-3</v>
      </c>
      <c r="F9">
        <f t="shared" si="0"/>
        <v>-6.2736048658960761E-13</v>
      </c>
      <c r="G9">
        <f t="shared" si="1"/>
        <v>1.6151711767401866</v>
      </c>
      <c r="I9" t="s">
        <v>131</v>
      </c>
      <c r="J9" s="53">
        <v>9.1958150065328259E-3</v>
      </c>
    </row>
    <row r="10" spans="1:10" ht="15.6" x14ac:dyDescent="0.3">
      <c r="A10" s="57" t="s">
        <v>117</v>
      </c>
      <c r="B10" s="11" t="s">
        <v>120</v>
      </c>
      <c r="C10" s="68">
        <v>2.1004757487807099E-2</v>
      </c>
      <c r="F10">
        <f t="shared" si="0"/>
        <v>21.556630620375287</v>
      </c>
      <c r="G10">
        <f t="shared" si="1"/>
        <v>6.3124108392385736</v>
      </c>
      <c r="I10" t="s">
        <v>12</v>
      </c>
      <c r="J10" s="53">
        <v>6.9267825618623104E-3</v>
      </c>
    </row>
    <row r="11" spans="1:10" ht="15.6" x14ac:dyDescent="0.3">
      <c r="A11" s="57" t="s">
        <v>36</v>
      </c>
      <c r="B11" s="11" t="s">
        <v>120</v>
      </c>
      <c r="C11" s="68">
        <v>3.0798998633593599E-2</v>
      </c>
      <c r="F11">
        <f t="shared" si="0"/>
        <v>35.529311326123747</v>
      </c>
      <c r="G11">
        <f t="shared" si="1"/>
        <v>10.703435395249205</v>
      </c>
      <c r="I11" t="s">
        <v>66</v>
      </c>
      <c r="J11" s="53">
        <v>6.5103777066315462E-3</v>
      </c>
    </row>
    <row r="12" spans="1:10" ht="15.6" x14ac:dyDescent="0.3">
      <c r="A12" s="57" t="s">
        <v>66</v>
      </c>
      <c r="B12" s="11" t="s">
        <v>120</v>
      </c>
      <c r="C12" s="68">
        <v>1.5828371383261999E-2</v>
      </c>
      <c r="F12">
        <f t="shared" si="0"/>
        <v>14.171883892998924</v>
      </c>
      <c r="G12">
        <f t="shared" si="1"/>
        <v>3.9196597297468201</v>
      </c>
      <c r="I12" t="s">
        <v>14</v>
      </c>
      <c r="J12" s="53">
        <v>5.4032893490121034E-3</v>
      </c>
    </row>
    <row r="13" spans="1:10" ht="15.6" x14ac:dyDescent="0.3">
      <c r="A13" s="57" t="s">
        <v>41</v>
      </c>
      <c r="B13" s="11" t="s">
        <v>121</v>
      </c>
      <c r="C13" s="68">
        <v>1.6007899225038199E-2</v>
      </c>
      <c r="D13" s="69">
        <f>MIN(C13:C23)</f>
        <v>5.1763861045450504E-3</v>
      </c>
      <c r="E13" s="69">
        <f>MAX(C13:C23)</f>
        <v>0.340334919162602</v>
      </c>
      <c r="F13">
        <f>((C13-0.005176386104545)/(0.340334919162602-0.005176386104545))*100</f>
        <v>3.2317581240328854</v>
      </c>
    </row>
    <row r="14" spans="1:10" ht="15.6" x14ac:dyDescent="0.3">
      <c r="A14" s="57" t="s">
        <v>13</v>
      </c>
      <c r="B14" s="11" t="s">
        <v>121</v>
      </c>
      <c r="C14" s="68">
        <v>2.267037690873E-2</v>
      </c>
      <c r="F14">
        <f t="shared" ref="F14:F23" si="2">((C14-0.005176386104545)/(0.340334919162602-0.005176386104545))*100</f>
        <v>5.2196167122961619</v>
      </c>
    </row>
    <row r="15" spans="1:10" ht="15.6" x14ac:dyDescent="0.3">
      <c r="A15" s="57" t="s">
        <v>14</v>
      </c>
      <c r="B15" s="11" t="s">
        <v>121</v>
      </c>
      <c r="C15" s="68">
        <v>5.1763861045450504E-3</v>
      </c>
      <c r="F15">
        <f t="shared" si="2"/>
        <v>1.5009906012034343E-14</v>
      </c>
    </row>
    <row r="16" spans="1:10" ht="15.6" x14ac:dyDescent="0.3">
      <c r="A16" s="57" t="s">
        <v>22</v>
      </c>
      <c r="B16" s="11" t="s">
        <v>121</v>
      </c>
      <c r="C16" s="68">
        <v>0.340334919162602</v>
      </c>
      <c r="F16">
        <f t="shared" si="2"/>
        <v>100</v>
      </c>
    </row>
    <row r="17" spans="1:12" ht="15.6" x14ac:dyDescent="0.3">
      <c r="A17" s="57" t="s">
        <v>23</v>
      </c>
      <c r="B17" s="11" t="s">
        <v>121</v>
      </c>
      <c r="C17" s="68">
        <v>0.196503196592961</v>
      </c>
      <c r="F17">
        <f t="shared" si="2"/>
        <v>57.085466015950701</v>
      </c>
    </row>
    <row r="18" spans="1:12" ht="15.6" x14ac:dyDescent="0.3">
      <c r="A18" s="57" t="s">
        <v>132</v>
      </c>
      <c r="B18" s="11" t="s">
        <v>121</v>
      </c>
      <c r="C18" s="68">
        <v>0.102340843581381</v>
      </c>
      <c r="F18">
        <f t="shared" si="2"/>
        <v>28.990596357576532</v>
      </c>
    </row>
    <row r="19" spans="1:12" ht="15.6" x14ac:dyDescent="0.3">
      <c r="A19" s="57" t="s">
        <v>131</v>
      </c>
      <c r="B19" s="11" t="s">
        <v>121</v>
      </c>
      <c r="C19" s="68">
        <v>2.09947837188195E-2</v>
      </c>
      <c r="F19">
        <f t="shared" si="2"/>
        <v>4.7196762290203722</v>
      </c>
    </row>
    <row r="20" spans="1:12" ht="15.6" x14ac:dyDescent="0.3">
      <c r="A20" s="57" t="s">
        <v>12</v>
      </c>
      <c r="B20" s="11" t="s">
        <v>121</v>
      </c>
      <c r="C20" s="68">
        <v>1.0332824671115E-2</v>
      </c>
      <c r="F20">
        <f t="shared" si="2"/>
        <v>1.5385073205571014</v>
      </c>
    </row>
    <row r="21" spans="1:12" ht="15.6" x14ac:dyDescent="0.3">
      <c r="A21" s="57" t="s">
        <v>117</v>
      </c>
      <c r="B21" s="11" t="s">
        <v>121</v>
      </c>
      <c r="C21" s="68">
        <v>1.7553833418110398E-2</v>
      </c>
      <c r="F21">
        <f t="shared" si="2"/>
        <v>3.6930127365790053</v>
      </c>
    </row>
    <row r="22" spans="1:12" ht="15.6" x14ac:dyDescent="0.3">
      <c r="A22" s="57" t="s">
        <v>36</v>
      </c>
      <c r="B22" s="11" t="s">
        <v>121</v>
      </c>
      <c r="C22" s="68">
        <v>2.87344284531682E-2</v>
      </c>
      <c r="F22">
        <f t="shared" si="2"/>
        <v>7.0289251279609877</v>
      </c>
    </row>
    <row r="23" spans="1:12" ht="15.6" x14ac:dyDescent="0.3">
      <c r="A23" s="57" t="s">
        <v>66</v>
      </c>
      <c r="B23" s="11" t="s">
        <v>121</v>
      </c>
      <c r="C23" s="68">
        <v>1.01832181363015E-2</v>
      </c>
      <c r="F23">
        <f t="shared" si="2"/>
        <v>1.4938697774074587</v>
      </c>
    </row>
    <row r="24" spans="1:12" ht="15.6" x14ac:dyDescent="0.3">
      <c r="A24" s="57" t="s">
        <v>41</v>
      </c>
      <c r="B24" s="11" t="s">
        <v>122</v>
      </c>
      <c r="C24" s="68">
        <v>9.3753428483089492E-3</v>
      </c>
      <c r="D24" s="69">
        <f>MIN(C24:C34)</f>
        <v>0</v>
      </c>
      <c r="E24" s="69">
        <f>MAX(C24:C34)</f>
        <v>0.29666975853505301</v>
      </c>
      <c r="F24">
        <f>((C24-0)/(0.296669758535053-0))*100</f>
        <v>3.1601949907547473</v>
      </c>
    </row>
    <row r="25" spans="1:12" ht="15.6" x14ac:dyDescent="0.3">
      <c r="A25" s="57" t="s">
        <v>13</v>
      </c>
      <c r="B25" s="11" t="s">
        <v>122</v>
      </c>
      <c r="C25" s="68">
        <v>2.267037690873E-2</v>
      </c>
      <c r="F25">
        <f t="shared" ref="F25:F34" si="3">((C25-0)/(0.296669758535053-0))*100</f>
        <v>7.6416204404101347</v>
      </c>
    </row>
    <row r="26" spans="1:12" ht="15.6" x14ac:dyDescent="0.3">
      <c r="A26" s="57" t="s">
        <v>14</v>
      </c>
      <c r="B26" s="11" t="s">
        <v>122</v>
      </c>
      <c r="C26" s="68">
        <v>9.9737689875627098E-6</v>
      </c>
      <c r="F26">
        <f t="shared" si="3"/>
        <v>3.3619095646327092E-3</v>
      </c>
    </row>
    <row r="27" spans="1:12" ht="15.6" x14ac:dyDescent="0.3">
      <c r="A27" s="57" t="s">
        <v>22</v>
      </c>
      <c r="B27" s="11" t="s">
        <v>122</v>
      </c>
      <c r="C27" s="68">
        <v>0.26027547549943603</v>
      </c>
      <c r="F27">
        <f t="shared" si="3"/>
        <v>87.732391998655018</v>
      </c>
    </row>
    <row r="28" spans="1:12" ht="15.6" x14ac:dyDescent="0.3">
      <c r="A28" s="57" t="s">
        <v>23</v>
      </c>
      <c r="B28" s="11" t="s">
        <v>122</v>
      </c>
      <c r="C28" s="68">
        <v>0.29666975853505301</v>
      </c>
      <c r="F28">
        <f t="shared" si="3"/>
        <v>100</v>
      </c>
    </row>
    <row r="29" spans="1:12" ht="15.6" x14ac:dyDescent="0.3">
      <c r="A29" s="57" t="s">
        <v>132</v>
      </c>
      <c r="B29" s="11" t="s">
        <v>122</v>
      </c>
      <c r="C29" s="68">
        <v>0</v>
      </c>
      <c r="F29">
        <f t="shared" si="3"/>
        <v>0</v>
      </c>
      <c r="J29" s="53">
        <v>1.4346500000000001E-6</v>
      </c>
      <c r="K29" s="71">
        <v>3.0987400000000001E-5</v>
      </c>
      <c r="L29" s="71">
        <f>SUM(J29,K29)/2</f>
        <v>1.6211025E-5</v>
      </c>
    </row>
    <row r="30" spans="1:12" ht="15.6" x14ac:dyDescent="0.3">
      <c r="A30" s="57" t="s">
        <v>131</v>
      </c>
      <c r="B30" s="11" t="s">
        <v>122</v>
      </c>
      <c r="C30" s="68">
        <v>0</v>
      </c>
      <c r="F30">
        <f t="shared" si="3"/>
        <v>0</v>
      </c>
      <c r="J30" s="53">
        <v>2.97122E-5</v>
      </c>
      <c r="K30" s="71">
        <v>2.97122E-5</v>
      </c>
      <c r="L30" s="71">
        <f t="shared" ref="L30:L39" si="4">SUM(J30,K30)/2</f>
        <v>2.97122E-5</v>
      </c>
    </row>
    <row r="31" spans="1:12" ht="15.6" x14ac:dyDescent="0.3">
      <c r="A31" s="57" t="s">
        <v>12</v>
      </c>
      <c r="B31" s="11" t="s">
        <v>122</v>
      </c>
      <c r="C31" s="68">
        <v>7.7296709653611002E-3</v>
      </c>
      <c r="F31">
        <f t="shared" si="3"/>
        <v>2.6054799125903494</v>
      </c>
      <c r="J31" s="53">
        <v>5.4867899999999999E-7</v>
      </c>
      <c r="K31" s="71">
        <v>1.7684000000000001E-8</v>
      </c>
      <c r="L31" s="71">
        <f t="shared" si="4"/>
        <v>2.8318150000000001E-7</v>
      </c>
    </row>
    <row r="32" spans="1:12" ht="15.6" x14ac:dyDescent="0.3">
      <c r="A32" s="57" t="s">
        <v>117</v>
      </c>
      <c r="B32" s="11" t="s">
        <v>122</v>
      </c>
      <c r="C32" s="68">
        <v>0</v>
      </c>
      <c r="F32">
        <f t="shared" si="3"/>
        <v>0</v>
      </c>
      <c r="J32" s="53">
        <v>3.9734100000000001E-7</v>
      </c>
      <c r="K32" s="71">
        <v>5.7112400000000005E-7</v>
      </c>
      <c r="L32" s="71">
        <f t="shared" si="4"/>
        <v>4.8423250000000001E-7</v>
      </c>
    </row>
    <row r="33" spans="1:12" ht="15.6" x14ac:dyDescent="0.3">
      <c r="A33" s="57" t="s">
        <v>36</v>
      </c>
      <c r="B33" s="11" t="s">
        <v>122</v>
      </c>
      <c r="C33" s="68">
        <v>7.5800644305476603E-4</v>
      </c>
      <c r="F33">
        <f t="shared" si="3"/>
        <v>0.25550512691208593</v>
      </c>
      <c r="J33" s="53">
        <v>5.3763100000000004E-6</v>
      </c>
      <c r="K33" s="71">
        <v>6.2174099999999998E-6</v>
      </c>
      <c r="L33" s="71">
        <f t="shared" si="4"/>
        <v>5.7968600000000001E-6</v>
      </c>
    </row>
    <row r="34" spans="1:12" ht="15.6" x14ac:dyDescent="0.3">
      <c r="A34" s="57" t="s">
        <v>66</v>
      </c>
      <c r="B34" s="11" t="s">
        <v>122</v>
      </c>
      <c r="C34" s="68">
        <v>1.9947537975125399E-5</v>
      </c>
      <c r="F34">
        <f t="shared" si="3"/>
        <v>6.7238191292654115E-3</v>
      </c>
      <c r="J34" s="53">
        <v>2.3784500000000001E-6</v>
      </c>
      <c r="K34">
        <v>0</v>
      </c>
      <c r="L34" s="71">
        <f>J34</f>
        <v>2.3784500000000001E-6</v>
      </c>
    </row>
    <row r="35" spans="1:12" ht="15.6" x14ac:dyDescent="0.3">
      <c r="A35" s="57" t="s">
        <v>41</v>
      </c>
      <c r="B35" s="11" t="s">
        <v>123</v>
      </c>
      <c r="C35" s="68">
        <v>3.8498748291992098E-3</v>
      </c>
      <c r="D35" s="69">
        <f>MIN(C35:C45)</f>
        <v>0</v>
      </c>
      <c r="E35" s="69">
        <f>MAX(C35:C45)</f>
        <v>0.161874270668143</v>
      </c>
      <c r="F35">
        <f>((C35-0)/(0.161874270668143-0))*100</f>
        <v>2.3783117683302519</v>
      </c>
      <c r="J35" s="53">
        <v>7.45761E-7</v>
      </c>
      <c r="K35">
        <v>0</v>
      </c>
      <c r="L35" s="71">
        <f>J35</f>
        <v>7.45761E-7</v>
      </c>
    </row>
    <row r="36" spans="1:12" ht="15.6" x14ac:dyDescent="0.3">
      <c r="A36" s="57" t="s">
        <v>13</v>
      </c>
      <c r="B36" s="11" t="s">
        <v>123</v>
      </c>
      <c r="C36" s="68">
        <v>2.267037690873E-2</v>
      </c>
      <c r="F36">
        <f t="shared" ref="F36:F45" si="5">((C36-0)/(0.161874270668143-0))*100</f>
        <v>14.004929143561263</v>
      </c>
      <c r="J36" s="53">
        <v>1.99214E-7</v>
      </c>
      <c r="K36" s="71">
        <v>1.78683E-6</v>
      </c>
      <c r="L36" s="71">
        <f t="shared" si="4"/>
        <v>9.9302200000000004E-7</v>
      </c>
    </row>
    <row r="37" spans="1:12" ht="15.6" x14ac:dyDescent="0.3">
      <c r="A37" s="57" t="s">
        <v>14</v>
      </c>
      <c r="B37" s="11" t="s">
        <v>123</v>
      </c>
      <c r="C37" s="68">
        <v>0</v>
      </c>
      <c r="F37">
        <f t="shared" si="5"/>
        <v>0</v>
      </c>
      <c r="J37" s="53">
        <v>6.4992000000000004E-7</v>
      </c>
      <c r="K37">
        <v>0</v>
      </c>
      <c r="L37" s="71">
        <f t="shared" si="4"/>
        <v>3.2496000000000002E-7</v>
      </c>
    </row>
    <row r="38" spans="1:12" ht="15.6" x14ac:dyDescent="0.3">
      <c r="A38" s="57" t="s">
        <v>22</v>
      </c>
      <c r="B38" s="11" t="s">
        <v>123</v>
      </c>
      <c r="C38" s="68">
        <v>0.15127215423436399</v>
      </c>
      <c r="F38">
        <f t="shared" si="5"/>
        <v>93.450400492914468</v>
      </c>
      <c r="J38" s="53">
        <v>8.0572600000000005E-7</v>
      </c>
      <c r="K38" s="71">
        <v>2.76645E-6</v>
      </c>
      <c r="L38" s="71">
        <f t="shared" si="4"/>
        <v>1.786088E-6</v>
      </c>
    </row>
    <row r="39" spans="1:12" ht="15.6" x14ac:dyDescent="0.3">
      <c r="A39" s="57" t="s">
        <v>23</v>
      </c>
      <c r="B39" s="11" t="s">
        <v>123</v>
      </c>
      <c r="C39" s="68">
        <v>0.161874270668143</v>
      </c>
      <c r="F39">
        <f t="shared" si="5"/>
        <v>100</v>
      </c>
      <c r="J39" s="53">
        <v>2.1405600000000001E-6</v>
      </c>
      <c r="K39" s="71">
        <v>7.2743799999999995E-8</v>
      </c>
      <c r="L39" s="71">
        <f t="shared" si="4"/>
        <v>1.1066518999999999E-6</v>
      </c>
    </row>
    <row r="40" spans="1:12" ht="15.6" x14ac:dyDescent="0.3">
      <c r="A40" s="57" t="s">
        <v>132</v>
      </c>
      <c r="B40" s="11" t="s">
        <v>123</v>
      </c>
      <c r="C40" s="68">
        <v>0</v>
      </c>
      <c r="F40">
        <f t="shared" si="5"/>
        <v>0</v>
      </c>
    </row>
    <row r="41" spans="1:12" ht="15.6" x14ac:dyDescent="0.3">
      <c r="A41" s="57" t="s">
        <v>131</v>
      </c>
      <c r="B41" s="11" t="s">
        <v>123</v>
      </c>
      <c r="C41" s="68">
        <v>0</v>
      </c>
      <c r="F41">
        <f t="shared" si="5"/>
        <v>0</v>
      </c>
    </row>
    <row r="42" spans="1:12" ht="15.6" x14ac:dyDescent="0.3">
      <c r="A42" s="57" t="s">
        <v>12</v>
      </c>
      <c r="B42" s="11" t="s">
        <v>123</v>
      </c>
      <c r="C42" s="68">
        <v>3.7501371393235802E-3</v>
      </c>
      <c r="F42">
        <f t="shared" si="5"/>
        <v>2.3166974738139223</v>
      </c>
    </row>
    <row r="43" spans="1:12" ht="15.6" x14ac:dyDescent="0.3">
      <c r="A43" s="57" t="s">
        <v>117</v>
      </c>
      <c r="B43" s="11" t="s">
        <v>123</v>
      </c>
      <c r="C43" s="68">
        <v>0</v>
      </c>
      <c r="F43">
        <f t="shared" si="5"/>
        <v>0</v>
      </c>
    </row>
    <row r="44" spans="1:12" ht="15.6" x14ac:dyDescent="0.3">
      <c r="A44" s="57" t="s">
        <v>36</v>
      </c>
      <c r="B44" s="11" t="s">
        <v>123</v>
      </c>
      <c r="C44" s="68">
        <v>0</v>
      </c>
      <c r="F44">
        <f t="shared" si="5"/>
        <v>0</v>
      </c>
    </row>
    <row r="45" spans="1:12" ht="15.6" x14ac:dyDescent="0.3">
      <c r="A45" s="57" t="s">
        <v>66</v>
      </c>
      <c r="B45" s="11" t="s">
        <v>123</v>
      </c>
      <c r="C45" s="68">
        <v>9.9737689875627098E-6</v>
      </c>
      <c r="F45">
        <f t="shared" si="5"/>
        <v>6.1614294516327706E-3</v>
      </c>
    </row>
  </sheetData>
  <sortState xmlns:xlrd2="http://schemas.microsoft.com/office/spreadsheetml/2017/richdata2" ref="I2:J12">
    <sortCondition descending="1" ref="J2:J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4C06-604D-4F11-A681-29CE4DEBAD61}">
  <dimension ref="A1:J45"/>
  <sheetViews>
    <sheetView topLeftCell="A14" workbookViewId="0">
      <selection activeCell="C2" sqref="C2:C45"/>
    </sheetView>
  </sheetViews>
  <sheetFormatPr defaultRowHeight="14.4" x14ac:dyDescent="0.3"/>
  <cols>
    <col min="1" max="1" width="14.21875" bestFit="1" customWidth="1"/>
    <col min="2" max="2" width="11" bestFit="1" customWidth="1"/>
    <col min="3" max="3" width="39" style="69" bestFit="1" customWidth="1"/>
    <col min="6" max="6" width="25.21875" style="69" bestFit="1" customWidth="1"/>
    <col min="7" max="7" width="9.6640625" bestFit="1" customWidth="1"/>
    <col min="8" max="8" width="25.21875" bestFit="1" customWidth="1"/>
    <col min="9" max="10" width="17.77734375" bestFit="1" customWidth="1"/>
  </cols>
  <sheetData>
    <row r="1" spans="1:10" ht="15.6" x14ac:dyDescent="0.3">
      <c r="A1" s="49" t="s">
        <v>2</v>
      </c>
      <c r="B1" s="49" t="s">
        <v>89</v>
      </c>
      <c r="C1" s="67" t="s">
        <v>133</v>
      </c>
      <c r="F1" s="49" t="s">
        <v>2</v>
      </c>
      <c r="G1" t="s">
        <v>89</v>
      </c>
      <c r="H1" s="69" t="s">
        <v>137</v>
      </c>
      <c r="I1" t="s">
        <v>136</v>
      </c>
      <c r="J1" t="s">
        <v>124</v>
      </c>
    </row>
    <row r="2" spans="1:10" ht="15.6" x14ac:dyDescent="0.3">
      <c r="A2" s="57" t="s">
        <v>41</v>
      </c>
      <c r="B2" s="11" t="s">
        <v>120</v>
      </c>
      <c r="C2" s="68">
        <v>2.0805282108055798E-2</v>
      </c>
      <c r="F2" s="57" t="s">
        <v>41</v>
      </c>
      <c r="G2" t="s">
        <v>135</v>
      </c>
      <c r="H2" s="69">
        <f t="shared" ref="H2:H12" si="0">SUM(C2,C13)/2</f>
        <v>1.8406590666546999E-2</v>
      </c>
      <c r="I2">
        <f>SUM(H2,H13)/2</f>
        <v>1.2509599752650539E-2</v>
      </c>
      <c r="J2">
        <f>((I2-0.0054032893490121)/(0.192122218565173-0.0054032893490121))*100</f>
        <v>3.8058864376903103</v>
      </c>
    </row>
    <row r="3" spans="1:10" ht="15.6" x14ac:dyDescent="0.3">
      <c r="A3" s="57" t="s">
        <v>13</v>
      </c>
      <c r="B3" s="11" t="s">
        <v>120</v>
      </c>
      <c r="C3" s="68">
        <v>2.267037690873E-2</v>
      </c>
      <c r="F3" s="57" t="s">
        <v>13</v>
      </c>
      <c r="G3" t="s">
        <v>135</v>
      </c>
      <c r="H3" s="69">
        <f t="shared" si="0"/>
        <v>2.267037690873E-2</v>
      </c>
      <c r="I3">
        <f t="shared" ref="I3:I11" si="1">SUM(H3,H14)/2</f>
        <v>2.267037690873E-2</v>
      </c>
      <c r="J3">
        <f t="shared" ref="J3:J12" si="2">((I3-0.0054032893490121)/(0.192122218565173-0.0054032893490121))*100</f>
        <v>9.2476363442123901</v>
      </c>
    </row>
    <row r="4" spans="1:10" ht="15.6" x14ac:dyDescent="0.3">
      <c r="A4" s="57" t="s">
        <v>14</v>
      </c>
      <c r="B4" s="11" t="s">
        <v>120</v>
      </c>
      <c r="C4" s="68">
        <v>1.6426797522515801E-2</v>
      </c>
      <c r="F4" s="57" t="s">
        <v>14</v>
      </c>
      <c r="G4" t="s">
        <v>135</v>
      </c>
      <c r="H4" s="69">
        <f t="shared" si="0"/>
        <v>1.0801591813530426E-2</v>
      </c>
      <c r="I4">
        <f t="shared" si="1"/>
        <v>5.4032893490121034E-3</v>
      </c>
      <c r="J4">
        <f t="shared" si="2"/>
        <v>1.8581120652941956E-15</v>
      </c>
    </row>
    <row r="5" spans="1:10" ht="15.6" x14ac:dyDescent="0.3">
      <c r="A5" s="57" t="s">
        <v>22</v>
      </c>
      <c r="B5" s="11" t="s">
        <v>120</v>
      </c>
      <c r="C5" s="68">
        <v>1.66063253642919E-2</v>
      </c>
      <c r="F5" s="57" t="s">
        <v>22</v>
      </c>
      <c r="G5" t="s">
        <v>135</v>
      </c>
      <c r="H5" s="69">
        <f t="shared" si="0"/>
        <v>0.17847062226344695</v>
      </c>
      <c r="I5">
        <f t="shared" si="1"/>
        <v>0.19212221856517347</v>
      </c>
      <c r="J5">
        <f t="shared" si="2"/>
        <v>100.00000000000024</v>
      </c>
    </row>
    <row r="6" spans="1:10" ht="15.6" x14ac:dyDescent="0.3">
      <c r="A6" s="57" t="s">
        <v>23</v>
      </c>
      <c r="B6" s="11" t="s">
        <v>120</v>
      </c>
      <c r="C6" s="68">
        <v>4.9140759801721501E-2</v>
      </c>
      <c r="F6" s="57" t="s">
        <v>23</v>
      </c>
      <c r="G6" t="s">
        <v>135</v>
      </c>
      <c r="H6" s="69">
        <f t="shared" si="0"/>
        <v>0.12282197819734125</v>
      </c>
      <c r="I6">
        <f t="shared" si="1"/>
        <v>0.17604699639946964</v>
      </c>
      <c r="J6">
        <f t="shared" si="2"/>
        <v>91.390684258319951</v>
      </c>
    </row>
    <row r="7" spans="1:10" ht="15.6" x14ac:dyDescent="0.3">
      <c r="A7" s="57" t="s">
        <v>132</v>
      </c>
      <c r="B7" s="11" t="s">
        <v>120</v>
      </c>
      <c r="C7" s="68">
        <v>7.5990145916240301E-2</v>
      </c>
      <c r="F7" s="57" t="s">
        <v>132</v>
      </c>
      <c r="G7" t="s">
        <v>135</v>
      </c>
      <c r="H7" s="69">
        <f t="shared" si="0"/>
        <v>8.916549474881065E-2</v>
      </c>
      <c r="I7">
        <f>SUM(H7,H18)/2</f>
        <v>4.4582747374405325E-2</v>
      </c>
      <c r="J7">
        <f t="shared" si="2"/>
        <v>20.983120559799225</v>
      </c>
    </row>
    <row r="8" spans="1:10" ht="15.6" x14ac:dyDescent="0.3">
      <c r="A8" s="57" t="s">
        <v>131</v>
      </c>
      <c r="B8" s="11" t="s">
        <v>120</v>
      </c>
      <c r="C8" s="68">
        <v>1.57884763073118E-2</v>
      </c>
      <c r="F8" s="57" t="s">
        <v>131</v>
      </c>
      <c r="G8" t="s">
        <v>135</v>
      </c>
      <c r="H8" s="69">
        <f t="shared" si="0"/>
        <v>1.8391630013065652E-2</v>
      </c>
      <c r="I8">
        <f t="shared" si="1"/>
        <v>9.1958150065328259E-3</v>
      </c>
      <c r="J8">
        <f t="shared" si="2"/>
        <v>2.0311414988515666</v>
      </c>
    </row>
    <row r="9" spans="1:10" ht="15.6" x14ac:dyDescent="0.3">
      <c r="A9" s="57" t="s">
        <v>12</v>
      </c>
      <c r="B9" s="11" t="s">
        <v>120</v>
      </c>
      <c r="C9" s="68">
        <v>5.89449747164956E-3</v>
      </c>
      <c r="F9" s="57" t="s">
        <v>12</v>
      </c>
      <c r="G9" t="s">
        <v>135</v>
      </c>
      <c r="H9" s="69">
        <f t="shared" si="0"/>
        <v>8.1136610713822797E-3</v>
      </c>
      <c r="I9">
        <f t="shared" si="1"/>
        <v>6.9267825618623095E-3</v>
      </c>
      <c r="J9">
        <f t="shared" si="2"/>
        <v>0.81592863629080192</v>
      </c>
    </row>
    <row r="10" spans="1:10" ht="15.6" x14ac:dyDescent="0.3">
      <c r="A10" s="57" t="s">
        <v>117</v>
      </c>
      <c r="B10" s="11" t="s">
        <v>120</v>
      </c>
      <c r="C10" s="68">
        <v>2.1004757487807099E-2</v>
      </c>
      <c r="F10" s="57" t="s">
        <v>117</v>
      </c>
      <c r="G10" t="s">
        <v>135</v>
      </c>
      <c r="H10" s="69">
        <f t="shared" si="0"/>
        <v>1.9279295452958749E-2</v>
      </c>
      <c r="I10">
        <f t="shared" si="1"/>
        <v>9.6396477264793744E-3</v>
      </c>
      <c r="J10">
        <f t="shared" si="2"/>
        <v>2.2688424763634565</v>
      </c>
    </row>
    <row r="11" spans="1:10" ht="15.6" x14ac:dyDescent="0.3">
      <c r="A11" s="57" t="s">
        <v>36</v>
      </c>
      <c r="B11" s="11" t="s">
        <v>120</v>
      </c>
      <c r="C11" s="68">
        <v>3.0798998633593599E-2</v>
      </c>
      <c r="F11" s="57" t="s">
        <v>36</v>
      </c>
      <c r="G11" t="s">
        <v>135</v>
      </c>
      <c r="H11" s="69">
        <f t="shared" si="0"/>
        <v>2.97667135433809E-2</v>
      </c>
      <c r="I11">
        <f t="shared" si="1"/>
        <v>1.5072858382454141E-2</v>
      </c>
      <c r="J11">
        <f t="shared" si="2"/>
        <v>5.1786763527589468</v>
      </c>
    </row>
    <row r="12" spans="1:10" ht="15.6" x14ac:dyDescent="0.3">
      <c r="A12" s="57" t="s">
        <v>66</v>
      </c>
      <c r="B12" s="11" t="s">
        <v>120</v>
      </c>
      <c r="C12" s="68">
        <v>1.5828371383261999E-2</v>
      </c>
      <c r="F12" s="57" t="s">
        <v>66</v>
      </c>
      <c r="G12" t="s">
        <v>135</v>
      </c>
      <c r="H12" s="69">
        <f t="shared" si="0"/>
        <v>1.3005794759781749E-2</v>
      </c>
      <c r="I12">
        <f>SUM(H12,H23)/2</f>
        <v>6.5103777066315462E-3</v>
      </c>
      <c r="J12">
        <f t="shared" si="2"/>
        <v>0.59291704502963993</v>
      </c>
    </row>
    <row r="13" spans="1:10" ht="15.6" x14ac:dyDescent="0.3">
      <c r="A13" s="57" t="s">
        <v>41</v>
      </c>
      <c r="B13" s="11" t="s">
        <v>121</v>
      </c>
      <c r="C13" s="68">
        <v>1.6007899225038199E-2</v>
      </c>
      <c r="F13" s="57" t="s">
        <v>41</v>
      </c>
      <c r="G13" t="s">
        <v>134</v>
      </c>
      <c r="H13" s="69">
        <f t="shared" ref="H13:H23" si="3">SUM(C24,C35)/2</f>
        <v>6.6126088387540791E-3</v>
      </c>
    </row>
    <row r="14" spans="1:10" ht="15.6" x14ac:dyDescent="0.3">
      <c r="A14" s="57" t="s">
        <v>13</v>
      </c>
      <c r="B14" s="11" t="s">
        <v>121</v>
      </c>
      <c r="C14" s="68">
        <v>2.267037690873E-2</v>
      </c>
      <c r="F14" s="57" t="s">
        <v>13</v>
      </c>
      <c r="G14" t="s">
        <v>134</v>
      </c>
      <c r="H14" s="69">
        <f t="shared" si="3"/>
        <v>2.267037690873E-2</v>
      </c>
    </row>
    <row r="15" spans="1:10" ht="15.6" x14ac:dyDescent="0.3">
      <c r="A15" s="57" t="s">
        <v>14</v>
      </c>
      <c r="B15" s="11" t="s">
        <v>121</v>
      </c>
      <c r="C15" s="68">
        <v>5.1763861045450504E-3</v>
      </c>
      <c r="F15" s="57" t="s">
        <v>14</v>
      </c>
      <c r="G15" t="s">
        <v>134</v>
      </c>
      <c r="H15" s="69">
        <f t="shared" si="3"/>
        <v>4.9868844937813549E-6</v>
      </c>
    </row>
    <row r="16" spans="1:10" ht="15.6" x14ac:dyDescent="0.3">
      <c r="A16" s="57" t="s">
        <v>22</v>
      </c>
      <c r="B16" s="11" t="s">
        <v>121</v>
      </c>
      <c r="C16" s="68">
        <v>0.340334919162602</v>
      </c>
      <c r="F16" s="57" t="s">
        <v>22</v>
      </c>
      <c r="G16" t="s">
        <v>134</v>
      </c>
      <c r="H16" s="69">
        <f t="shared" si="3"/>
        <v>0.2057738148669</v>
      </c>
    </row>
    <row r="17" spans="1:10" ht="15.6" x14ac:dyDescent="0.3">
      <c r="A17" s="57" t="s">
        <v>23</v>
      </c>
      <c r="B17" s="11" t="s">
        <v>121</v>
      </c>
      <c r="C17" s="68">
        <v>0.196503196592961</v>
      </c>
      <c r="F17" s="57" t="s">
        <v>23</v>
      </c>
      <c r="G17" t="s">
        <v>134</v>
      </c>
      <c r="H17" s="69">
        <f t="shared" si="3"/>
        <v>0.22927201460159802</v>
      </c>
    </row>
    <row r="18" spans="1:10" ht="15.6" x14ac:dyDescent="0.3">
      <c r="A18" s="57" t="s">
        <v>132</v>
      </c>
      <c r="B18" s="11" t="s">
        <v>121</v>
      </c>
      <c r="C18" s="68">
        <v>0.102340843581381</v>
      </c>
      <c r="F18" s="57" t="s">
        <v>132</v>
      </c>
      <c r="G18" t="s">
        <v>134</v>
      </c>
      <c r="H18" s="69">
        <f t="shared" si="3"/>
        <v>0</v>
      </c>
    </row>
    <row r="19" spans="1:10" ht="15.6" x14ac:dyDescent="0.3">
      <c r="A19" s="57" t="s">
        <v>131</v>
      </c>
      <c r="B19" s="11" t="s">
        <v>121</v>
      </c>
      <c r="C19" s="68">
        <v>2.09947837188195E-2</v>
      </c>
      <c r="F19" s="57" t="s">
        <v>131</v>
      </c>
      <c r="G19" t="s">
        <v>134</v>
      </c>
      <c r="H19" s="69">
        <f t="shared" si="3"/>
        <v>0</v>
      </c>
    </row>
    <row r="20" spans="1:10" ht="15.6" x14ac:dyDescent="0.3">
      <c r="A20" s="57" t="s">
        <v>12</v>
      </c>
      <c r="B20" s="11" t="s">
        <v>121</v>
      </c>
      <c r="C20" s="68">
        <v>1.0332824671115E-2</v>
      </c>
      <c r="F20" s="57" t="s">
        <v>12</v>
      </c>
      <c r="G20" t="s">
        <v>134</v>
      </c>
      <c r="H20" s="69">
        <f t="shared" si="3"/>
        <v>5.7399040523423402E-3</v>
      </c>
    </row>
    <row r="21" spans="1:10" ht="15.6" x14ac:dyDescent="0.3">
      <c r="A21" s="57" t="s">
        <v>117</v>
      </c>
      <c r="B21" s="11" t="s">
        <v>121</v>
      </c>
      <c r="C21" s="68">
        <v>1.7553833418110398E-2</v>
      </c>
      <c r="F21" s="57" t="s">
        <v>117</v>
      </c>
      <c r="G21" t="s">
        <v>134</v>
      </c>
      <c r="H21" s="69">
        <f t="shared" si="3"/>
        <v>0</v>
      </c>
    </row>
    <row r="22" spans="1:10" ht="15.6" x14ac:dyDescent="0.3">
      <c r="A22" s="57" t="s">
        <v>36</v>
      </c>
      <c r="B22" s="11" t="s">
        <v>121</v>
      </c>
      <c r="C22" s="68">
        <v>2.87344284531682E-2</v>
      </c>
      <c r="F22" s="57" t="s">
        <v>36</v>
      </c>
      <c r="G22" t="s">
        <v>134</v>
      </c>
      <c r="H22" s="69">
        <f t="shared" si="3"/>
        <v>3.7900322152738302E-4</v>
      </c>
    </row>
    <row r="23" spans="1:10" ht="15.6" x14ac:dyDescent="0.3">
      <c r="A23" s="57" t="s">
        <v>66</v>
      </c>
      <c r="B23" s="11" t="s">
        <v>121</v>
      </c>
      <c r="C23" s="68">
        <v>1.01832181363015E-2</v>
      </c>
      <c r="F23" s="57" t="s">
        <v>66</v>
      </c>
      <c r="G23" t="s">
        <v>134</v>
      </c>
      <c r="H23" s="69">
        <f t="shared" si="3"/>
        <v>1.4960653481344055E-5</v>
      </c>
    </row>
    <row r="24" spans="1:10" ht="15.6" x14ac:dyDescent="0.3">
      <c r="A24" s="57" t="s">
        <v>41</v>
      </c>
      <c r="B24" s="11" t="s">
        <v>122</v>
      </c>
      <c r="C24" s="68">
        <v>9.3753428483089492E-3</v>
      </c>
    </row>
    <row r="25" spans="1:10" ht="15.6" x14ac:dyDescent="0.3">
      <c r="A25" s="57" t="s">
        <v>13</v>
      </c>
      <c r="B25" s="11" t="s">
        <v>122</v>
      </c>
      <c r="C25" s="68">
        <v>2.267037690873E-2</v>
      </c>
      <c r="I25" s="69">
        <f>MIN(I2:I12)</f>
        <v>5.4032893490121034E-3</v>
      </c>
      <c r="J25" s="69">
        <v>5.4032893490121E-3</v>
      </c>
    </row>
    <row r="26" spans="1:10" ht="15.6" x14ac:dyDescent="0.3">
      <c r="A26" s="57" t="s">
        <v>14</v>
      </c>
      <c r="B26" s="11" t="s">
        <v>122</v>
      </c>
      <c r="C26" s="68">
        <v>9.9737689875627098E-6</v>
      </c>
      <c r="I26">
        <f>MAX(I2:I12)</f>
        <v>0.19212221856517347</v>
      </c>
      <c r="J26">
        <v>0.192122218565173</v>
      </c>
    </row>
    <row r="27" spans="1:10" ht="15.6" x14ac:dyDescent="0.3">
      <c r="A27" s="57" t="s">
        <v>22</v>
      </c>
      <c r="B27" s="11" t="s">
        <v>122</v>
      </c>
      <c r="C27" s="68">
        <v>0.26027547549943603</v>
      </c>
    </row>
    <row r="28" spans="1:10" ht="15.6" x14ac:dyDescent="0.3">
      <c r="A28" s="57" t="s">
        <v>23</v>
      </c>
      <c r="B28" s="11" t="s">
        <v>122</v>
      </c>
      <c r="C28" s="68">
        <v>0.29666975853505301</v>
      </c>
    </row>
    <row r="29" spans="1:10" ht="15.6" x14ac:dyDescent="0.3">
      <c r="A29" s="57" t="s">
        <v>132</v>
      </c>
      <c r="B29" s="11" t="s">
        <v>122</v>
      </c>
      <c r="C29" s="68">
        <v>0</v>
      </c>
    </row>
    <row r="30" spans="1:10" ht="15.6" x14ac:dyDescent="0.3">
      <c r="A30" s="57" t="s">
        <v>131</v>
      </c>
      <c r="B30" s="11" t="s">
        <v>122</v>
      </c>
      <c r="C30" s="68">
        <v>0</v>
      </c>
    </row>
    <row r="31" spans="1:10" ht="15.6" x14ac:dyDescent="0.3">
      <c r="A31" s="57" t="s">
        <v>12</v>
      </c>
      <c r="B31" s="11" t="s">
        <v>122</v>
      </c>
      <c r="C31" s="68">
        <v>7.7296709653611002E-3</v>
      </c>
    </row>
    <row r="32" spans="1:10" ht="15.6" x14ac:dyDescent="0.3">
      <c r="A32" s="57" t="s">
        <v>117</v>
      </c>
      <c r="B32" s="11" t="s">
        <v>122</v>
      </c>
      <c r="C32" s="68">
        <v>0</v>
      </c>
    </row>
    <row r="33" spans="1:3" ht="15.6" x14ac:dyDescent="0.3">
      <c r="A33" s="57" t="s">
        <v>36</v>
      </c>
      <c r="B33" s="11" t="s">
        <v>122</v>
      </c>
      <c r="C33" s="68">
        <v>7.5800644305476603E-4</v>
      </c>
    </row>
    <row r="34" spans="1:3" ht="15.6" x14ac:dyDescent="0.3">
      <c r="A34" s="57" t="s">
        <v>66</v>
      </c>
      <c r="B34" s="11" t="s">
        <v>122</v>
      </c>
      <c r="C34" s="68">
        <v>1.9947537975125399E-5</v>
      </c>
    </row>
    <row r="35" spans="1:3" ht="15.6" x14ac:dyDescent="0.3">
      <c r="A35" s="57" t="s">
        <v>41</v>
      </c>
      <c r="B35" s="11" t="s">
        <v>123</v>
      </c>
      <c r="C35" s="68">
        <v>3.8498748291992098E-3</v>
      </c>
    </row>
    <row r="36" spans="1:3" ht="15.6" x14ac:dyDescent="0.3">
      <c r="A36" s="57" t="s">
        <v>13</v>
      </c>
      <c r="B36" s="11" t="s">
        <v>123</v>
      </c>
      <c r="C36" s="68">
        <v>2.267037690873E-2</v>
      </c>
    </row>
    <row r="37" spans="1:3" ht="15.6" x14ac:dyDescent="0.3">
      <c r="A37" s="57" t="s">
        <v>14</v>
      </c>
      <c r="B37" s="11" t="s">
        <v>123</v>
      </c>
      <c r="C37" s="68">
        <v>0</v>
      </c>
    </row>
    <row r="38" spans="1:3" ht="15.6" x14ac:dyDescent="0.3">
      <c r="A38" s="57" t="s">
        <v>22</v>
      </c>
      <c r="B38" s="11" t="s">
        <v>123</v>
      </c>
      <c r="C38" s="68">
        <v>0.15127215423436399</v>
      </c>
    </row>
    <row r="39" spans="1:3" ht="15.6" x14ac:dyDescent="0.3">
      <c r="A39" s="57" t="s">
        <v>23</v>
      </c>
      <c r="B39" s="11" t="s">
        <v>123</v>
      </c>
      <c r="C39" s="68">
        <v>0.161874270668143</v>
      </c>
    </row>
    <row r="40" spans="1:3" ht="15.6" x14ac:dyDescent="0.3">
      <c r="A40" s="57" t="s">
        <v>132</v>
      </c>
      <c r="B40" s="11" t="s">
        <v>123</v>
      </c>
      <c r="C40" s="68">
        <v>0</v>
      </c>
    </row>
    <row r="41" spans="1:3" ht="15.6" x14ac:dyDescent="0.3">
      <c r="A41" s="57" t="s">
        <v>131</v>
      </c>
      <c r="B41" s="11" t="s">
        <v>123</v>
      </c>
      <c r="C41" s="68">
        <v>0</v>
      </c>
    </row>
    <row r="42" spans="1:3" ht="15.6" x14ac:dyDescent="0.3">
      <c r="A42" s="57" t="s">
        <v>12</v>
      </c>
      <c r="B42" s="11" t="s">
        <v>123</v>
      </c>
      <c r="C42" s="68">
        <v>3.7501371393235802E-3</v>
      </c>
    </row>
    <row r="43" spans="1:3" ht="15.6" x14ac:dyDescent="0.3">
      <c r="A43" s="57" t="s">
        <v>117</v>
      </c>
      <c r="B43" s="11" t="s">
        <v>123</v>
      </c>
      <c r="C43" s="68">
        <v>0</v>
      </c>
    </row>
    <row r="44" spans="1:3" ht="15.6" x14ac:dyDescent="0.3">
      <c r="A44" s="57" t="s">
        <v>36</v>
      </c>
      <c r="B44" s="11" t="s">
        <v>123</v>
      </c>
      <c r="C44" s="68">
        <v>0</v>
      </c>
    </row>
    <row r="45" spans="1:3" ht="15.6" x14ac:dyDescent="0.3">
      <c r="A45" s="57" t="s">
        <v>66</v>
      </c>
      <c r="B45" s="11" t="s">
        <v>123</v>
      </c>
      <c r="C45" s="68">
        <v>9.9737689875627098E-6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3E19-DE15-470D-B7E4-20E0DBFAC018}">
  <dimension ref="A1:R27"/>
  <sheetViews>
    <sheetView workbookViewId="0">
      <selection activeCell="J13" sqref="J13:J23"/>
    </sheetView>
  </sheetViews>
  <sheetFormatPr defaultRowHeight="14.4" x14ac:dyDescent="0.3"/>
  <cols>
    <col min="1" max="1" width="10.5546875" bestFit="1" customWidth="1"/>
    <col min="2" max="2" width="12.88671875" bestFit="1" customWidth="1"/>
    <col min="3" max="3" width="7" bestFit="1" customWidth="1"/>
    <col min="4" max="4" width="8.109375" bestFit="1" customWidth="1"/>
    <col min="5" max="5" width="7" bestFit="1" customWidth="1"/>
    <col min="6" max="6" width="9" bestFit="1" customWidth="1"/>
    <col min="7" max="7" width="12" bestFit="1" customWidth="1"/>
    <col min="8" max="8" width="11.44140625" bestFit="1" customWidth="1"/>
    <col min="9" max="9" width="9" bestFit="1" customWidth="1"/>
    <col min="10" max="10" width="10" bestFit="1" customWidth="1"/>
    <col min="11" max="11" width="9.88671875" bestFit="1" customWidth="1"/>
    <col min="12" max="12" width="8" bestFit="1" customWidth="1"/>
  </cols>
  <sheetData>
    <row r="1" spans="1:12" s="57" customFormat="1" ht="15.6" x14ac:dyDescent="0.3">
      <c r="A1" s="57" t="s">
        <v>89</v>
      </c>
      <c r="B1" s="57" t="s">
        <v>41</v>
      </c>
      <c r="C1" s="57" t="s">
        <v>13</v>
      </c>
      <c r="D1" s="57" t="s">
        <v>14</v>
      </c>
      <c r="E1" s="57" t="s">
        <v>22</v>
      </c>
      <c r="F1" s="57" t="s">
        <v>23</v>
      </c>
      <c r="G1" s="57" t="s">
        <v>132</v>
      </c>
      <c r="H1" s="57" t="s">
        <v>131</v>
      </c>
      <c r="I1" s="57" t="s">
        <v>12</v>
      </c>
      <c r="J1" s="57" t="s">
        <v>117</v>
      </c>
      <c r="K1" s="57" t="s">
        <v>36</v>
      </c>
      <c r="L1" s="57" t="s">
        <v>66</v>
      </c>
    </row>
    <row r="2" spans="1:12" x14ac:dyDescent="0.3">
      <c r="A2" t="s">
        <v>120</v>
      </c>
      <c r="B2">
        <v>15402</v>
      </c>
      <c r="C2">
        <v>763</v>
      </c>
      <c r="D2">
        <v>18634</v>
      </c>
      <c r="E2">
        <v>463587</v>
      </c>
      <c r="F2">
        <v>8554</v>
      </c>
      <c r="G2">
        <v>33196</v>
      </c>
      <c r="H2">
        <v>26895</v>
      </c>
      <c r="I2">
        <v>64975</v>
      </c>
      <c r="J2">
        <v>20113</v>
      </c>
      <c r="K2">
        <v>49668</v>
      </c>
      <c r="L2">
        <v>8765</v>
      </c>
    </row>
    <row r="3" spans="1:12" x14ac:dyDescent="0.3">
      <c r="A3" t="s">
        <v>121</v>
      </c>
      <c r="B3">
        <v>10542</v>
      </c>
      <c r="C3">
        <v>763</v>
      </c>
      <c r="D3">
        <v>23986</v>
      </c>
      <c r="E3">
        <v>448482</v>
      </c>
      <c r="F3">
        <v>39239</v>
      </c>
      <c r="G3">
        <v>41471</v>
      </c>
      <c r="H3">
        <v>23212</v>
      </c>
      <c r="I3">
        <v>33580</v>
      </c>
      <c r="J3">
        <v>68703</v>
      </c>
      <c r="K3">
        <v>28985</v>
      </c>
      <c r="L3">
        <v>4114</v>
      </c>
    </row>
    <row r="4" spans="1:12" x14ac:dyDescent="0.3">
      <c r="A4" t="s">
        <v>122</v>
      </c>
      <c r="B4">
        <v>562</v>
      </c>
      <c r="C4">
        <v>763</v>
      </c>
      <c r="D4">
        <v>282</v>
      </c>
      <c r="E4">
        <v>378871</v>
      </c>
      <c r="F4">
        <v>62101</v>
      </c>
      <c r="G4">
        <v>0</v>
      </c>
      <c r="H4">
        <v>0</v>
      </c>
      <c r="I4">
        <v>4876</v>
      </c>
      <c r="J4">
        <v>18277</v>
      </c>
      <c r="K4">
        <v>137</v>
      </c>
      <c r="L4">
        <v>167</v>
      </c>
    </row>
    <row r="5" spans="1:12" x14ac:dyDescent="0.3">
      <c r="A5" t="s">
        <v>123</v>
      </c>
      <c r="B5">
        <v>85</v>
      </c>
      <c r="C5">
        <v>763</v>
      </c>
      <c r="D5">
        <v>2</v>
      </c>
      <c r="E5">
        <v>332268</v>
      </c>
      <c r="F5">
        <v>21139</v>
      </c>
      <c r="G5">
        <v>0</v>
      </c>
      <c r="H5">
        <v>0</v>
      </c>
      <c r="I5">
        <v>1886</v>
      </c>
      <c r="J5">
        <v>266</v>
      </c>
      <c r="K5">
        <v>12</v>
      </c>
      <c r="L5">
        <v>383</v>
      </c>
    </row>
    <row r="6" spans="1:12" s="52" customFormat="1" x14ac:dyDescent="0.3">
      <c r="A6" s="52" t="s">
        <v>86</v>
      </c>
      <c r="B6" s="52">
        <f>SUM(B2,B3,B4,B5)/4</f>
        <v>6647.75</v>
      </c>
      <c r="C6" s="52">
        <f>SUM(C2,C3,C4,C5)/4</f>
        <v>763</v>
      </c>
      <c r="D6" s="52">
        <f>SUM(D2,D3,D4,D5)/4</f>
        <v>10726</v>
      </c>
      <c r="E6" s="52">
        <f>SUM(E2,E3,E4,E5)/4</f>
        <v>405802</v>
      </c>
      <c r="F6" s="52">
        <f>SUM(F2,F3,F4,F5)/4</f>
        <v>32758.25</v>
      </c>
      <c r="G6" s="52">
        <f>SUM(G2,G3)/2</f>
        <v>37333.5</v>
      </c>
      <c r="H6" s="52">
        <f>SUM(H2,H3)/2</f>
        <v>25053.5</v>
      </c>
      <c r="I6" s="52">
        <f>SUM(I2,I3,I4,I5)/4</f>
        <v>26329.25</v>
      </c>
      <c r="J6" s="52">
        <f>SUM(J2,J3,J4,J5)/4</f>
        <v>26839.75</v>
      </c>
      <c r="K6" s="52">
        <f>SUM(K2,K3,K4,K5)/4</f>
        <v>19700.5</v>
      </c>
      <c r="L6" s="52">
        <f>SUM(L2,L3,L4,L5)/4</f>
        <v>3357.25</v>
      </c>
    </row>
    <row r="12" spans="1:12" ht="15.6" x14ac:dyDescent="0.3">
      <c r="F12" s="70" t="s">
        <v>114</v>
      </c>
      <c r="G12" t="s">
        <v>120</v>
      </c>
      <c r="H12" t="s">
        <v>121</v>
      </c>
      <c r="I12" t="s">
        <v>122</v>
      </c>
      <c r="J12" t="s">
        <v>123</v>
      </c>
      <c r="K12" t="s">
        <v>86</v>
      </c>
    </row>
    <row r="13" spans="1:12" ht="15.6" x14ac:dyDescent="0.3">
      <c r="F13" s="70" t="s">
        <v>41</v>
      </c>
      <c r="G13">
        <v>15402</v>
      </c>
      <c r="H13">
        <v>10542</v>
      </c>
      <c r="I13">
        <v>562</v>
      </c>
      <c r="J13">
        <v>85</v>
      </c>
      <c r="K13" s="52">
        <f>SUM(G13,H13,I13,J13)/4</f>
        <v>6647.75</v>
      </c>
    </row>
    <row r="14" spans="1:12" ht="15.6" x14ac:dyDescent="0.3">
      <c r="F14" s="70" t="s">
        <v>13</v>
      </c>
      <c r="G14">
        <v>763</v>
      </c>
      <c r="H14">
        <v>763</v>
      </c>
      <c r="I14">
        <v>763</v>
      </c>
      <c r="J14">
        <v>763</v>
      </c>
      <c r="K14" s="52">
        <f>SUM(G14,H14,I14,J14)/4</f>
        <v>763</v>
      </c>
    </row>
    <row r="15" spans="1:12" ht="15.6" x14ac:dyDescent="0.3">
      <c r="F15" s="70" t="s">
        <v>14</v>
      </c>
      <c r="G15">
        <v>18634</v>
      </c>
      <c r="H15">
        <v>23986</v>
      </c>
      <c r="I15">
        <v>282</v>
      </c>
      <c r="J15">
        <v>2</v>
      </c>
      <c r="K15" s="52">
        <f>SUM(G15,H15,I15,J15)/4</f>
        <v>10726</v>
      </c>
    </row>
    <row r="16" spans="1:12" ht="15.6" x14ac:dyDescent="0.3">
      <c r="F16" s="70" t="s">
        <v>22</v>
      </c>
      <c r="G16">
        <v>463587</v>
      </c>
      <c r="H16">
        <v>448482</v>
      </c>
      <c r="I16">
        <v>378871</v>
      </c>
      <c r="J16">
        <v>332268</v>
      </c>
      <c r="K16" s="52">
        <f>SUM(G16,H16,I16,J16)/4</f>
        <v>405802</v>
      </c>
    </row>
    <row r="17" spans="6:18" ht="15.6" x14ac:dyDescent="0.3">
      <c r="F17" s="70" t="s">
        <v>23</v>
      </c>
      <c r="G17">
        <v>8554</v>
      </c>
      <c r="H17">
        <v>39239</v>
      </c>
      <c r="I17">
        <v>62101</v>
      </c>
      <c r="J17">
        <v>21139</v>
      </c>
      <c r="K17" s="52">
        <f>SUM(G17,H17,I17,J17)/4</f>
        <v>32758.25</v>
      </c>
      <c r="L17" s="57"/>
      <c r="M17" s="57"/>
      <c r="N17" s="57"/>
      <c r="O17" s="57"/>
      <c r="P17" s="57"/>
      <c r="Q17" s="57"/>
      <c r="R17" s="57"/>
    </row>
    <row r="18" spans="6:18" ht="15.6" x14ac:dyDescent="0.3">
      <c r="F18" s="70" t="s">
        <v>84</v>
      </c>
      <c r="G18">
        <v>33196</v>
      </c>
      <c r="H18">
        <v>41471</v>
      </c>
      <c r="I18">
        <v>0</v>
      </c>
      <c r="J18">
        <v>0</v>
      </c>
      <c r="K18" s="52">
        <f>SUM(G18,H18)/2</f>
        <v>37333.5</v>
      </c>
      <c r="L18" s="57"/>
      <c r="M18" s="57"/>
      <c r="N18" s="57"/>
      <c r="O18" s="57"/>
      <c r="P18" s="57"/>
      <c r="Q18" s="57"/>
      <c r="R18" s="57"/>
    </row>
    <row r="19" spans="6:18" ht="15.6" x14ac:dyDescent="0.3">
      <c r="F19" s="70" t="s">
        <v>17</v>
      </c>
      <c r="G19">
        <v>26895</v>
      </c>
      <c r="H19">
        <v>23212</v>
      </c>
      <c r="I19">
        <v>0</v>
      </c>
      <c r="J19">
        <v>0</v>
      </c>
      <c r="K19" s="52">
        <f>SUM(G19,H19)/2</f>
        <v>25053.5</v>
      </c>
      <c r="L19" s="57"/>
      <c r="M19" s="57"/>
      <c r="N19" s="57"/>
      <c r="O19" s="57"/>
      <c r="P19" s="57"/>
      <c r="Q19" s="57"/>
      <c r="R19" s="57"/>
    </row>
    <row r="20" spans="6:18" ht="15.6" x14ac:dyDescent="0.3">
      <c r="F20" s="70" t="s">
        <v>12</v>
      </c>
      <c r="G20">
        <v>64975</v>
      </c>
      <c r="H20">
        <v>33580</v>
      </c>
      <c r="I20">
        <v>4876</v>
      </c>
      <c r="J20">
        <v>1886</v>
      </c>
      <c r="K20" s="52">
        <f>SUM(G20,H20,I20,J20)/4</f>
        <v>26329.25</v>
      </c>
      <c r="L20" s="57"/>
      <c r="M20" s="57"/>
      <c r="N20" s="57"/>
      <c r="O20" s="57"/>
      <c r="P20" s="57"/>
      <c r="Q20" s="57"/>
      <c r="R20" s="57"/>
    </row>
    <row r="21" spans="6:18" ht="15.6" x14ac:dyDescent="0.3">
      <c r="F21" s="70" t="s">
        <v>117</v>
      </c>
      <c r="G21">
        <v>20113</v>
      </c>
      <c r="H21">
        <v>68703</v>
      </c>
      <c r="I21">
        <v>18277</v>
      </c>
      <c r="J21">
        <v>266</v>
      </c>
      <c r="K21" s="52">
        <f>SUM(G21,H21,I21,J21)/4</f>
        <v>26839.75</v>
      </c>
      <c r="L21" s="57"/>
      <c r="M21" s="57"/>
      <c r="N21" s="57"/>
      <c r="O21" s="57"/>
      <c r="P21" s="57"/>
      <c r="Q21" s="57"/>
      <c r="R21" s="57"/>
    </row>
    <row r="22" spans="6:18" ht="15.6" x14ac:dyDescent="0.3">
      <c r="F22" s="70" t="s">
        <v>36</v>
      </c>
      <c r="G22">
        <v>49668</v>
      </c>
      <c r="H22">
        <v>28985</v>
      </c>
      <c r="I22">
        <v>137</v>
      </c>
      <c r="J22">
        <v>12</v>
      </c>
      <c r="K22" s="52">
        <f>SUM(G22,H22,I22,J22)/4</f>
        <v>19700.5</v>
      </c>
      <c r="L22" s="57"/>
      <c r="M22" s="57"/>
      <c r="N22" s="57"/>
      <c r="O22" s="57"/>
      <c r="P22" s="57"/>
      <c r="Q22" s="57"/>
      <c r="R22" s="57"/>
    </row>
    <row r="23" spans="6:18" ht="15.6" x14ac:dyDescent="0.3">
      <c r="F23" s="70" t="s">
        <v>66</v>
      </c>
      <c r="G23">
        <v>8765</v>
      </c>
      <c r="H23">
        <v>4114</v>
      </c>
      <c r="I23">
        <v>167</v>
      </c>
      <c r="J23">
        <v>383</v>
      </c>
      <c r="K23" s="52">
        <f>SUM(G23,H23,I23,J23)/4</f>
        <v>3357.25</v>
      </c>
      <c r="L23" s="57"/>
      <c r="M23" s="57"/>
      <c r="N23" s="57"/>
      <c r="O23" s="57"/>
      <c r="P23" s="57"/>
      <c r="Q23" s="57"/>
      <c r="R23" s="57"/>
    </row>
    <row r="24" spans="6:18" ht="15.6" x14ac:dyDescent="0.3"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</row>
    <row r="25" spans="6:18" ht="15.6" x14ac:dyDescent="0.3"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</row>
    <row r="26" spans="6:18" ht="15.6" x14ac:dyDescent="0.3"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</row>
    <row r="27" spans="6:18" ht="15.6" x14ac:dyDescent="0.3"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5214-45EF-4602-83A4-951972D2E85F}">
  <dimension ref="A1:R45"/>
  <sheetViews>
    <sheetView tabSelected="1" workbookViewId="0">
      <selection activeCell="E2" sqref="E2"/>
    </sheetView>
  </sheetViews>
  <sheetFormatPr defaultRowHeight="15.6" x14ac:dyDescent="0.3"/>
  <cols>
    <col min="1" max="1" width="14.21875" style="11" bestFit="1" customWidth="1"/>
    <col min="2" max="2" width="11" style="11" bestFit="1" customWidth="1"/>
    <col min="3" max="3" width="11.77734375" style="11" bestFit="1" customWidth="1"/>
    <col min="4" max="4" width="19.5546875" style="11" bestFit="1" customWidth="1"/>
    <col min="5" max="5" width="13.33203125" style="11" bestFit="1" customWidth="1"/>
    <col min="6" max="10" width="13.33203125" style="11" customWidth="1"/>
    <col min="11" max="11" width="17.77734375" style="11" bestFit="1" customWidth="1"/>
    <col min="12" max="13" width="17.77734375" style="11" customWidth="1"/>
    <col min="14" max="14" width="23.44140625" style="11" bestFit="1" customWidth="1"/>
    <col min="15" max="15" width="19.5546875" style="11" bestFit="1" customWidth="1"/>
    <col min="16" max="16" width="14.33203125" style="11" bestFit="1" customWidth="1"/>
    <col min="17" max="17" width="19.5546875" style="11" bestFit="1" customWidth="1"/>
    <col min="18" max="18" width="13.33203125" style="11" bestFit="1" customWidth="1"/>
    <col min="19" max="16384" width="8.88671875" style="11"/>
  </cols>
  <sheetData>
    <row r="1" spans="1:18" x14ac:dyDescent="0.3">
      <c r="A1" s="70" t="s">
        <v>114</v>
      </c>
      <c r="B1" s="11" t="s">
        <v>89</v>
      </c>
      <c r="C1" s="11" t="s">
        <v>143</v>
      </c>
      <c r="D1" s="11" t="s">
        <v>105</v>
      </c>
      <c r="E1" s="11" t="s">
        <v>144</v>
      </c>
      <c r="F1" s="11" t="s">
        <v>147</v>
      </c>
      <c r="G1" s="11" t="s">
        <v>86</v>
      </c>
      <c r="H1" s="11" t="s">
        <v>103</v>
      </c>
      <c r="I1" s="11" t="s">
        <v>104</v>
      </c>
      <c r="J1" s="11" t="s">
        <v>148</v>
      </c>
      <c r="K1" s="11" t="s">
        <v>149</v>
      </c>
      <c r="L1" s="11" t="s">
        <v>103</v>
      </c>
      <c r="M1" s="11" t="s">
        <v>104</v>
      </c>
      <c r="N1" s="11" t="s">
        <v>150</v>
      </c>
      <c r="O1" s="11" t="s">
        <v>142</v>
      </c>
      <c r="P1" s="11" t="s">
        <v>145</v>
      </c>
      <c r="Q1" s="11" t="s">
        <v>107</v>
      </c>
      <c r="R1" s="11" t="s">
        <v>146</v>
      </c>
    </row>
    <row r="2" spans="1:18" x14ac:dyDescent="0.3">
      <c r="A2" s="57" t="s">
        <v>41</v>
      </c>
      <c r="B2" s="11" t="s">
        <v>120</v>
      </c>
      <c r="C2">
        <v>15402</v>
      </c>
      <c r="D2" s="68">
        <v>5.96500301698129E-2</v>
      </c>
      <c r="E2" s="11">
        <f>D2/C2</f>
        <v>3.8728756115967342E-6</v>
      </c>
      <c r="F2" s="11">
        <f>SUM(E2,E13)/2</f>
        <v>4.1927141318158971E-6</v>
      </c>
      <c r="G2" s="11">
        <f>AVERAGE(E2,E13,E24,E33)</f>
        <v>1.4225995071279397E-5</v>
      </c>
      <c r="H2" s="11">
        <f>MIN(G2:G12)</f>
        <v>2.5754746443958864E-7</v>
      </c>
      <c r="I2" s="11">
        <f>MAX(G2:G12)</f>
        <v>4.917080311173937E-4</v>
      </c>
      <c r="J2" s="11">
        <f>(G2-H2)/(I2-H2)*100</f>
        <v>2.8422899298037643</v>
      </c>
      <c r="K2" s="11">
        <f>AVERAGE(F2,F24)/2</f>
        <v>7.1129975356396992E-6</v>
      </c>
      <c r="L2" s="11">
        <f>MIN(K2,K2:K12)</f>
        <v>1.2877373221979432E-7</v>
      </c>
      <c r="M2" s="11">
        <f>MAX(K2:K12)</f>
        <v>2.4585401555869679E-4</v>
      </c>
      <c r="N2" s="11">
        <f>(K2-L2)/(M2-L2)*100</f>
        <v>2.8422899298037647</v>
      </c>
      <c r="O2" s="68">
        <v>0.21640733086238401</v>
      </c>
      <c r="P2" s="11">
        <f>O2/C2</f>
        <v>1.4050599328813401E-5</v>
      </c>
      <c r="Q2" s="68">
        <v>2.0805282108055798E-2</v>
      </c>
      <c r="R2" s="11">
        <f t="shared" ref="R2:R41" si="0">Q2/C2</f>
        <v>1.3508169139109076E-6</v>
      </c>
    </row>
    <row r="3" spans="1:18" x14ac:dyDescent="0.3">
      <c r="A3" s="57" t="s">
        <v>13</v>
      </c>
      <c r="B3" s="11" t="s">
        <v>120</v>
      </c>
      <c r="C3">
        <v>763</v>
      </c>
      <c r="D3" s="68">
        <v>2.2013188518231201E-2</v>
      </c>
      <c r="E3" s="11">
        <f t="shared" ref="E3:E41" si="1">D3/C3</f>
        <v>2.8850836852203409E-5</v>
      </c>
      <c r="F3" s="11">
        <f t="shared" ref="F3:F12" si="2">SUM(E3,E14)/2</f>
        <v>2.8850836852203409E-5</v>
      </c>
      <c r="G3" s="11">
        <f t="shared" ref="G3:G6" si="3">AVERAGE(E3,E14,E25,E34)</f>
        <v>2.1934685433521753E-5</v>
      </c>
      <c r="H3" s="11">
        <v>2.8318158500317659E-7</v>
      </c>
      <c r="I3" s="11">
        <v>2.9712158464914811E-5</v>
      </c>
      <c r="J3" s="11">
        <f t="shared" ref="J3:J12" si="4">(G3-H3)/(I3-H3)*100</f>
        <v>73.572057692899278</v>
      </c>
      <c r="K3" s="11">
        <f t="shared" ref="K3:K6" si="5">AVERAGE(F3,F25)/2</f>
        <v>1.0967342716760877E-5</v>
      </c>
      <c r="L3" s="11">
        <v>2.7828110740001048E-7</v>
      </c>
      <c r="M3" s="11">
        <v>3.5341430102732868E-5</v>
      </c>
      <c r="N3" s="11">
        <f t="shared" ref="N3:N12" si="6">(K3-L3)/(M3-L3)*100</f>
        <v>30.485172939782601</v>
      </c>
      <c r="O3" s="68">
        <v>6.2069790083181003E-2</v>
      </c>
      <c r="P3" s="11">
        <f t="shared" ref="P2:P41" si="7">O3/C3</f>
        <v>8.1349659348861083E-5</v>
      </c>
      <c r="Q3" s="68">
        <v>2.267037690873E-2</v>
      </c>
      <c r="R3" s="11">
        <f t="shared" si="0"/>
        <v>2.9712158464914811E-5</v>
      </c>
    </row>
    <row r="4" spans="1:18" x14ac:dyDescent="0.3">
      <c r="A4" s="57" t="s">
        <v>14</v>
      </c>
      <c r="B4" s="11" t="s">
        <v>120</v>
      </c>
      <c r="C4">
        <v>18634</v>
      </c>
      <c r="D4" s="68">
        <v>5.7451943797948497E-2</v>
      </c>
      <c r="E4" s="11">
        <f t="shared" si="1"/>
        <v>3.0831782654260222E-6</v>
      </c>
      <c r="F4" s="11">
        <f t="shared" si="2"/>
        <v>2.8398279776536846E-6</v>
      </c>
      <c r="G4" s="11">
        <f t="shared" si="3"/>
        <v>4.917080311173937E-4</v>
      </c>
      <c r="H4" s="11">
        <v>2.8318158500317659E-7</v>
      </c>
      <c r="I4" s="11">
        <v>2.8850836852203409E-5</v>
      </c>
      <c r="J4" s="11">
        <f t="shared" si="4"/>
        <v>1720.2141545603733</v>
      </c>
      <c r="K4" s="11">
        <f t="shared" si="5"/>
        <v>2.4585401555869679E-4</v>
      </c>
      <c r="L4" s="11">
        <v>2.7828110740001048E-7</v>
      </c>
      <c r="M4" s="11">
        <v>3.5341430102732868E-5</v>
      </c>
      <c r="N4" s="11">
        <f t="shared" si="6"/>
        <v>700.38128772742175</v>
      </c>
      <c r="O4" s="68">
        <v>9.5325123405127499E-2</v>
      </c>
      <c r="P4" s="11">
        <f t="shared" si="7"/>
        <v>5.1156554365744066E-6</v>
      </c>
      <c r="Q4" s="68">
        <v>1.6426797522515801E-2</v>
      </c>
      <c r="R4" s="11">
        <f t="shared" si="0"/>
        <v>8.8154972214853506E-7</v>
      </c>
    </row>
    <row r="5" spans="1:18" x14ac:dyDescent="0.3">
      <c r="A5" s="57" t="s">
        <v>22</v>
      </c>
      <c r="B5" s="11" t="s">
        <v>120</v>
      </c>
      <c r="C5">
        <v>463587</v>
      </c>
      <c r="D5" s="68">
        <v>1.20679251788639E-3</v>
      </c>
      <c r="E5" s="11">
        <f t="shared" si="1"/>
        <v>2.6031629831863059E-9</v>
      </c>
      <c r="F5" s="11">
        <f t="shared" si="2"/>
        <v>9.4195564304880985E-8</v>
      </c>
      <c r="G5" s="11">
        <f t="shared" si="3"/>
        <v>2.5754746443958864E-7</v>
      </c>
      <c r="H5" s="11">
        <v>2.8318158500317659E-7</v>
      </c>
      <c r="I5" s="11">
        <v>2.8850836852203409E-5</v>
      </c>
      <c r="J5" s="11">
        <f t="shared" si="4"/>
        <v>-8.9731272391191275E-2</v>
      </c>
      <c r="K5" s="11">
        <f t="shared" si="5"/>
        <v>1.2877373221979432E-7</v>
      </c>
      <c r="L5" s="11">
        <v>2.7828110740001048E-7</v>
      </c>
      <c r="M5" s="11">
        <v>3.5341430102732868E-5</v>
      </c>
      <c r="N5" s="11">
        <f t="shared" si="6"/>
        <v>-0.42639460363390813</v>
      </c>
      <c r="O5" s="68">
        <v>1.87883239107042E-3</v>
      </c>
      <c r="P5" s="11">
        <f t="shared" si="7"/>
        <v>4.0528150941903464E-9</v>
      </c>
      <c r="Q5" s="68">
        <v>1.66063253642919E-2</v>
      </c>
      <c r="R5" s="11">
        <f t="shared" si="0"/>
        <v>3.5821378434451141E-8</v>
      </c>
    </row>
    <row r="6" spans="1:18" x14ac:dyDescent="0.3">
      <c r="A6" s="57" t="s">
        <v>23</v>
      </c>
      <c r="B6" s="11" t="s">
        <v>120</v>
      </c>
      <c r="C6">
        <v>8554</v>
      </c>
      <c r="D6" s="68">
        <v>4.2442461856736502E-2</v>
      </c>
      <c r="E6" s="11">
        <f t="shared" si="1"/>
        <v>4.9617093589825232E-6</v>
      </c>
      <c r="F6" s="11">
        <f t="shared" si="2"/>
        <v>4.3109100397409617E-6</v>
      </c>
      <c r="G6" s="11">
        <f t="shared" si="3"/>
        <v>3.9799175661384748E-6</v>
      </c>
      <c r="H6" s="11">
        <v>2.8318158500317659E-7</v>
      </c>
      <c r="I6" s="11">
        <v>2.8850836852203409E-5</v>
      </c>
      <c r="J6" s="11">
        <f t="shared" si="4"/>
        <v>12.940284901084203</v>
      </c>
      <c r="K6" s="11">
        <f t="shared" si="5"/>
        <v>1.9899587830692374E-6</v>
      </c>
      <c r="L6" s="11">
        <v>2.7828110740001048E-7</v>
      </c>
      <c r="M6" s="11">
        <v>3.5341430102732868E-5</v>
      </c>
      <c r="N6" s="11">
        <f t="shared" si="6"/>
        <v>4.8816998036801058</v>
      </c>
      <c r="O6" s="68">
        <v>0.137803815737783</v>
      </c>
      <c r="P6" s="11">
        <f t="shared" si="7"/>
        <v>1.6109868568831307E-5</v>
      </c>
      <c r="Q6" s="68">
        <v>4.9140759801721501E-2</v>
      </c>
      <c r="R6" s="11">
        <f t="shared" si="0"/>
        <v>5.744769675207096E-6</v>
      </c>
    </row>
    <row r="7" spans="1:18" x14ac:dyDescent="0.3">
      <c r="A7" s="57" t="s">
        <v>132</v>
      </c>
      <c r="B7" s="11" t="s">
        <v>120</v>
      </c>
      <c r="C7">
        <v>33196</v>
      </c>
      <c r="D7" s="68">
        <v>0.156624428928541</v>
      </c>
      <c r="E7" s="11">
        <f t="shared" si="1"/>
        <v>4.7181717354061036E-6</v>
      </c>
      <c r="F7" s="11">
        <f t="shared" si="2"/>
        <v>5.6815149925459296E-6</v>
      </c>
      <c r="G7" s="11">
        <f>AVERAGE(E7,E18)</f>
        <v>5.6815149925459296E-6</v>
      </c>
      <c r="H7" s="11">
        <v>2.8318158500317659E-7</v>
      </c>
      <c r="I7" s="11">
        <v>2.8850836852203409E-5</v>
      </c>
      <c r="J7" s="11">
        <f t="shared" si="4"/>
        <v>18.896662526381064</v>
      </c>
      <c r="K7" s="11">
        <f>AVERAGE(F7)</f>
        <v>5.6815149925459296E-6</v>
      </c>
      <c r="L7" s="11">
        <v>2.7828110740001048E-7</v>
      </c>
      <c r="M7" s="11">
        <v>3.5341430102732868E-5</v>
      </c>
      <c r="N7" s="11">
        <f t="shared" si="6"/>
        <v>15.410007486392985</v>
      </c>
      <c r="O7" s="68">
        <v>0.390404290569969</v>
      </c>
      <c r="P7" s="11">
        <f t="shared" si="7"/>
        <v>1.1760582316241987E-5</v>
      </c>
      <c r="Q7" s="68">
        <v>7.5990145916240301E-2</v>
      </c>
      <c r="R7" s="11">
        <f t="shared" si="0"/>
        <v>2.2891356162260602E-6</v>
      </c>
    </row>
    <row r="8" spans="1:18" x14ac:dyDescent="0.3">
      <c r="A8" s="57" t="s">
        <v>131</v>
      </c>
      <c r="B8" s="11" t="s">
        <v>120</v>
      </c>
      <c r="C8">
        <v>26895</v>
      </c>
      <c r="D8" s="68">
        <v>7.3485044392724796E-2</v>
      </c>
      <c r="E8" s="11">
        <f t="shared" si="1"/>
        <v>2.7322938982236397E-6</v>
      </c>
      <c r="F8" s="11">
        <f t="shared" si="2"/>
        <v>3.4912393223931459E-6</v>
      </c>
      <c r="G8" s="11">
        <f>AVERAGE(E8,E19)</f>
        <v>3.4912393223931459E-6</v>
      </c>
      <c r="H8" s="11">
        <v>2.8318158500317659E-7</v>
      </c>
      <c r="I8" s="11">
        <v>2.8850836852203409E-5</v>
      </c>
      <c r="J8" s="11">
        <f t="shared" si="4"/>
        <v>11.22968513650919</v>
      </c>
      <c r="K8" s="11">
        <f>AVERAGE(F8)</f>
        <v>3.4912393223931459E-6</v>
      </c>
      <c r="L8" s="11">
        <v>2.7828110740001048E-7</v>
      </c>
      <c r="M8" s="11">
        <v>3.5341430102732868E-5</v>
      </c>
      <c r="N8" s="11">
        <f t="shared" si="6"/>
        <v>9.1633475801640127</v>
      </c>
      <c r="O8" s="68">
        <v>0.14938425538456299</v>
      </c>
      <c r="P8" s="11">
        <f t="shared" si="7"/>
        <v>5.5543504511828588E-6</v>
      </c>
      <c r="Q8" s="68">
        <v>1.57884763073118E-2</v>
      </c>
      <c r="R8" s="11">
        <f t="shared" si="0"/>
        <v>5.8704132021981036E-7</v>
      </c>
    </row>
    <row r="9" spans="1:18" x14ac:dyDescent="0.3">
      <c r="A9" s="57" t="s">
        <v>12</v>
      </c>
      <c r="B9" s="11" t="s">
        <v>120</v>
      </c>
      <c r="C9">
        <v>64975</v>
      </c>
      <c r="D9" s="68">
        <v>4.80562020515473E-3</v>
      </c>
      <c r="E9" s="11">
        <f t="shared" si="1"/>
        <v>7.3961065104343667E-8</v>
      </c>
      <c r="F9" s="11">
        <f t="shared" si="2"/>
        <v>1.4816321129579944E-7</v>
      </c>
      <c r="G9" s="11">
        <f>AVERAGE(E9,E20,E29,E38)</f>
        <v>3.3997124861782839E-5</v>
      </c>
      <c r="H9" s="11">
        <v>2.8318158500317659E-7</v>
      </c>
      <c r="I9" s="11">
        <v>2.8850836852203409E-5</v>
      </c>
      <c r="J9" s="11">
        <f t="shared" si="4"/>
        <v>118.01438711523555</v>
      </c>
      <c r="K9" s="11">
        <f>AVERAGE(F9,F29)/2</f>
        <v>1.699856243089142E-5</v>
      </c>
      <c r="L9" s="11">
        <v>2.7828110740001048E-7</v>
      </c>
      <c r="M9" s="11">
        <v>3.5341430102732868E-5</v>
      </c>
      <c r="N9" s="11">
        <f t="shared" si="6"/>
        <v>47.686194202685535</v>
      </c>
      <c r="O9" s="68">
        <v>1.7695185064990501E-2</v>
      </c>
      <c r="P9" s="11">
        <f t="shared" si="7"/>
        <v>2.7233836190828015E-7</v>
      </c>
      <c r="Q9" s="68">
        <v>5.89449747164956E-3</v>
      </c>
      <c r="R9" s="11">
        <f t="shared" si="0"/>
        <v>9.0719468590220244E-8</v>
      </c>
    </row>
    <row r="10" spans="1:18" x14ac:dyDescent="0.3">
      <c r="A10" s="57" t="s">
        <v>117</v>
      </c>
      <c r="B10" s="11" t="s">
        <v>120</v>
      </c>
      <c r="C10">
        <v>20113</v>
      </c>
      <c r="D10" s="68">
        <v>0.106499439703474</v>
      </c>
      <c r="E10" s="11">
        <f t="shared" si="1"/>
        <v>5.2950549248483068E-6</v>
      </c>
      <c r="F10" s="11">
        <f t="shared" si="2"/>
        <v>3.531127503513531E-6</v>
      </c>
      <c r="G10" s="11">
        <f t="shared" ref="G10:G12" si="8">AVERAGE(E10,E21,E30,E39)</f>
        <v>3.5816875818728972E-4</v>
      </c>
      <c r="H10" s="11">
        <v>2.8318158500317659E-7</v>
      </c>
      <c r="I10" s="11">
        <v>2.8850836852203409E-5</v>
      </c>
      <c r="J10" s="11">
        <f t="shared" si="4"/>
        <v>1252.76496532493</v>
      </c>
      <c r="K10" s="11">
        <f t="shared" ref="K10:K11" si="9">AVERAGE(F10,F30)/2</f>
        <v>1.7908437909364486E-4</v>
      </c>
      <c r="L10" s="11">
        <v>2.7828110740001048E-7</v>
      </c>
      <c r="M10" s="11">
        <v>3.5341430102732868E-5</v>
      </c>
      <c r="N10" s="11">
        <f t="shared" si="6"/>
        <v>509.95447673580367</v>
      </c>
      <c r="O10" s="68">
        <v>0.24125915930790601</v>
      </c>
      <c r="P10" s="11">
        <f t="shared" si="7"/>
        <v>1.199518516918938E-5</v>
      </c>
      <c r="Q10" s="68">
        <v>2.1004757487807099E-2</v>
      </c>
      <c r="R10" s="11">
        <f t="shared" si="0"/>
        <v>1.0443373682596877E-6</v>
      </c>
    </row>
    <row r="11" spans="1:18" x14ac:dyDescent="0.3">
      <c r="A11" s="57" t="s">
        <v>36</v>
      </c>
      <c r="B11" s="11" t="s">
        <v>120</v>
      </c>
      <c r="C11">
        <v>49668</v>
      </c>
      <c r="D11" s="68">
        <v>9.1069735367640695E-2</v>
      </c>
      <c r="E11" s="11">
        <f t="shared" si="1"/>
        <v>1.8335696095602942E-6</v>
      </c>
      <c r="F11" s="11">
        <f t="shared" si="2"/>
        <v>3.1503948135655881E-6</v>
      </c>
      <c r="G11" s="11">
        <f t="shared" si="8"/>
        <v>2.4462099303611443E-5</v>
      </c>
      <c r="H11" s="11">
        <v>2.8318158500317659E-7</v>
      </c>
      <c r="I11" s="11">
        <v>2.8850836852203409E-5</v>
      </c>
      <c r="J11" s="11">
        <f t="shared" si="4"/>
        <v>84.637389706844914</v>
      </c>
      <c r="K11" s="11">
        <f t="shared" si="9"/>
        <v>1.2231049651805722E-5</v>
      </c>
      <c r="L11" s="11">
        <v>2.7828110740001048E-7</v>
      </c>
      <c r="M11" s="11">
        <v>3.5341430102732868E-5</v>
      </c>
      <c r="N11" s="11">
        <f t="shared" si="6"/>
        <v>34.089261480754928</v>
      </c>
      <c r="O11" s="68">
        <v>0.240575947529335</v>
      </c>
      <c r="P11" s="11">
        <f t="shared" si="7"/>
        <v>4.8436809923760771E-6</v>
      </c>
      <c r="Q11" s="68">
        <v>3.0798998633593599E-2</v>
      </c>
      <c r="R11" s="11">
        <f t="shared" si="0"/>
        <v>6.200974195376016E-7</v>
      </c>
    </row>
    <row r="12" spans="1:18" x14ac:dyDescent="0.3">
      <c r="A12" s="57" t="s">
        <v>66</v>
      </c>
      <c r="B12" s="11" t="s">
        <v>120</v>
      </c>
      <c r="C12">
        <v>8765</v>
      </c>
      <c r="D12" s="68">
        <v>6.4821998103611805E-2</v>
      </c>
      <c r="E12" s="11">
        <f t="shared" si="1"/>
        <v>7.3955502685238793E-6</v>
      </c>
      <c r="F12" s="11">
        <f t="shared" si="2"/>
        <v>1.0599075321407394E-5</v>
      </c>
      <c r="G12" s="11">
        <f t="shared" si="8"/>
        <v>5.2995376607036968E-6</v>
      </c>
      <c r="H12" s="11">
        <v>2.8318158500317659E-7</v>
      </c>
      <c r="I12" s="11">
        <v>2.8850836852203409E-5</v>
      </c>
      <c r="J12" s="11">
        <f t="shared" si="4"/>
        <v>17.559565280319021</v>
      </c>
      <c r="K12" s="11">
        <f>AVERAGE(F12,F32)/2</f>
        <v>2.6497688303518484E-6</v>
      </c>
      <c r="L12" s="11">
        <v>2.7828110740001048E-7</v>
      </c>
      <c r="M12" s="11">
        <v>3.5341430102732868E-5</v>
      </c>
      <c r="N12" s="11">
        <f t="shared" si="6"/>
        <v>6.7634761591649939</v>
      </c>
      <c r="O12" s="68">
        <v>0.145626590602422</v>
      </c>
      <c r="P12" s="11">
        <f t="shared" si="7"/>
        <v>1.661455682857068E-5</v>
      </c>
      <c r="Q12" s="68">
        <v>1.5828371383261999E-2</v>
      </c>
      <c r="R12" s="11">
        <f t="shared" si="0"/>
        <v>1.8058609678564745E-6</v>
      </c>
    </row>
    <row r="13" spans="1:18" x14ac:dyDescent="0.3">
      <c r="A13" s="57" t="s">
        <v>41</v>
      </c>
      <c r="B13" s="11" t="s">
        <v>121</v>
      </c>
      <c r="C13">
        <v>10542</v>
      </c>
      <c r="D13" s="68">
        <v>4.7571330057753602E-2</v>
      </c>
      <c r="E13" s="11">
        <f t="shared" si="1"/>
        <v>4.5125526520350599E-6</v>
      </c>
      <c r="O13" s="68">
        <v>0.20669271413243701</v>
      </c>
      <c r="P13" s="11">
        <f t="shared" si="7"/>
        <v>1.9606594017495448E-5</v>
      </c>
      <c r="Q13" s="68">
        <v>1.6007899225038199E-2</v>
      </c>
      <c r="R13" s="11">
        <f t="shared" si="0"/>
        <v>1.518487879438266E-6</v>
      </c>
    </row>
    <row r="14" spans="1:18" x14ac:dyDescent="0.3">
      <c r="A14" s="57" t="s">
        <v>13</v>
      </c>
      <c r="B14" s="11" t="s">
        <v>121</v>
      </c>
      <c r="C14">
        <v>763</v>
      </c>
      <c r="D14" s="68">
        <v>2.2013188518231201E-2</v>
      </c>
      <c r="E14" s="11">
        <f t="shared" si="1"/>
        <v>2.8850836852203409E-5</v>
      </c>
      <c r="O14" s="68">
        <v>4.5792254590359703E-2</v>
      </c>
      <c r="P14" s="11">
        <f t="shared" si="7"/>
        <v>6.0016061062070381E-5</v>
      </c>
      <c r="Q14" s="68">
        <v>2.267037690873E-2</v>
      </c>
      <c r="R14" s="11">
        <f t="shared" si="0"/>
        <v>2.9712158464914811E-5</v>
      </c>
    </row>
    <row r="15" spans="1:18" x14ac:dyDescent="0.3">
      <c r="A15" s="57" t="s">
        <v>14</v>
      </c>
      <c r="B15" s="11" t="s">
        <v>121</v>
      </c>
      <c r="C15">
        <v>23986</v>
      </c>
      <c r="D15" s="68">
        <v>6.2279113869494002E-2</v>
      </c>
      <c r="E15" s="11">
        <f t="shared" si="1"/>
        <v>2.5964776898813474E-6</v>
      </c>
      <c r="O15" s="68">
        <v>5.7493370042715097E-2</v>
      </c>
      <c r="P15" s="11">
        <f t="shared" si="7"/>
        <v>2.3969553090434046E-6</v>
      </c>
      <c r="Q15" s="68">
        <v>5.1763861045450504E-3</v>
      </c>
      <c r="R15" s="11">
        <f t="shared" si="0"/>
        <v>2.1580864273097016E-7</v>
      </c>
    </row>
    <row r="16" spans="1:18" x14ac:dyDescent="0.3">
      <c r="A16" s="57" t="s">
        <v>22</v>
      </c>
      <c r="B16" s="11" t="s">
        <v>121</v>
      </c>
      <c r="C16">
        <v>448482</v>
      </c>
      <c r="D16" s="68">
        <v>8.33225584001379E-2</v>
      </c>
      <c r="E16" s="11">
        <f t="shared" si="1"/>
        <v>1.8578796562657566E-7</v>
      </c>
      <c r="O16" s="68">
        <v>7.7433852258234306E-2</v>
      </c>
      <c r="P16" s="11">
        <f t="shared" si="7"/>
        <v>1.726576590771409E-7</v>
      </c>
      <c r="Q16" s="68">
        <v>0.340334919162602</v>
      </c>
      <c r="R16" s="11">
        <f t="shared" si="0"/>
        <v>7.588597071066442E-7</v>
      </c>
    </row>
    <row r="17" spans="1:18" x14ac:dyDescent="0.3">
      <c r="A17" s="57" t="s">
        <v>23</v>
      </c>
      <c r="B17" s="11" t="s">
        <v>121</v>
      </c>
      <c r="C17">
        <v>39239</v>
      </c>
      <c r="D17" s="68">
        <v>0.14361908456167599</v>
      </c>
      <c r="E17" s="11">
        <f t="shared" si="1"/>
        <v>3.6601107204994007E-6</v>
      </c>
      <c r="O17" s="68">
        <v>0.31469522440634001</v>
      </c>
      <c r="P17" s="11">
        <f t="shared" si="7"/>
        <v>8.0199603559300699E-6</v>
      </c>
      <c r="Q17" s="68">
        <v>0.196503196592961</v>
      </c>
      <c r="R17" s="11">
        <f t="shared" si="0"/>
        <v>5.0078543437131679E-6</v>
      </c>
    </row>
    <row r="18" spans="1:18" x14ac:dyDescent="0.3">
      <c r="A18" s="57" t="s">
        <v>132</v>
      </c>
      <c r="B18" s="11" t="s">
        <v>121</v>
      </c>
      <c r="C18">
        <v>41471</v>
      </c>
      <c r="D18" s="68">
        <v>0.27556891647271797</v>
      </c>
      <c r="E18" s="11">
        <f t="shared" si="1"/>
        <v>6.6448582496857555E-6</v>
      </c>
      <c r="O18" s="68">
        <v>0.50444358969168202</v>
      </c>
      <c r="P18" s="11">
        <f t="shared" si="7"/>
        <v>1.2163767203387476E-5</v>
      </c>
      <c r="Q18" s="68">
        <v>0.102340843581381</v>
      </c>
      <c r="R18" s="11">
        <f t="shared" si="0"/>
        <v>2.4677688886542645E-6</v>
      </c>
    </row>
    <row r="19" spans="1:18" x14ac:dyDescent="0.3">
      <c r="A19" s="57" t="s">
        <v>131</v>
      </c>
      <c r="B19" s="11" t="s">
        <v>121</v>
      </c>
      <c r="C19">
        <v>23212</v>
      </c>
      <c r="D19" s="68">
        <v>9.8655288337212294E-2</v>
      </c>
      <c r="E19" s="11">
        <f t="shared" si="1"/>
        <v>4.2501847465626526E-6</v>
      </c>
      <c r="O19" s="68">
        <v>0.212158633115371</v>
      </c>
      <c r="P19" s="11">
        <f t="shared" si="7"/>
        <v>9.1400410613204803E-6</v>
      </c>
      <c r="Q19" s="68">
        <v>2.09947837188195E-2</v>
      </c>
      <c r="R19" s="11">
        <f t="shared" si="0"/>
        <v>9.0447973973890661E-7</v>
      </c>
    </row>
    <row r="20" spans="1:18" x14ac:dyDescent="0.3">
      <c r="A20" s="57" t="s">
        <v>12</v>
      </c>
      <c r="B20" s="11" t="s">
        <v>121</v>
      </c>
      <c r="C20">
        <v>33580</v>
      </c>
      <c r="D20" s="68">
        <v>7.4670287044220299E-3</v>
      </c>
      <c r="E20" s="11">
        <f t="shared" si="1"/>
        <v>2.2236535748725522E-7</v>
      </c>
      <c r="O20" s="68">
        <v>2.15802579103994E-2</v>
      </c>
      <c r="P20" s="11">
        <f t="shared" si="7"/>
        <v>6.426521116855092E-7</v>
      </c>
      <c r="Q20" s="68">
        <v>1.0332824671115E-2</v>
      </c>
      <c r="R20" s="11">
        <f t="shared" si="0"/>
        <v>3.0770770313028587E-7</v>
      </c>
    </row>
    <row r="21" spans="1:18" x14ac:dyDescent="0.3">
      <c r="A21" s="57" t="s">
        <v>117</v>
      </c>
      <c r="B21" s="11" t="s">
        <v>121</v>
      </c>
      <c r="C21">
        <v>68703</v>
      </c>
      <c r="D21" s="68">
        <v>0.12141194724592699</v>
      </c>
      <c r="E21" s="11">
        <f t="shared" si="1"/>
        <v>1.7672000821787547E-6</v>
      </c>
      <c r="O21" s="68">
        <v>0.32093042087576201</v>
      </c>
      <c r="P21" s="11">
        <f t="shared" si="7"/>
        <v>4.6712723007112065E-6</v>
      </c>
      <c r="Q21" s="68">
        <v>1.7553833418110398E-2</v>
      </c>
      <c r="R21" s="11">
        <f t="shared" si="0"/>
        <v>2.5550315733098114E-7</v>
      </c>
    </row>
    <row r="22" spans="1:18" x14ac:dyDescent="0.3">
      <c r="A22" s="57" t="s">
        <v>36</v>
      </c>
      <c r="B22" s="11" t="s">
        <v>121</v>
      </c>
      <c r="C22">
        <v>28985</v>
      </c>
      <c r="D22" s="68">
        <v>0.12948237220929201</v>
      </c>
      <c r="E22" s="11">
        <f t="shared" si="1"/>
        <v>4.4672200175708818E-6</v>
      </c>
      <c r="O22" s="68">
        <v>0.28202117537502303</v>
      </c>
      <c r="P22" s="11">
        <f t="shared" si="7"/>
        <v>9.7299008237027086E-6</v>
      </c>
      <c r="Q22" s="68">
        <v>2.87344284531682E-2</v>
      </c>
      <c r="R22" s="11">
        <f t="shared" si="0"/>
        <v>9.9135513034908411E-7</v>
      </c>
    </row>
    <row r="23" spans="1:18" x14ac:dyDescent="0.3">
      <c r="A23" s="57" t="s">
        <v>66</v>
      </c>
      <c r="B23" s="11" t="s">
        <v>121</v>
      </c>
      <c r="C23">
        <v>4114</v>
      </c>
      <c r="D23" s="68">
        <v>5.6783897939832802E-2</v>
      </c>
      <c r="E23" s="11">
        <f t="shared" si="1"/>
        <v>1.3802600374290909E-5</v>
      </c>
      <c r="O23" s="68">
        <v>0.11057351661032</v>
      </c>
      <c r="P23" s="11">
        <f t="shared" si="7"/>
        <v>2.6877373993757899E-5</v>
      </c>
      <c r="Q23" s="68">
        <v>1.01832181363015E-2</v>
      </c>
      <c r="R23" s="11">
        <f t="shared" si="0"/>
        <v>2.4752596344923431E-6</v>
      </c>
    </row>
    <row r="24" spans="1:18" x14ac:dyDescent="0.3">
      <c r="A24" s="57" t="s">
        <v>41</v>
      </c>
      <c r="B24" s="11" t="s">
        <v>122</v>
      </c>
      <c r="C24">
        <v>562</v>
      </c>
      <c r="D24" s="68">
        <v>1.2520472373071301E-2</v>
      </c>
      <c r="E24" s="11">
        <f t="shared" si="1"/>
        <v>2.2278420592653559E-5</v>
      </c>
      <c r="F24" s="11">
        <f t="shared" ref="F24:F32" si="10">SUM(E33,E24)/2</f>
        <v>2.42592760107429E-5</v>
      </c>
      <c r="O24" s="68">
        <v>2.4868908739986699E-2</v>
      </c>
      <c r="P24" s="11">
        <f t="shared" si="7"/>
        <v>4.4250727295350001E-5</v>
      </c>
      <c r="Q24" s="68">
        <v>9.3753428483089492E-3</v>
      </c>
      <c r="R24" s="11">
        <f t="shared" si="0"/>
        <v>1.6682104712293504E-5</v>
      </c>
    </row>
    <row r="25" spans="1:18" x14ac:dyDescent="0.3">
      <c r="A25" s="57" t="s">
        <v>13</v>
      </c>
      <c r="B25" s="11" t="s">
        <v>122</v>
      </c>
      <c r="C25">
        <v>763</v>
      </c>
      <c r="D25" s="68">
        <v>2.2013188518231201E-2</v>
      </c>
      <c r="E25" s="11">
        <f t="shared" si="1"/>
        <v>2.8850836852203409E-5</v>
      </c>
      <c r="F25" s="11">
        <f t="shared" si="10"/>
        <v>1.50185340148401E-5</v>
      </c>
      <c r="O25" s="68">
        <v>6.2069790083181003E-2</v>
      </c>
      <c r="P25" s="11">
        <f t="shared" si="7"/>
        <v>8.1349659348861083E-5</v>
      </c>
      <c r="Q25" s="68">
        <v>2.267037690873E-2</v>
      </c>
      <c r="R25" s="11">
        <f t="shared" si="0"/>
        <v>2.9712158464914811E-5</v>
      </c>
    </row>
    <row r="26" spans="1:18" x14ac:dyDescent="0.3">
      <c r="A26" s="57" t="s">
        <v>14</v>
      </c>
      <c r="B26" s="11" t="s">
        <v>122</v>
      </c>
      <c r="C26">
        <v>282</v>
      </c>
      <c r="D26" s="68">
        <v>3.2324799586242599E-5</v>
      </c>
      <c r="E26" s="11">
        <f t="shared" si="1"/>
        <v>1.146269488873851E-7</v>
      </c>
      <c r="F26" s="11">
        <f t="shared" si="10"/>
        <v>9.8057623425713359E-4</v>
      </c>
      <c r="O26" s="68">
        <v>0</v>
      </c>
      <c r="P26" s="11">
        <f t="shared" si="7"/>
        <v>0</v>
      </c>
      <c r="Q26" s="68">
        <v>9.9737689875627098E-6</v>
      </c>
      <c r="R26" s="11">
        <f t="shared" si="0"/>
        <v>3.5367975133201097E-8</v>
      </c>
    </row>
    <row r="27" spans="1:18" x14ac:dyDescent="0.3">
      <c r="A27" s="57" t="s">
        <v>22</v>
      </c>
      <c r="B27" s="11" t="s">
        <v>122</v>
      </c>
      <c r="C27">
        <v>378871</v>
      </c>
      <c r="D27" s="68">
        <v>0.29383242823894501</v>
      </c>
      <c r="E27" s="11">
        <f t="shared" si="1"/>
        <v>7.7554742442399918E-7</v>
      </c>
      <c r="F27" s="11">
        <f t="shared" si="10"/>
        <v>4.2089936457429627E-7</v>
      </c>
      <c r="O27" s="68">
        <v>0.39424735682443202</v>
      </c>
      <c r="P27" s="11">
        <f t="shared" si="7"/>
        <v>1.0405846761151738E-6</v>
      </c>
      <c r="Q27" s="68">
        <v>0.26027547549943603</v>
      </c>
      <c r="R27" s="11">
        <f t="shared" si="0"/>
        <v>6.8697650519421126E-7</v>
      </c>
    </row>
    <row r="28" spans="1:18" x14ac:dyDescent="0.3">
      <c r="A28" s="57" t="s">
        <v>23</v>
      </c>
      <c r="B28" s="11" t="s">
        <v>122</v>
      </c>
      <c r="C28">
        <v>62101</v>
      </c>
      <c r="D28" s="68">
        <v>0.45317214033273001</v>
      </c>
      <c r="E28" s="11">
        <f t="shared" si="1"/>
        <v>7.2973404668641409E-6</v>
      </c>
      <c r="F28" s="11">
        <f t="shared" si="10"/>
        <v>3.6489250925359879E-6</v>
      </c>
      <c r="O28" s="68">
        <v>0.51483423574222398</v>
      </c>
      <c r="P28" s="11">
        <f t="shared" si="7"/>
        <v>8.2902728739025782E-6</v>
      </c>
      <c r="Q28" s="68">
        <v>0.29666975853505301</v>
      </c>
      <c r="R28" s="11">
        <f t="shared" si="0"/>
        <v>4.7772138699063303E-6</v>
      </c>
    </row>
    <row r="29" spans="1:18" x14ac:dyDescent="0.3">
      <c r="A29" s="57" t="s">
        <v>12</v>
      </c>
      <c r="B29" s="11" t="s">
        <v>122</v>
      </c>
      <c r="C29">
        <v>4876</v>
      </c>
      <c r="D29" s="68">
        <v>0</v>
      </c>
      <c r="E29" s="11">
        <f t="shared" si="1"/>
        <v>0</v>
      </c>
      <c r="F29" s="11">
        <f t="shared" si="10"/>
        <v>6.7846086512269883E-5</v>
      </c>
      <c r="O29" s="68">
        <v>1.8258834782311599E-2</v>
      </c>
      <c r="P29" s="11">
        <f t="shared" si="7"/>
        <v>3.7446338766020509E-6</v>
      </c>
      <c r="Q29" s="68">
        <v>7.7296709653611002E-3</v>
      </c>
      <c r="R29" s="11">
        <f t="shared" si="0"/>
        <v>1.5852483522069525E-6</v>
      </c>
    </row>
    <row r="30" spans="1:18" x14ac:dyDescent="0.3">
      <c r="A30" s="57" t="s">
        <v>117</v>
      </c>
      <c r="B30" s="11" t="s">
        <v>122</v>
      </c>
      <c r="C30">
        <v>18277</v>
      </c>
      <c r="D30" s="68">
        <v>0</v>
      </c>
      <c r="E30" s="11">
        <f t="shared" si="1"/>
        <v>0</v>
      </c>
      <c r="F30" s="11">
        <f>SUM(E39,E30)/2</f>
        <v>7.1280638887106585E-4</v>
      </c>
      <c r="O30" s="68">
        <v>0</v>
      </c>
      <c r="P30" s="11">
        <f t="shared" si="7"/>
        <v>0</v>
      </c>
      <c r="Q30" s="68">
        <v>0</v>
      </c>
      <c r="R30" s="11">
        <f t="shared" si="0"/>
        <v>0</v>
      </c>
    </row>
    <row r="31" spans="1:18" x14ac:dyDescent="0.3">
      <c r="A31" s="57" t="s">
        <v>36</v>
      </c>
      <c r="B31" s="11" t="s">
        <v>122</v>
      </c>
      <c r="C31">
        <v>137</v>
      </c>
      <c r="D31" s="68">
        <v>1.2542022239462099E-2</v>
      </c>
      <c r="E31" s="11">
        <f t="shared" si="1"/>
        <v>9.154760758731459E-5</v>
      </c>
      <c r="F31" s="11">
        <f t="shared" si="10"/>
        <v>4.5773803793657295E-5</v>
      </c>
      <c r="O31" s="68">
        <v>6.3197089517823301E-4</v>
      </c>
      <c r="P31" s="11">
        <f t="shared" si="7"/>
        <v>4.612926242176883E-6</v>
      </c>
      <c r="Q31" s="68">
        <v>7.5800644305476603E-4</v>
      </c>
      <c r="R31" s="11">
        <f t="shared" si="0"/>
        <v>5.5328937449252998E-6</v>
      </c>
    </row>
    <row r="32" spans="1:18" x14ac:dyDescent="0.3">
      <c r="A32" s="57" t="s">
        <v>66</v>
      </c>
      <c r="B32" s="11" t="s">
        <v>122</v>
      </c>
      <c r="C32">
        <v>167</v>
      </c>
      <c r="D32" s="68">
        <v>0</v>
      </c>
      <c r="E32" s="11">
        <f t="shared" si="1"/>
        <v>0</v>
      </c>
      <c r="F32" s="11">
        <f t="shared" si="10"/>
        <v>0</v>
      </c>
      <c r="O32" s="68">
        <v>1.70802944642766E-5</v>
      </c>
      <c r="P32" s="11">
        <f t="shared" si="7"/>
        <v>1.0227721236093773E-7</v>
      </c>
      <c r="Q32" s="68">
        <v>1.9947537975125399E-5</v>
      </c>
      <c r="R32" s="11">
        <f t="shared" si="0"/>
        <v>1.1944633518039162E-7</v>
      </c>
    </row>
    <row r="33" spans="1:18" x14ac:dyDescent="0.3">
      <c r="A33" s="57" t="s">
        <v>41</v>
      </c>
      <c r="B33" s="11" t="s">
        <v>123</v>
      </c>
      <c r="C33">
        <v>85</v>
      </c>
      <c r="D33" s="68">
        <v>2.2304111714507402E-3</v>
      </c>
      <c r="E33" s="11">
        <f t="shared" si="1"/>
        <v>2.6240131428832237E-5</v>
      </c>
      <c r="O33" s="68">
        <v>1.28347875377047E-2</v>
      </c>
      <c r="P33" s="11">
        <f t="shared" si="7"/>
        <v>1.509975004435847E-4</v>
      </c>
      <c r="Q33" s="68">
        <v>3.8498748291992098E-3</v>
      </c>
      <c r="R33" s="11">
        <f t="shared" si="0"/>
        <v>4.5292645049402469E-5</v>
      </c>
    </row>
    <row r="34" spans="1:18" x14ac:dyDescent="0.3">
      <c r="A34" s="57" t="s">
        <v>13</v>
      </c>
      <c r="B34" s="11" t="s">
        <v>123</v>
      </c>
      <c r="C34">
        <v>763</v>
      </c>
      <c r="D34" s="68">
        <v>9.0509438841479203E-4</v>
      </c>
      <c r="E34" s="11">
        <f t="shared" si="1"/>
        <v>1.1862311774767918E-6</v>
      </c>
      <c r="O34" s="68">
        <v>4.5792254590359703E-2</v>
      </c>
      <c r="P34" s="11">
        <f t="shared" si="7"/>
        <v>6.0016061062070381E-5</v>
      </c>
      <c r="Q34" s="68">
        <v>2.267037690873E-2</v>
      </c>
      <c r="R34" s="11">
        <f t="shared" si="0"/>
        <v>2.9712158464914811E-5</v>
      </c>
    </row>
    <row r="35" spans="1:18" x14ac:dyDescent="0.3">
      <c r="A35" s="57" t="s">
        <v>14</v>
      </c>
      <c r="B35" s="11" t="s">
        <v>123</v>
      </c>
      <c r="C35">
        <v>2</v>
      </c>
      <c r="D35" s="68">
        <v>3.92207568313076E-3</v>
      </c>
      <c r="E35" s="11">
        <f t="shared" si="1"/>
        <v>1.96103784156538E-3</v>
      </c>
      <c r="O35" s="68">
        <v>0</v>
      </c>
      <c r="P35" s="11">
        <f t="shared" si="7"/>
        <v>0</v>
      </c>
      <c r="Q35" s="68">
        <v>0</v>
      </c>
      <c r="R35" s="11">
        <f t="shared" si="0"/>
        <v>0</v>
      </c>
    </row>
    <row r="36" spans="1:18" x14ac:dyDescent="0.3">
      <c r="A36" s="57" t="s">
        <v>22</v>
      </c>
      <c r="B36" s="11" t="s">
        <v>123</v>
      </c>
      <c r="C36">
        <v>332268</v>
      </c>
      <c r="D36" s="68">
        <v>2.2013188518231201E-2</v>
      </c>
      <c r="E36" s="11">
        <f t="shared" si="1"/>
        <v>6.6251304724593401E-8</v>
      </c>
      <c r="O36" s="68">
        <v>0.33524303095329699</v>
      </c>
      <c r="P36" s="11">
        <f t="shared" si="7"/>
        <v>1.0089537089135788E-6</v>
      </c>
      <c r="Q36" s="68">
        <v>0.15127215423436399</v>
      </c>
      <c r="R36" s="11">
        <f t="shared" si="0"/>
        <v>4.5527151045049177E-7</v>
      </c>
    </row>
    <row r="37" spans="1:18" x14ac:dyDescent="0.3">
      <c r="A37" s="57" t="s">
        <v>23</v>
      </c>
      <c r="B37" s="11" t="s">
        <v>123</v>
      </c>
      <c r="C37">
        <v>21139</v>
      </c>
      <c r="D37" s="68">
        <v>1.07749331954142E-5</v>
      </c>
      <c r="E37" s="11">
        <f t="shared" si="1"/>
        <v>5.0971820783453335E-10</v>
      </c>
      <c r="O37" s="68">
        <v>0.41773791930684101</v>
      </c>
      <c r="P37" s="11">
        <f t="shared" si="7"/>
        <v>1.9761479696619567E-5</v>
      </c>
      <c r="Q37" s="68">
        <v>0.161874270668143</v>
      </c>
      <c r="R37" s="11">
        <f t="shared" si="0"/>
        <v>7.6576125014495954E-6</v>
      </c>
    </row>
    <row r="38" spans="1:18" x14ac:dyDescent="0.3">
      <c r="A38" s="57" t="s">
        <v>12</v>
      </c>
      <c r="B38" s="11" t="s">
        <v>123</v>
      </c>
      <c r="C38">
        <v>1886</v>
      </c>
      <c r="D38" s="68">
        <v>0.25591543832428199</v>
      </c>
      <c r="E38" s="11">
        <f t="shared" si="1"/>
        <v>1.3569217302453977E-4</v>
      </c>
      <c r="O38" s="68">
        <v>1.12759884203494E-2</v>
      </c>
      <c r="P38" s="11">
        <f t="shared" si="7"/>
        <v>5.9787849524652175E-6</v>
      </c>
      <c r="Q38" s="68">
        <v>3.7501371393235802E-3</v>
      </c>
      <c r="R38" s="11">
        <f t="shared" si="0"/>
        <v>1.9884078151238493E-6</v>
      </c>
    </row>
    <row r="39" spans="1:18" x14ac:dyDescent="0.3">
      <c r="A39" s="57" t="s">
        <v>117</v>
      </c>
      <c r="B39" s="11" t="s">
        <v>123</v>
      </c>
      <c r="C39">
        <v>266</v>
      </c>
      <c r="D39" s="68">
        <v>0.37921299887940702</v>
      </c>
      <c r="E39" s="11">
        <f t="shared" si="1"/>
        <v>1.4256127777421317E-3</v>
      </c>
      <c r="O39" s="68">
        <v>0</v>
      </c>
      <c r="P39" s="11">
        <f t="shared" si="7"/>
        <v>0</v>
      </c>
      <c r="Q39" s="68">
        <v>0</v>
      </c>
      <c r="R39" s="11">
        <f t="shared" si="0"/>
        <v>0</v>
      </c>
    </row>
    <row r="40" spans="1:18" x14ac:dyDescent="0.3">
      <c r="A40" s="57" t="s">
        <v>36</v>
      </c>
      <c r="B40" s="11" t="s">
        <v>123</v>
      </c>
      <c r="C40">
        <v>12</v>
      </c>
      <c r="D40" s="68">
        <v>0</v>
      </c>
      <c r="E40" s="11">
        <f t="shared" si="1"/>
        <v>0</v>
      </c>
      <c r="O40" s="68">
        <v>2.02441443812377E-5</v>
      </c>
      <c r="P40" s="11">
        <f t="shared" si="7"/>
        <v>1.6870120317698083E-6</v>
      </c>
      <c r="Q40" s="68">
        <v>0</v>
      </c>
      <c r="R40" s="11">
        <f t="shared" si="0"/>
        <v>0</v>
      </c>
    </row>
    <row r="41" spans="1:18" x14ac:dyDescent="0.3">
      <c r="A41" s="57" t="s">
        <v>66</v>
      </c>
      <c r="B41" s="11" t="s">
        <v>123</v>
      </c>
      <c r="C41">
        <v>383</v>
      </c>
      <c r="D41" s="68">
        <v>0</v>
      </c>
      <c r="E41" s="11">
        <f t="shared" si="1"/>
        <v>0</v>
      </c>
      <c r="O41" s="68">
        <v>0</v>
      </c>
      <c r="P41" s="11">
        <f t="shared" si="7"/>
        <v>0</v>
      </c>
      <c r="Q41" s="68">
        <v>9.9737689875627098E-6</v>
      </c>
      <c r="R41" s="11">
        <f t="shared" si="0"/>
        <v>2.6041172291286448E-8</v>
      </c>
    </row>
    <row r="42" spans="1:18" x14ac:dyDescent="0.3">
      <c r="D42" s="11">
        <v>6.9606068442375699E-3</v>
      </c>
    </row>
    <row r="43" spans="1:18" x14ac:dyDescent="0.3">
      <c r="D43" s="11">
        <v>0</v>
      </c>
    </row>
    <row r="44" spans="1:18" x14ac:dyDescent="0.3">
      <c r="D44" s="11">
        <v>1.4007413154038399E-4</v>
      </c>
    </row>
    <row r="45" spans="1:18" x14ac:dyDescent="0.3">
      <c r="D45" s="11">
        <v>3.2324799586242599E-5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1905-03CD-4D94-9565-8C662AAF682D}">
  <dimension ref="A1:I41"/>
  <sheetViews>
    <sheetView workbookViewId="0">
      <selection activeCell="A2" sqref="A2:XFD2"/>
    </sheetView>
  </sheetViews>
  <sheetFormatPr defaultRowHeight="15.6" x14ac:dyDescent="0.3"/>
  <cols>
    <col min="1" max="1" width="14.21875" style="11" bestFit="1" customWidth="1"/>
    <col min="2" max="2" width="11" style="11" bestFit="1" customWidth="1"/>
    <col min="3" max="3" width="11.77734375" style="11" bestFit="1" customWidth="1"/>
    <col min="4" max="4" width="19.5546875" style="11" bestFit="1" customWidth="1"/>
    <col min="5" max="5" width="13.33203125" style="11" bestFit="1" customWidth="1"/>
    <col min="6" max="6" width="19.5546875" style="11" bestFit="1" customWidth="1"/>
    <col min="7" max="7" width="13.33203125" style="11" customWidth="1"/>
    <col min="8" max="8" width="19.5546875" style="11" bestFit="1" customWidth="1"/>
    <col min="9" max="11" width="13.33203125" style="11" customWidth="1"/>
    <col min="12" max="12" width="19.5546875" style="11" bestFit="1" customWidth="1"/>
    <col min="13" max="13" width="14.33203125" style="11" bestFit="1" customWidth="1"/>
    <col min="14" max="14" width="19.5546875" style="11" bestFit="1" customWidth="1"/>
    <col min="15" max="15" width="13.33203125" style="11" bestFit="1" customWidth="1"/>
    <col min="16" max="16384" width="8.88671875" style="11"/>
  </cols>
  <sheetData>
    <row r="1" spans="1:9" x14ac:dyDescent="0.3">
      <c r="A1" s="70" t="s">
        <v>114</v>
      </c>
      <c r="B1" s="11" t="s">
        <v>89</v>
      </c>
      <c r="C1" s="11" t="s">
        <v>143</v>
      </c>
      <c r="D1" s="11" t="s">
        <v>105</v>
      </c>
      <c r="E1" s="11" t="s">
        <v>144</v>
      </c>
      <c r="F1" s="11" t="s">
        <v>142</v>
      </c>
      <c r="G1" s="11" t="s">
        <v>145</v>
      </c>
      <c r="H1" s="11" t="s">
        <v>107</v>
      </c>
      <c r="I1" s="11" t="s">
        <v>146</v>
      </c>
    </row>
    <row r="2" spans="1:9" x14ac:dyDescent="0.3">
      <c r="A2" s="57" t="s">
        <v>41</v>
      </c>
      <c r="B2" s="11" t="s">
        <v>120</v>
      </c>
      <c r="C2">
        <v>15402</v>
      </c>
      <c r="D2" s="68">
        <v>5.96500301698129E-2</v>
      </c>
      <c r="E2" s="11">
        <f>D2/C2</f>
        <v>3.8728756115967342E-6</v>
      </c>
      <c r="F2" s="68">
        <v>0.21640733086238401</v>
      </c>
      <c r="G2" s="11">
        <f t="shared" ref="G2:G41" si="0">F2/C2</f>
        <v>1.4050599328813401E-5</v>
      </c>
      <c r="H2" s="68">
        <v>2.0805282108055798E-2</v>
      </c>
      <c r="I2" s="11">
        <f t="shared" ref="I2:I41" si="1">H2/C2</f>
        <v>1.3508169139109076E-6</v>
      </c>
    </row>
    <row r="3" spans="1:9" x14ac:dyDescent="0.3">
      <c r="A3" s="57" t="s">
        <v>13</v>
      </c>
      <c r="B3" s="11" t="s">
        <v>120</v>
      </c>
      <c r="C3">
        <v>763</v>
      </c>
      <c r="D3" s="68">
        <v>2.2013188518231201E-2</v>
      </c>
      <c r="E3" s="11">
        <f t="shared" ref="E3:E41" si="2">D3/C3</f>
        <v>2.8850836852203409E-5</v>
      </c>
      <c r="F3" s="68">
        <v>6.2069790083181003E-2</v>
      </c>
      <c r="G3" s="11">
        <f t="shared" si="0"/>
        <v>8.1349659348861083E-5</v>
      </c>
      <c r="H3" s="68">
        <v>2.267037690873E-2</v>
      </c>
      <c r="I3" s="11">
        <f t="shared" si="1"/>
        <v>2.9712158464914811E-5</v>
      </c>
    </row>
    <row r="4" spans="1:9" x14ac:dyDescent="0.3">
      <c r="A4" s="57" t="s">
        <v>14</v>
      </c>
      <c r="B4" s="11" t="s">
        <v>120</v>
      </c>
      <c r="C4">
        <v>18634</v>
      </c>
      <c r="D4" s="68">
        <v>5.7451943797948497E-2</v>
      </c>
      <c r="E4" s="11">
        <f t="shared" si="2"/>
        <v>3.0831782654260222E-6</v>
      </c>
      <c r="F4" s="68">
        <v>9.5325123405127499E-2</v>
      </c>
      <c r="G4" s="11">
        <f t="shared" si="0"/>
        <v>5.1156554365744066E-6</v>
      </c>
      <c r="H4" s="68">
        <v>1.6426797522515801E-2</v>
      </c>
      <c r="I4" s="11">
        <f t="shared" si="1"/>
        <v>8.8154972214853506E-7</v>
      </c>
    </row>
    <row r="5" spans="1:9" x14ac:dyDescent="0.3">
      <c r="A5" s="57" t="s">
        <v>22</v>
      </c>
      <c r="B5" s="11" t="s">
        <v>120</v>
      </c>
      <c r="C5">
        <v>463587</v>
      </c>
      <c r="D5" s="68">
        <v>1.20679251788639E-3</v>
      </c>
      <c r="E5" s="11">
        <f t="shared" si="2"/>
        <v>2.6031629831863059E-9</v>
      </c>
      <c r="F5" s="68">
        <v>1.87883239107042E-3</v>
      </c>
      <c r="G5" s="11">
        <f t="shared" si="0"/>
        <v>4.0528150941903464E-9</v>
      </c>
      <c r="H5" s="68">
        <v>1.66063253642919E-2</v>
      </c>
      <c r="I5" s="11">
        <f t="shared" si="1"/>
        <v>3.5821378434451141E-8</v>
      </c>
    </row>
    <row r="6" spans="1:9" x14ac:dyDescent="0.3">
      <c r="A6" s="57" t="s">
        <v>23</v>
      </c>
      <c r="B6" s="11" t="s">
        <v>120</v>
      </c>
      <c r="C6">
        <v>8554</v>
      </c>
      <c r="D6" s="68">
        <v>4.2442461856736502E-2</v>
      </c>
      <c r="E6" s="11">
        <f t="shared" si="2"/>
        <v>4.9617093589825232E-6</v>
      </c>
      <c r="F6" s="68">
        <v>0.137803815737783</v>
      </c>
      <c r="G6" s="11">
        <f t="shared" si="0"/>
        <v>1.6109868568831307E-5</v>
      </c>
      <c r="H6" s="68">
        <v>4.9140759801721501E-2</v>
      </c>
      <c r="I6" s="11">
        <f t="shared" si="1"/>
        <v>5.744769675207096E-6</v>
      </c>
    </row>
    <row r="7" spans="1:9" x14ac:dyDescent="0.3">
      <c r="A7" s="57" t="s">
        <v>132</v>
      </c>
      <c r="B7" s="11" t="s">
        <v>120</v>
      </c>
      <c r="C7">
        <v>33196</v>
      </c>
      <c r="D7" s="68">
        <v>0.156624428928541</v>
      </c>
      <c r="E7" s="11">
        <f t="shared" si="2"/>
        <v>4.7181717354061036E-6</v>
      </c>
      <c r="F7" s="68">
        <v>0.390404290569969</v>
      </c>
      <c r="G7" s="11">
        <f t="shared" si="0"/>
        <v>1.1760582316241987E-5</v>
      </c>
      <c r="H7" s="68">
        <v>7.5990145916240301E-2</v>
      </c>
      <c r="I7" s="11">
        <f t="shared" si="1"/>
        <v>2.2891356162260602E-6</v>
      </c>
    </row>
    <row r="8" spans="1:9" x14ac:dyDescent="0.3">
      <c r="A8" s="57" t="s">
        <v>131</v>
      </c>
      <c r="B8" s="11" t="s">
        <v>120</v>
      </c>
      <c r="C8">
        <v>26895</v>
      </c>
      <c r="D8" s="68">
        <v>7.3485044392724796E-2</v>
      </c>
      <c r="E8" s="11">
        <f t="shared" si="2"/>
        <v>2.7322938982236397E-6</v>
      </c>
      <c r="F8" s="68">
        <v>0.14938425538456299</v>
      </c>
      <c r="G8" s="11">
        <f t="shared" si="0"/>
        <v>5.5543504511828588E-6</v>
      </c>
      <c r="H8" s="68">
        <v>1.57884763073118E-2</v>
      </c>
      <c r="I8" s="11">
        <f t="shared" si="1"/>
        <v>5.8704132021981036E-7</v>
      </c>
    </row>
    <row r="9" spans="1:9" x14ac:dyDescent="0.3">
      <c r="A9" s="57" t="s">
        <v>12</v>
      </c>
      <c r="B9" s="11" t="s">
        <v>120</v>
      </c>
      <c r="C9">
        <v>64975</v>
      </c>
      <c r="D9" s="68">
        <v>4.80562020515473E-3</v>
      </c>
      <c r="E9" s="11">
        <f t="shared" si="2"/>
        <v>7.3961065104343667E-8</v>
      </c>
      <c r="F9" s="68">
        <v>1.7695185064990501E-2</v>
      </c>
      <c r="G9" s="11">
        <f t="shared" si="0"/>
        <v>2.7233836190828015E-7</v>
      </c>
      <c r="H9" s="68">
        <v>5.89449747164956E-3</v>
      </c>
      <c r="I9" s="11">
        <f t="shared" si="1"/>
        <v>9.0719468590220244E-8</v>
      </c>
    </row>
    <row r="10" spans="1:9" x14ac:dyDescent="0.3">
      <c r="A10" s="57" t="s">
        <v>117</v>
      </c>
      <c r="B10" s="11" t="s">
        <v>120</v>
      </c>
      <c r="C10">
        <v>20113</v>
      </c>
      <c r="D10" s="68">
        <v>0.106499439703474</v>
      </c>
      <c r="E10" s="11">
        <f t="shared" si="2"/>
        <v>5.2950549248483068E-6</v>
      </c>
      <c r="F10" s="68">
        <v>0.24125915930790601</v>
      </c>
      <c r="G10" s="11">
        <f t="shared" si="0"/>
        <v>1.199518516918938E-5</v>
      </c>
      <c r="H10" s="68">
        <v>2.1004757487807099E-2</v>
      </c>
      <c r="I10" s="11">
        <f t="shared" si="1"/>
        <v>1.0443373682596877E-6</v>
      </c>
    </row>
    <row r="11" spans="1:9" x14ac:dyDescent="0.3">
      <c r="A11" s="57" t="s">
        <v>36</v>
      </c>
      <c r="B11" s="11" t="s">
        <v>120</v>
      </c>
      <c r="C11">
        <v>49668</v>
      </c>
      <c r="D11" s="68">
        <v>9.1069735367640695E-2</v>
      </c>
      <c r="E11" s="11">
        <f t="shared" si="2"/>
        <v>1.8335696095602942E-6</v>
      </c>
      <c r="F11" s="68">
        <v>0.240575947529335</v>
      </c>
      <c r="G11" s="11">
        <f t="shared" si="0"/>
        <v>4.8436809923760771E-6</v>
      </c>
      <c r="H11" s="68">
        <v>3.0798998633593599E-2</v>
      </c>
      <c r="I11" s="11">
        <f t="shared" si="1"/>
        <v>6.200974195376016E-7</v>
      </c>
    </row>
    <row r="12" spans="1:9" x14ac:dyDescent="0.3">
      <c r="A12" s="57" t="s">
        <v>66</v>
      </c>
      <c r="B12" s="11" t="s">
        <v>120</v>
      </c>
      <c r="C12">
        <v>8765</v>
      </c>
      <c r="D12" s="68">
        <v>6.4821998103611805E-2</v>
      </c>
      <c r="E12" s="11">
        <f t="shared" si="2"/>
        <v>7.3955502685238793E-6</v>
      </c>
      <c r="F12" s="68">
        <v>0.145626590602422</v>
      </c>
      <c r="G12" s="11">
        <f t="shared" si="0"/>
        <v>1.661455682857068E-5</v>
      </c>
      <c r="H12" s="68">
        <v>1.5828371383261999E-2</v>
      </c>
      <c r="I12" s="11">
        <f t="shared" si="1"/>
        <v>1.8058609678564745E-6</v>
      </c>
    </row>
    <row r="13" spans="1:9" x14ac:dyDescent="0.3">
      <c r="A13" s="57" t="s">
        <v>41</v>
      </c>
      <c r="B13" s="11" t="s">
        <v>121</v>
      </c>
      <c r="C13">
        <v>10542</v>
      </c>
      <c r="D13" s="68">
        <v>4.7571330057753602E-2</v>
      </c>
      <c r="E13" s="11">
        <f t="shared" si="2"/>
        <v>4.5125526520350599E-6</v>
      </c>
      <c r="F13" s="68">
        <v>0.20669271413243701</v>
      </c>
      <c r="G13" s="11">
        <f t="shared" si="0"/>
        <v>1.9606594017495448E-5</v>
      </c>
      <c r="H13" s="68">
        <v>1.6007899225038199E-2</v>
      </c>
      <c r="I13" s="11">
        <f t="shared" si="1"/>
        <v>1.518487879438266E-6</v>
      </c>
    </row>
    <row r="14" spans="1:9" x14ac:dyDescent="0.3">
      <c r="A14" s="57" t="s">
        <v>13</v>
      </c>
      <c r="B14" s="11" t="s">
        <v>121</v>
      </c>
      <c r="C14">
        <v>763</v>
      </c>
      <c r="D14" s="68">
        <v>2.2013188518231201E-2</v>
      </c>
      <c r="E14" s="11">
        <f t="shared" si="2"/>
        <v>2.8850836852203409E-5</v>
      </c>
      <c r="F14" s="68">
        <v>4.5792254590359703E-2</v>
      </c>
      <c r="G14" s="11">
        <f t="shared" si="0"/>
        <v>6.0016061062070381E-5</v>
      </c>
      <c r="H14" s="68">
        <v>2.267037690873E-2</v>
      </c>
      <c r="I14" s="11">
        <f t="shared" si="1"/>
        <v>2.9712158464914811E-5</v>
      </c>
    </row>
    <row r="15" spans="1:9" x14ac:dyDescent="0.3">
      <c r="A15" s="57" t="s">
        <v>14</v>
      </c>
      <c r="B15" s="11" t="s">
        <v>121</v>
      </c>
      <c r="C15">
        <v>23986</v>
      </c>
      <c r="D15" s="68">
        <v>6.2279113869494002E-2</v>
      </c>
      <c r="E15" s="11">
        <f t="shared" si="2"/>
        <v>2.5964776898813474E-6</v>
      </c>
      <c r="F15" s="68">
        <v>5.7493370042715097E-2</v>
      </c>
      <c r="G15" s="11">
        <f t="shared" si="0"/>
        <v>2.3969553090434046E-6</v>
      </c>
      <c r="H15" s="68">
        <v>5.1763861045450504E-3</v>
      </c>
      <c r="I15" s="11">
        <f t="shared" si="1"/>
        <v>2.1580864273097016E-7</v>
      </c>
    </row>
    <row r="16" spans="1:9" x14ac:dyDescent="0.3">
      <c r="A16" s="57" t="s">
        <v>22</v>
      </c>
      <c r="B16" s="11" t="s">
        <v>121</v>
      </c>
      <c r="C16">
        <v>448482</v>
      </c>
      <c r="D16" s="68">
        <v>8.33225584001379E-2</v>
      </c>
      <c r="E16" s="11">
        <f t="shared" si="2"/>
        <v>1.8578796562657566E-7</v>
      </c>
      <c r="F16" s="68">
        <v>7.7433852258234306E-2</v>
      </c>
      <c r="G16" s="11">
        <f t="shared" si="0"/>
        <v>1.726576590771409E-7</v>
      </c>
      <c r="H16" s="68">
        <v>0.340334919162602</v>
      </c>
      <c r="I16" s="11">
        <f t="shared" si="1"/>
        <v>7.588597071066442E-7</v>
      </c>
    </row>
    <row r="17" spans="1:9" x14ac:dyDescent="0.3">
      <c r="A17" s="57" t="s">
        <v>23</v>
      </c>
      <c r="B17" s="11" t="s">
        <v>121</v>
      </c>
      <c r="C17">
        <v>39239</v>
      </c>
      <c r="D17" s="68">
        <v>0.14361908456167599</v>
      </c>
      <c r="E17" s="11">
        <f t="shared" si="2"/>
        <v>3.6601107204994007E-6</v>
      </c>
      <c r="F17" s="68">
        <v>0.31469522440634001</v>
      </c>
      <c r="G17" s="11">
        <f t="shared" si="0"/>
        <v>8.0199603559300699E-6</v>
      </c>
      <c r="H17" s="68">
        <v>0.196503196592961</v>
      </c>
      <c r="I17" s="11">
        <f t="shared" si="1"/>
        <v>5.0078543437131679E-6</v>
      </c>
    </row>
    <row r="18" spans="1:9" x14ac:dyDescent="0.3">
      <c r="A18" s="57" t="s">
        <v>132</v>
      </c>
      <c r="B18" s="11" t="s">
        <v>121</v>
      </c>
      <c r="C18">
        <v>41471</v>
      </c>
      <c r="D18" s="68">
        <v>0.27556891647271797</v>
      </c>
      <c r="E18" s="11">
        <f t="shared" si="2"/>
        <v>6.6448582496857555E-6</v>
      </c>
      <c r="F18" s="68">
        <v>0.50444358969168202</v>
      </c>
      <c r="G18" s="11">
        <f t="shared" si="0"/>
        <v>1.2163767203387476E-5</v>
      </c>
      <c r="H18" s="68">
        <v>0.102340843581381</v>
      </c>
      <c r="I18" s="11">
        <f t="shared" si="1"/>
        <v>2.4677688886542645E-6</v>
      </c>
    </row>
    <row r="19" spans="1:9" x14ac:dyDescent="0.3">
      <c r="A19" s="57" t="s">
        <v>131</v>
      </c>
      <c r="B19" s="11" t="s">
        <v>121</v>
      </c>
      <c r="C19">
        <v>23212</v>
      </c>
      <c r="D19" s="68">
        <v>9.8655288337212294E-2</v>
      </c>
      <c r="E19" s="11">
        <f t="shared" si="2"/>
        <v>4.2501847465626526E-6</v>
      </c>
      <c r="F19" s="68">
        <v>0.212158633115371</v>
      </c>
      <c r="G19" s="11">
        <f t="shared" si="0"/>
        <v>9.1400410613204803E-6</v>
      </c>
      <c r="H19" s="68">
        <v>2.09947837188195E-2</v>
      </c>
      <c r="I19" s="11">
        <f t="shared" si="1"/>
        <v>9.0447973973890661E-7</v>
      </c>
    </row>
    <row r="20" spans="1:9" x14ac:dyDescent="0.3">
      <c r="A20" s="57" t="s">
        <v>12</v>
      </c>
      <c r="B20" s="11" t="s">
        <v>121</v>
      </c>
      <c r="C20">
        <v>33580</v>
      </c>
      <c r="D20" s="68">
        <v>7.4670287044220299E-3</v>
      </c>
      <c r="E20" s="11">
        <f t="shared" si="2"/>
        <v>2.2236535748725522E-7</v>
      </c>
      <c r="F20" s="68">
        <v>2.15802579103994E-2</v>
      </c>
      <c r="G20" s="11">
        <f t="shared" si="0"/>
        <v>6.426521116855092E-7</v>
      </c>
      <c r="H20" s="68">
        <v>1.0332824671115E-2</v>
      </c>
      <c r="I20" s="11">
        <f t="shared" si="1"/>
        <v>3.0770770313028587E-7</v>
      </c>
    </row>
    <row r="21" spans="1:9" x14ac:dyDescent="0.3">
      <c r="A21" s="57" t="s">
        <v>117</v>
      </c>
      <c r="B21" s="11" t="s">
        <v>121</v>
      </c>
      <c r="C21">
        <v>68703</v>
      </c>
      <c r="D21" s="68">
        <v>0.12141194724592699</v>
      </c>
      <c r="E21" s="11">
        <f t="shared" si="2"/>
        <v>1.7672000821787547E-6</v>
      </c>
      <c r="F21" s="68">
        <v>0.32093042087576201</v>
      </c>
      <c r="G21" s="11">
        <f t="shared" si="0"/>
        <v>4.6712723007112065E-6</v>
      </c>
      <c r="H21" s="68">
        <v>1.7553833418110398E-2</v>
      </c>
      <c r="I21" s="11">
        <f t="shared" si="1"/>
        <v>2.5550315733098114E-7</v>
      </c>
    </row>
    <row r="22" spans="1:9" x14ac:dyDescent="0.3">
      <c r="A22" s="57" t="s">
        <v>36</v>
      </c>
      <c r="B22" s="11" t="s">
        <v>121</v>
      </c>
      <c r="C22">
        <v>28985</v>
      </c>
      <c r="D22" s="68">
        <v>0.12948237220929201</v>
      </c>
      <c r="E22" s="11">
        <f t="shared" si="2"/>
        <v>4.4672200175708818E-6</v>
      </c>
      <c r="F22" s="68">
        <v>0.28202117537502303</v>
      </c>
      <c r="G22" s="11">
        <f t="shared" si="0"/>
        <v>9.7299008237027086E-6</v>
      </c>
      <c r="H22" s="68">
        <v>2.87344284531682E-2</v>
      </c>
      <c r="I22" s="11">
        <f t="shared" si="1"/>
        <v>9.9135513034908411E-7</v>
      </c>
    </row>
    <row r="23" spans="1:9" x14ac:dyDescent="0.3">
      <c r="A23" s="57" t="s">
        <v>66</v>
      </c>
      <c r="B23" s="11" t="s">
        <v>121</v>
      </c>
      <c r="C23">
        <v>4114</v>
      </c>
      <c r="D23" s="68">
        <v>5.6783897939832802E-2</v>
      </c>
      <c r="E23" s="11">
        <f t="shared" si="2"/>
        <v>1.3802600374290909E-5</v>
      </c>
      <c r="F23" s="68">
        <v>0.11057351661032</v>
      </c>
      <c r="G23" s="11">
        <f t="shared" si="0"/>
        <v>2.6877373993757899E-5</v>
      </c>
      <c r="H23" s="68">
        <v>1.01832181363015E-2</v>
      </c>
      <c r="I23" s="11">
        <f t="shared" si="1"/>
        <v>2.4752596344923431E-6</v>
      </c>
    </row>
    <row r="24" spans="1:9" x14ac:dyDescent="0.3">
      <c r="A24" s="57" t="s">
        <v>41</v>
      </c>
      <c r="B24" s="11" t="s">
        <v>122</v>
      </c>
      <c r="C24">
        <v>562</v>
      </c>
      <c r="D24" s="68">
        <v>1.2520472373071301E-2</v>
      </c>
      <c r="E24" s="11">
        <f t="shared" si="2"/>
        <v>2.2278420592653559E-5</v>
      </c>
      <c r="F24" s="68">
        <v>2.4868908739986699E-2</v>
      </c>
      <c r="G24" s="11">
        <f t="shared" si="0"/>
        <v>4.4250727295350001E-5</v>
      </c>
      <c r="H24" s="68">
        <v>9.3753428483089492E-3</v>
      </c>
      <c r="I24" s="11">
        <f t="shared" si="1"/>
        <v>1.6682104712293504E-5</v>
      </c>
    </row>
    <row r="25" spans="1:9" x14ac:dyDescent="0.3">
      <c r="A25" s="57" t="s">
        <v>13</v>
      </c>
      <c r="B25" s="11" t="s">
        <v>122</v>
      </c>
      <c r="C25">
        <v>763</v>
      </c>
      <c r="D25" s="68">
        <v>2.2013188518231201E-2</v>
      </c>
      <c r="E25" s="11">
        <f t="shared" si="2"/>
        <v>2.8850836852203409E-5</v>
      </c>
      <c r="F25" s="68">
        <v>6.2069790083181003E-2</v>
      </c>
      <c r="G25" s="11">
        <f t="shared" si="0"/>
        <v>8.1349659348861083E-5</v>
      </c>
      <c r="H25" s="68">
        <v>2.267037690873E-2</v>
      </c>
      <c r="I25" s="11">
        <f t="shared" si="1"/>
        <v>2.9712158464914811E-5</v>
      </c>
    </row>
    <row r="26" spans="1:9" x14ac:dyDescent="0.3">
      <c r="A26" s="57" t="s">
        <v>14</v>
      </c>
      <c r="B26" s="11" t="s">
        <v>122</v>
      </c>
      <c r="C26">
        <v>282</v>
      </c>
      <c r="D26" s="68">
        <v>3.2324799586242599E-5</v>
      </c>
      <c r="E26" s="11">
        <f t="shared" si="2"/>
        <v>1.146269488873851E-7</v>
      </c>
      <c r="F26" s="68">
        <v>0</v>
      </c>
      <c r="G26" s="11">
        <f t="shared" si="0"/>
        <v>0</v>
      </c>
      <c r="H26" s="68">
        <v>9.9737689875627098E-6</v>
      </c>
      <c r="I26" s="11">
        <f t="shared" si="1"/>
        <v>3.5367975133201097E-8</v>
      </c>
    </row>
    <row r="27" spans="1:9" x14ac:dyDescent="0.3">
      <c r="A27" s="57" t="s">
        <v>22</v>
      </c>
      <c r="B27" s="11" t="s">
        <v>122</v>
      </c>
      <c r="C27">
        <v>378871</v>
      </c>
      <c r="D27" s="68">
        <v>0.29383242823894501</v>
      </c>
      <c r="E27" s="11">
        <f t="shared" si="2"/>
        <v>7.7554742442399918E-7</v>
      </c>
      <c r="F27" s="68">
        <v>0.39424735682443202</v>
      </c>
      <c r="G27" s="11">
        <f t="shared" si="0"/>
        <v>1.0405846761151738E-6</v>
      </c>
      <c r="H27" s="68">
        <v>0.26027547549943603</v>
      </c>
      <c r="I27" s="11">
        <f t="shared" si="1"/>
        <v>6.8697650519421126E-7</v>
      </c>
    </row>
    <row r="28" spans="1:9" x14ac:dyDescent="0.3">
      <c r="A28" s="57" t="s">
        <v>23</v>
      </c>
      <c r="B28" s="11" t="s">
        <v>122</v>
      </c>
      <c r="C28">
        <v>62101</v>
      </c>
      <c r="D28" s="68">
        <v>0.45317214033273001</v>
      </c>
      <c r="E28" s="11">
        <f t="shared" si="2"/>
        <v>7.2973404668641409E-6</v>
      </c>
      <c r="F28" s="68">
        <v>0.51483423574222398</v>
      </c>
      <c r="G28" s="11">
        <f t="shared" si="0"/>
        <v>8.2902728739025782E-6</v>
      </c>
      <c r="H28" s="68">
        <v>0.29666975853505301</v>
      </c>
      <c r="I28" s="11">
        <f t="shared" si="1"/>
        <v>4.7772138699063303E-6</v>
      </c>
    </row>
    <row r="29" spans="1:9" x14ac:dyDescent="0.3">
      <c r="A29" s="57" t="s">
        <v>12</v>
      </c>
      <c r="B29" s="11" t="s">
        <v>122</v>
      </c>
      <c r="C29">
        <v>4876</v>
      </c>
      <c r="D29" s="68">
        <v>0</v>
      </c>
      <c r="E29" s="11">
        <f t="shared" si="2"/>
        <v>0</v>
      </c>
      <c r="F29" s="68">
        <v>1.8258834782311599E-2</v>
      </c>
      <c r="G29" s="11">
        <f t="shared" si="0"/>
        <v>3.7446338766020509E-6</v>
      </c>
      <c r="H29" s="68">
        <v>7.7296709653611002E-3</v>
      </c>
      <c r="I29" s="11">
        <f t="shared" si="1"/>
        <v>1.5852483522069525E-6</v>
      </c>
    </row>
    <row r="30" spans="1:9" x14ac:dyDescent="0.3">
      <c r="A30" s="57" t="s">
        <v>117</v>
      </c>
      <c r="B30" s="11" t="s">
        <v>122</v>
      </c>
      <c r="C30">
        <v>18277</v>
      </c>
      <c r="D30" s="68">
        <v>0</v>
      </c>
      <c r="E30" s="11">
        <f t="shared" si="2"/>
        <v>0</v>
      </c>
      <c r="F30" s="68">
        <v>0</v>
      </c>
      <c r="G30" s="11">
        <f t="shared" si="0"/>
        <v>0</v>
      </c>
      <c r="H30" s="68">
        <v>0</v>
      </c>
      <c r="I30" s="11">
        <f t="shared" si="1"/>
        <v>0</v>
      </c>
    </row>
    <row r="31" spans="1:9" x14ac:dyDescent="0.3">
      <c r="A31" s="57" t="s">
        <v>36</v>
      </c>
      <c r="B31" s="11" t="s">
        <v>122</v>
      </c>
      <c r="C31">
        <v>137</v>
      </c>
      <c r="D31" s="68">
        <v>1.2542022239462099E-2</v>
      </c>
      <c r="E31" s="11">
        <f t="shared" si="2"/>
        <v>9.154760758731459E-5</v>
      </c>
      <c r="F31" s="68">
        <v>6.3197089517823301E-4</v>
      </c>
      <c r="G31" s="11">
        <f t="shared" si="0"/>
        <v>4.612926242176883E-6</v>
      </c>
      <c r="H31" s="68">
        <v>7.5800644305476603E-4</v>
      </c>
      <c r="I31" s="11">
        <f t="shared" si="1"/>
        <v>5.5328937449252998E-6</v>
      </c>
    </row>
    <row r="32" spans="1:9" x14ac:dyDescent="0.3">
      <c r="A32" s="57" t="s">
        <v>66</v>
      </c>
      <c r="B32" s="11" t="s">
        <v>122</v>
      </c>
      <c r="C32">
        <v>167</v>
      </c>
      <c r="D32" s="68">
        <v>0</v>
      </c>
      <c r="E32" s="11">
        <f t="shared" si="2"/>
        <v>0</v>
      </c>
      <c r="F32" s="68">
        <v>1.70802944642766E-5</v>
      </c>
      <c r="G32" s="11">
        <f t="shared" si="0"/>
        <v>1.0227721236093773E-7</v>
      </c>
      <c r="H32" s="68">
        <v>1.9947537975125399E-5</v>
      </c>
      <c r="I32" s="11">
        <f t="shared" si="1"/>
        <v>1.1944633518039162E-7</v>
      </c>
    </row>
    <row r="33" spans="1:9" x14ac:dyDescent="0.3">
      <c r="A33" s="57" t="s">
        <v>41</v>
      </c>
      <c r="B33" s="11" t="s">
        <v>123</v>
      </c>
      <c r="C33">
        <v>85</v>
      </c>
      <c r="D33" s="68">
        <v>2.2304111714507402E-3</v>
      </c>
      <c r="E33" s="11">
        <f t="shared" si="2"/>
        <v>2.6240131428832237E-5</v>
      </c>
      <c r="F33" s="68">
        <v>1.28347875377047E-2</v>
      </c>
      <c r="G33" s="11">
        <f t="shared" si="0"/>
        <v>1.509975004435847E-4</v>
      </c>
      <c r="H33" s="68">
        <v>3.8498748291992098E-3</v>
      </c>
      <c r="I33" s="11">
        <f t="shared" si="1"/>
        <v>4.5292645049402469E-5</v>
      </c>
    </row>
    <row r="34" spans="1:9" x14ac:dyDescent="0.3">
      <c r="A34" s="57" t="s">
        <v>13</v>
      </c>
      <c r="B34" s="11" t="s">
        <v>123</v>
      </c>
      <c r="C34">
        <v>763</v>
      </c>
      <c r="D34" s="68">
        <v>9.0509438841479203E-4</v>
      </c>
      <c r="E34" s="11">
        <f t="shared" si="2"/>
        <v>1.1862311774767918E-6</v>
      </c>
      <c r="F34" s="68">
        <v>4.5792254590359703E-2</v>
      </c>
      <c r="G34" s="11">
        <f t="shared" si="0"/>
        <v>6.0016061062070381E-5</v>
      </c>
      <c r="H34" s="68">
        <v>2.267037690873E-2</v>
      </c>
      <c r="I34" s="11">
        <f t="shared" si="1"/>
        <v>2.9712158464914811E-5</v>
      </c>
    </row>
    <row r="35" spans="1:9" x14ac:dyDescent="0.3">
      <c r="A35" s="57" t="s">
        <v>14</v>
      </c>
      <c r="B35" s="11" t="s">
        <v>123</v>
      </c>
      <c r="C35">
        <v>2</v>
      </c>
      <c r="D35" s="68">
        <v>3.92207568313076E-3</v>
      </c>
      <c r="E35" s="11">
        <f t="shared" si="2"/>
        <v>1.96103784156538E-3</v>
      </c>
      <c r="F35" s="68">
        <v>0</v>
      </c>
      <c r="G35" s="11">
        <f t="shared" si="0"/>
        <v>0</v>
      </c>
      <c r="H35" s="68">
        <v>0</v>
      </c>
      <c r="I35" s="11">
        <f t="shared" si="1"/>
        <v>0</v>
      </c>
    </row>
    <row r="36" spans="1:9" x14ac:dyDescent="0.3">
      <c r="A36" s="57" t="s">
        <v>22</v>
      </c>
      <c r="B36" s="11" t="s">
        <v>123</v>
      </c>
      <c r="C36">
        <v>332268</v>
      </c>
      <c r="D36" s="68">
        <v>2.2013188518231201E-2</v>
      </c>
      <c r="E36" s="11">
        <f t="shared" si="2"/>
        <v>6.6251304724593401E-8</v>
      </c>
      <c r="F36" s="68">
        <v>0.33524303095329699</v>
      </c>
      <c r="G36" s="11">
        <f t="shared" si="0"/>
        <v>1.0089537089135788E-6</v>
      </c>
      <c r="H36" s="68">
        <v>0.15127215423436399</v>
      </c>
      <c r="I36" s="11">
        <f t="shared" si="1"/>
        <v>4.5527151045049177E-7</v>
      </c>
    </row>
    <row r="37" spans="1:9" x14ac:dyDescent="0.3">
      <c r="A37" s="57" t="s">
        <v>23</v>
      </c>
      <c r="B37" s="11" t="s">
        <v>123</v>
      </c>
      <c r="C37">
        <v>21139</v>
      </c>
      <c r="D37" s="68">
        <v>1.07749331954142E-5</v>
      </c>
      <c r="E37" s="11">
        <f t="shared" si="2"/>
        <v>5.0971820783453335E-10</v>
      </c>
      <c r="F37" s="68">
        <v>0.41773791930684101</v>
      </c>
      <c r="G37" s="11">
        <f t="shared" si="0"/>
        <v>1.9761479696619567E-5</v>
      </c>
      <c r="H37" s="68">
        <v>0.161874270668143</v>
      </c>
      <c r="I37" s="11">
        <f t="shared" si="1"/>
        <v>7.6576125014495954E-6</v>
      </c>
    </row>
    <row r="38" spans="1:9" x14ac:dyDescent="0.3">
      <c r="A38" s="57" t="s">
        <v>12</v>
      </c>
      <c r="B38" s="11" t="s">
        <v>123</v>
      </c>
      <c r="C38">
        <v>1886</v>
      </c>
      <c r="D38" s="68">
        <v>0.25591543832428199</v>
      </c>
      <c r="E38" s="11">
        <f t="shared" si="2"/>
        <v>1.3569217302453977E-4</v>
      </c>
      <c r="F38" s="68">
        <v>1.12759884203494E-2</v>
      </c>
      <c r="G38" s="11">
        <f t="shared" si="0"/>
        <v>5.9787849524652175E-6</v>
      </c>
      <c r="H38" s="68">
        <v>3.7501371393235802E-3</v>
      </c>
      <c r="I38" s="11">
        <f t="shared" si="1"/>
        <v>1.9884078151238493E-6</v>
      </c>
    </row>
    <row r="39" spans="1:9" x14ac:dyDescent="0.3">
      <c r="A39" s="57" t="s">
        <v>117</v>
      </c>
      <c r="B39" s="11" t="s">
        <v>123</v>
      </c>
      <c r="C39">
        <v>266</v>
      </c>
      <c r="D39" s="68">
        <v>0.37921299887940702</v>
      </c>
      <c r="E39" s="11">
        <f t="shared" si="2"/>
        <v>1.4256127777421317E-3</v>
      </c>
      <c r="F39" s="68">
        <v>0</v>
      </c>
      <c r="G39" s="11">
        <f t="shared" si="0"/>
        <v>0</v>
      </c>
      <c r="H39" s="68">
        <v>0</v>
      </c>
      <c r="I39" s="11">
        <f t="shared" si="1"/>
        <v>0</v>
      </c>
    </row>
    <row r="40" spans="1:9" x14ac:dyDescent="0.3">
      <c r="A40" s="57" t="s">
        <v>36</v>
      </c>
      <c r="B40" s="11" t="s">
        <v>123</v>
      </c>
      <c r="C40">
        <v>12</v>
      </c>
      <c r="D40" s="68">
        <v>0</v>
      </c>
      <c r="E40" s="11">
        <f t="shared" si="2"/>
        <v>0</v>
      </c>
      <c r="F40" s="68">
        <v>2.02441443812377E-5</v>
      </c>
      <c r="G40" s="11">
        <f t="shared" si="0"/>
        <v>1.6870120317698083E-6</v>
      </c>
      <c r="H40" s="68">
        <v>0</v>
      </c>
      <c r="I40" s="11">
        <f t="shared" si="1"/>
        <v>0</v>
      </c>
    </row>
    <row r="41" spans="1:9" x14ac:dyDescent="0.3">
      <c r="A41" s="57" t="s">
        <v>66</v>
      </c>
      <c r="B41" s="11" t="s">
        <v>123</v>
      </c>
      <c r="C41">
        <v>383</v>
      </c>
      <c r="D41" s="68">
        <v>0</v>
      </c>
      <c r="E41" s="11">
        <f t="shared" si="2"/>
        <v>0</v>
      </c>
      <c r="F41" s="68">
        <v>0</v>
      </c>
      <c r="G41" s="11">
        <f t="shared" si="0"/>
        <v>0</v>
      </c>
      <c r="H41" s="68">
        <v>9.9737689875627098E-6</v>
      </c>
      <c r="I41" s="11">
        <f t="shared" si="1"/>
        <v>2.6041172291286448E-8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AB99-0A4C-4295-9F67-13EDB298905C}">
  <dimension ref="A1:T12"/>
  <sheetViews>
    <sheetView topLeftCell="F1" workbookViewId="0">
      <selection activeCell="Q2" sqref="Q2:Q12"/>
    </sheetView>
  </sheetViews>
  <sheetFormatPr defaultRowHeight="14.4" x14ac:dyDescent="0.3"/>
  <cols>
    <col min="1" max="1" width="14.21875" bestFit="1" customWidth="1"/>
    <col min="4" max="4" width="12" bestFit="1" customWidth="1"/>
    <col min="6" max="6" width="14.21875" bestFit="1" customWidth="1"/>
    <col min="7" max="7" width="12" style="53" bestFit="1" customWidth="1"/>
    <col min="11" max="11" width="12" bestFit="1" customWidth="1"/>
    <col min="12" max="12" width="14.21875" bestFit="1" customWidth="1"/>
    <col min="13" max="13" width="12" bestFit="1" customWidth="1"/>
    <col min="14" max="14" width="12" style="53" bestFit="1" customWidth="1"/>
    <col min="16" max="16" width="8.21875" bestFit="1" customWidth="1"/>
    <col min="17" max="17" width="12" bestFit="1" customWidth="1"/>
    <col min="18" max="18" width="14.21875" bestFit="1" customWidth="1"/>
    <col min="19" max="19" width="12" bestFit="1" customWidth="1"/>
    <col min="20" max="20" width="12" style="53" bestFit="1" customWidth="1"/>
  </cols>
  <sheetData>
    <row r="1" spans="1:20" x14ac:dyDescent="0.3">
      <c r="B1" t="s">
        <v>105</v>
      </c>
      <c r="D1" t="s">
        <v>153</v>
      </c>
      <c r="E1" t="s">
        <v>103</v>
      </c>
      <c r="F1" t="s">
        <v>104</v>
      </c>
      <c r="G1" s="53" t="s">
        <v>124</v>
      </c>
      <c r="I1" t="s">
        <v>106</v>
      </c>
      <c r="K1" t="s">
        <v>153</v>
      </c>
      <c r="L1" t="s">
        <v>103</v>
      </c>
      <c r="M1" t="s">
        <v>102</v>
      </c>
      <c r="N1" s="53" t="s">
        <v>124</v>
      </c>
      <c r="O1" t="s">
        <v>107</v>
      </c>
      <c r="Q1" t="s">
        <v>153</v>
      </c>
      <c r="R1" t="s">
        <v>103</v>
      </c>
      <c r="S1" t="s">
        <v>104</v>
      </c>
      <c r="T1" s="53" t="s">
        <v>124</v>
      </c>
    </row>
    <row r="2" spans="1:20" ht="15.6" x14ac:dyDescent="0.3">
      <c r="A2" s="57" t="s">
        <v>41</v>
      </c>
      <c r="B2" s="71">
        <v>4.1927100000000004E-6</v>
      </c>
      <c r="C2" s="71">
        <v>3.42102E-5</v>
      </c>
      <c r="D2">
        <f t="shared" ref="D2:D12" si="0">ABS(B2-C2)</f>
        <v>3.0017490000000001E-5</v>
      </c>
      <c r="E2">
        <f>MIN(D2:D12)</f>
        <v>0</v>
      </c>
      <c r="F2" s="57">
        <f>MAX(D2:D12)</f>
        <v>3.0017490000000001E-5</v>
      </c>
      <c r="G2" s="53">
        <f>100-(D2-E2)/(F2-E2)*100</f>
        <v>0</v>
      </c>
      <c r="I2" s="71">
        <v>1.68286E-5</v>
      </c>
      <c r="J2" s="71">
        <v>9.7624100000000006E-5</v>
      </c>
      <c r="K2">
        <f>ABS(I2-J2)</f>
        <v>8.0795500000000009E-5</v>
      </c>
      <c r="L2" s="72">
        <f>MIN(K2:K12)</f>
        <v>0</v>
      </c>
      <c r="M2">
        <f>MAX(K2:K12)</f>
        <v>8.0795500000000009E-5</v>
      </c>
      <c r="N2" s="53">
        <f>100-(K2-L2)/(M2-L2)*100</f>
        <v>0</v>
      </c>
      <c r="O2" s="71">
        <v>1.4346500000000001E-6</v>
      </c>
      <c r="P2" s="71">
        <v>3.0987400000000001E-5</v>
      </c>
      <c r="Q2">
        <f>ABS(O2-P2)</f>
        <v>2.9552749999999999E-5</v>
      </c>
      <c r="R2" s="57">
        <f>MIN(Q2:Q12)</f>
        <v>0</v>
      </c>
      <c r="S2">
        <f>MAX(Q2:Q12)</f>
        <v>2.9552749999999999E-5</v>
      </c>
      <c r="T2" s="53">
        <f>100-(Q2-R2)/(S2-R2)*100</f>
        <v>0</v>
      </c>
    </row>
    <row r="3" spans="1:20" ht="15.6" x14ac:dyDescent="0.3">
      <c r="A3" s="57" t="s">
        <v>13</v>
      </c>
      <c r="B3" s="71">
        <v>2.8850800000000002E-5</v>
      </c>
      <c r="C3" s="71">
        <v>2.8850800000000002E-5</v>
      </c>
      <c r="D3">
        <f t="shared" si="0"/>
        <v>0</v>
      </c>
      <c r="E3">
        <v>0</v>
      </c>
      <c r="F3" s="57">
        <v>3.0017490000000001E-5</v>
      </c>
      <c r="G3" s="53">
        <f t="shared" ref="G3:G12" si="1">100-(D3-E3)/(F3-E3)*100</f>
        <v>100</v>
      </c>
      <c r="I3" s="71">
        <v>7.0682899999999994E-5</v>
      </c>
      <c r="J3" s="71">
        <v>7.0682899999999994E-5</v>
      </c>
      <c r="K3">
        <f t="shared" ref="K3:K12" si="2">ABS(I3-J3)</f>
        <v>0</v>
      </c>
      <c r="L3" s="72">
        <v>0</v>
      </c>
      <c r="M3">
        <v>8.0795500000000009E-5</v>
      </c>
      <c r="N3" s="53">
        <f t="shared" ref="N3:N12" si="3">100-(K3-L3)/(M3-L3)*100</f>
        <v>100</v>
      </c>
      <c r="O3" s="71">
        <v>2.97122E-5</v>
      </c>
      <c r="P3" s="71">
        <v>2.97122E-5</v>
      </c>
      <c r="Q3">
        <f t="shared" ref="Q3:Q12" si="4">ABS(O3-P3)</f>
        <v>0</v>
      </c>
      <c r="R3" s="57">
        <v>0</v>
      </c>
      <c r="S3">
        <v>2.9552749999999999E-5</v>
      </c>
      <c r="T3" s="53">
        <f t="shared" ref="T3:T12" si="5">100-(Q3-R3)/(S3-R3)*100</f>
        <v>100</v>
      </c>
    </row>
    <row r="4" spans="1:20" ht="15.6" x14ac:dyDescent="0.3">
      <c r="A4" s="57" t="s">
        <v>14</v>
      </c>
      <c r="B4" s="71">
        <v>2.8398299999999999E-6</v>
      </c>
      <c r="C4" s="71">
        <v>2.7510500000000001E-6</v>
      </c>
      <c r="D4">
        <f t="shared" si="0"/>
        <v>8.8779999999999767E-8</v>
      </c>
      <c r="E4">
        <v>0</v>
      </c>
      <c r="F4" s="57">
        <v>3.0017490000000001E-5</v>
      </c>
      <c r="G4" s="53">
        <f t="shared" si="1"/>
        <v>99.704239095274119</v>
      </c>
      <c r="I4" s="71">
        <v>3.7563100000000002E-6</v>
      </c>
      <c r="J4">
        <v>0</v>
      </c>
      <c r="K4">
        <f t="shared" si="2"/>
        <v>3.7563100000000002E-6</v>
      </c>
      <c r="L4" s="72">
        <v>0</v>
      </c>
      <c r="M4">
        <v>8.0795500000000009E-5</v>
      </c>
      <c r="N4" s="53">
        <f t="shared" si="3"/>
        <v>95.350842559300958</v>
      </c>
      <c r="O4" s="71">
        <v>5.4867899999999999E-7</v>
      </c>
      <c r="P4" s="71">
        <v>1.7684000000000001E-8</v>
      </c>
      <c r="Q4">
        <f t="shared" si="4"/>
        <v>5.3099499999999994E-7</v>
      </c>
      <c r="R4" s="57">
        <v>0</v>
      </c>
      <c r="S4">
        <v>2.9552749999999999E-5</v>
      </c>
      <c r="T4" s="53">
        <f>100-(Q4-R4)/(S4-R4)*100</f>
        <v>98.203229817868049</v>
      </c>
    </row>
    <row r="5" spans="1:20" ht="15.6" x14ac:dyDescent="0.3">
      <c r="A5" s="57" t="s">
        <v>22</v>
      </c>
      <c r="B5" s="71">
        <v>9.4195599999999997E-8</v>
      </c>
      <c r="C5" s="71">
        <v>7.7287799999999997E-7</v>
      </c>
      <c r="D5">
        <f t="shared" si="0"/>
        <v>6.7868239999999996E-7</v>
      </c>
      <c r="E5">
        <v>0</v>
      </c>
      <c r="F5" s="57">
        <v>3.0017490000000001E-5</v>
      </c>
      <c r="G5" s="53">
        <f t="shared" si="1"/>
        <v>97.739043470989742</v>
      </c>
      <c r="I5" s="71">
        <v>8.8355199999999997E-8</v>
      </c>
      <c r="J5" s="71">
        <v>1.0247699999999999E-6</v>
      </c>
      <c r="K5">
        <f t="shared" si="2"/>
        <v>9.3641479999999995E-7</v>
      </c>
      <c r="L5" s="72">
        <v>0</v>
      </c>
      <c r="M5">
        <v>8.0795500000000009E-5</v>
      </c>
      <c r="N5" s="53">
        <f t="shared" si="3"/>
        <v>98.841006244159644</v>
      </c>
      <c r="O5" s="71">
        <v>3.9734100000000001E-7</v>
      </c>
      <c r="P5" s="71">
        <v>5.7112400000000005E-7</v>
      </c>
      <c r="Q5">
        <f t="shared" si="4"/>
        <v>1.7378300000000004E-7</v>
      </c>
      <c r="R5" s="57">
        <v>0</v>
      </c>
      <c r="S5">
        <v>2.9552749999999999E-5</v>
      </c>
      <c r="T5" s="53">
        <f t="shared" si="5"/>
        <v>99.411956586104509</v>
      </c>
    </row>
    <row r="6" spans="1:20" ht="15.6" x14ac:dyDescent="0.3">
      <c r="A6" s="57" t="s">
        <v>23</v>
      </c>
      <c r="B6" s="71">
        <v>4.3109100000000004E-6</v>
      </c>
      <c r="C6" s="71">
        <v>1.2618200000000001E-5</v>
      </c>
      <c r="D6">
        <f t="shared" si="0"/>
        <v>8.3072900000000002E-6</v>
      </c>
      <c r="E6">
        <v>0</v>
      </c>
      <c r="F6" s="57">
        <v>3.0017490000000001E-5</v>
      </c>
      <c r="G6" s="53">
        <f t="shared" si="1"/>
        <v>72.325167760528942</v>
      </c>
      <c r="I6" s="71">
        <v>1.20649E-5</v>
      </c>
      <c r="J6" s="71">
        <v>1.4025900000000001E-5</v>
      </c>
      <c r="K6">
        <f t="shared" si="2"/>
        <v>1.9610000000000004E-6</v>
      </c>
      <c r="L6" s="72">
        <v>0</v>
      </c>
      <c r="M6">
        <v>8.0795500000000009E-5</v>
      </c>
      <c r="N6" s="53">
        <f t="shared" si="3"/>
        <v>97.572884628475592</v>
      </c>
      <c r="O6" s="71">
        <v>5.3763100000000004E-6</v>
      </c>
      <c r="P6" s="71">
        <v>6.2174099999999998E-6</v>
      </c>
      <c r="Q6">
        <f t="shared" si="4"/>
        <v>8.4109999999999945E-7</v>
      </c>
      <c r="R6" s="57">
        <v>0</v>
      </c>
      <c r="S6">
        <v>2.9552749999999999E-5</v>
      </c>
      <c r="T6" s="53">
        <f t="shared" si="5"/>
        <v>97.153902767085981</v>
      </c>
    </row>
    <row r="7" spans="1:20" ht="15.6" x14ac:dyDescent="0.3">
      <c r="A7" s="57" t="s">
        <v>132</v>
      </c>
      <c r="B7" s="71">
        <v>5.6815099999999996E-6</v>
      </c>
      <c r="C7">
        <v>0</v>
      </c>
      <c r="D7">
        <f t="shared" si="0"/>
        <v>5.6815099999999996E-6</v>
      </c>
      <c r="E7">
        <v>0</v>
      </c>
      <c r="F7" s="57">
        <v>3.0017490000000001E-5</v>
      </c>
      <c r="G7" s="53">
        <f t="shared" si="1"/>
        <v>81.072667967908046</v>
      </c>
      <c r="I7" s="71">
        <v>1.19622E-5</v>
      </c>
      <c r="J7">
        <v>0</v>
      </c>
      <c r="K7">
        <f t="shared" si="2"/>
        <v>1.19622E-5</v>
      </c>
      <c r="L7" s="72">
        <v>0</v>
      </c>
      <c r="M7">
        <v>8.0795500000000009E-5</v>
      </c>
      <c r="N7" s="53">
        <f t="shared" si="3"/>
        <v>85.194472464431811</v>
      </c>
      <c r="O7" s="71">
        <v>2.3784500000000001E-6</v>
      </c>
      <c r="P7">
        <v>0</v>
      </c>
      <c r="Q7">
        <f t="shared" si="4"/>
        <v>2.3784500000000001E-6</v>
      </c>
      <c r="R7" s="57">
        <v>0</v>
      </c>
      <c r="S7">
        <v>2.9552749999999999E-5</v>
      </c>
      <c r="T7" s="53">
        <f t="shared" si="5"/>
        <v>91.95184881271625</v>
      </c>
    </row>
    <row r="8" spans="1:20" ht="15.6" x14ac:dyDescent="0.3">
      <c r="A8" s="57" t="s">
        <v>131</v>
      </c>
      <c r="B8" s="71">
        <v>3.49124E-6</v>
      </c>
      <c r="C8">
        <v>0</v>
      </c>
      <c r="D8">
        <f t="shared" si="0"/>
        <v>3.49124E-6</v>
      </c>
      <c r="E8">
        <v>0</v>
      </c>
      <c r="F8" s="57">
        <v>3.0017490000000001E-5</v>
      </c>
      <c r="G8" s="53">
        <f t="shared" si="1"/>
        <v>88.369314023257772</v>
      </c>
      <c r="I8" s="71">
        <v>7.3471999999999997E-6</v>
      </c>
      <c r="J8">
        <v>0</v>
      </c>
      <c r="K8">
        <f t="shared" si="2"/>
        <v>7.3471999999999997E-6</v>
      </c>
      <c r="L8" s="72">
        <v>0</v>
      </c>
      <c r="M8">
        <v>8.0795500000000009E-5</v>
      </c>
      <c r="N8" s="53">
        <f t="shared" si="3"/>
        <v>90.906424243924477</v>
      </c>
      <c r="O8" s="71">
        <v>7.45761E-7</v>
      </c>
      <c r="P8">
        <v>0</v>
      </c>
      <c r="Q8">
        <f t="shared" si="4"/>
        <v>7.45761E-7</v>
      </c>
      <c r="R8" s="57">
        <v>0</v>
      </c>
      <c r="S8">
        <v>2.9552749999999999E-5</v>
      </c>
      <c r="T8" s="53">
        <f t="shared" si="5"/>
        <v>97.476508954327429</v>
      </c>
    </row>
    <row r="9" spans="1:20" ht="15.6" x14ac:dyDescent="0.3">
      <c r="A9" s="57" t="s">
        <v>12</v>
      </c>
      <c r="B9" s="71">
        <v>1.48163E-7</v>
      </c>
      <c r="C9" s="71">
        <v>3.1314300000000002E-6</v>
      </c>
      <c r="D9">
        <f t="shared" si="0"/>
        <v>2.983267E-6</v>
      </c>
      <c r="E9">
        <v>0</v>
      </c>
      <c r="F9" s="57">
        <v>3.0017490000000001E-5</v>
      </c>
      <c r="G9" s="53">
        <f t="shared" si="1"/>
        <v>90.061570770907224</v>
      </c>
      <c r="I9" s="71">
        <v>4.5749499999999998E-7</v>
      </c>
      <c r="J9" s="71">
        <v>4.8617100000000002E-6</v>
      </c>
      <c r="K9">
        <f t="shared" si="2"/>
        <v>4.4042150000000003E-6</v>
      </c>
      <c r="L9" s="72">
        <v>0</v>
      </c>
      <c r="M9">
        <v>8.0795500000000009E-5</v>
      </c>
      <c r="N9" s="53">
        <f t="shared" si="3"/>
        <v>94.548935274860611</v>
      </c>
      <c r="O9" s="71">
        <v>1.99214E-7</v>
      </c>
      <c r="P9" s="71">
        <v>1.78683E-6</v>
      </c>
      <c r="Q9">
        <f t="shared" si="4"/>
        <v>1.5876159999999999E-6</v>
      </c>
      <c r="R9" s="57">
        <v>0</v>
      </c>
      <c r="S9">
        <v>2.9552749999999999E-5</v>
      </c>
      <c r="T9" s="53">
        <f t="shared" si="5"/>
        <v>94.627856967625689</v>
      </c>
    </row>
    <row r="10" spans="1:20" ht="15.6" x14ac:dyDescent="0.3">
      <c r="A10" s="57" t="s">
        <v>117</v>
      </c>
      <c r="B10" s="71">
        <v>3.5311299999999999E-6</v>
      </c>
      <c r="C10">
        <v>0</v>
      </c>
      <c r="D10">
        <f t="shared" si="0"/>
        <v>3.5311299999999999E-6</v>
      </c>
      <c r="E10">
        <v>0</v>
      </c>
      <c r="F10" s="57">
        <v>3.0017490000000001E-5</v>
      </c>
      <c r="G10" s="53">
        <f t="shared" si="1"/>
        <v>88.236424830990202</v>
      </c>
      <c r="I10" s="71">
        <v>8.3332300000000005E-6</v>
      </c>
      <c r="J10">
        <v>0</v>
      </c>
      <c r="K10">
        <f t="shared" si="2"/>
        <v>8.3332300000000005E-6</v>
      </c>
      <c r="L10" s="72">
        <v>0</v>
      </c>
      <c r="M10">
        <v>8.0795500000000009E-5</v>
      </c>
      <c r="N10" s="53">
        <f t="shared" si="3"/>
        <v>89.686022117568427</v>
      </c>
      <c r="O10" s="71">
        <v>6.4992000000000004E-7</v>
      </c>
      <c r="P10">
        <v>0</v>
      </c>
      <c r="Q10">
        <f t="shared" si="4"/>
        <v>6.4992000000000004E-7</v>
      </c>
      <c r="R10" s="57">
        <v>0</v>
      </c>
      <c r="S10">
        <v>2.9552749999999999E-5</v>
      </c>
      <c r="T10" s="53">
        <f t="shared" si="5"/>
        <v>97.800813799054239</v>
      </c>
    </row>
    <row r="11" spans="1:20" ht="15.6" x14ac:dyDescent="0.3">
      <c r="A11" s="57" t="s">
        <v>36</v>
      </c>
      <c r="B11" s="71">
        <v>3.1503900000000001E-6</v>
      </c>
      <c r="C11" s="71">
        <v>1.3976599999999999E-5</v>
      </c>
      <c r="D11">
        <f t="shared" si="0"/>
        <v>1.0826209999999999E-5</v>
      </c>
      <c r="E11">
        <v>0</v>
      </c>
      <c r="F11" s="57">
        <v>3.0017490000000001E-5</v>
      </c>
      <c r="G11" s="53">
        <f t="shared" si="1"/>
        <v>63.933660009547772</v>
      </c>
      <c r="I11" s="71">
        <v>7.2867900000000004E-6</v>
      </c>
      <c r="J11" s="71">
        <v>3.1499699999999999E-6</v>
      </c>
      <c r="K11">
        <f t="shared" si="2"/>
        <v>4.1368200000000005E-6</v>
      </c>
      <c r="L11" s="72">
        <v>0</v>
      </c>
      <c r="M11">
        <v>8.0795500000000009E-5</v>
      </c>
      <c r="N11" s="53">
        <f t="shared" si="3"/>
        <v>94.879888112580531</v>
      </c>
      <c r="O11" s="71">
        <v>8.0572600000000005E-7</v>
      </c>
      <c r="P11" s="71">
        <v>2.76645E-6</v>
      </c>
      <c r="Q11">
        <f t="shared" si="4"/>
        <v>1.9607239999999999E-6</v>
      </c>
      <c r="R11" s="57">
        <v>0</v>
      </c>
      <c r="S11">
        <v>2.9552749999999999E-5</v>
      </c>
      <c r="T11" s="53">
        <f t="shared" si="5"/>
        <v>93.365341634873232</v>
      </c>
    </row>
    <row r="12" spans="1:20" ht="15.6" x14ac:dyDescent="0.3">
      <c r="A12" s="57" t="s">
        <v>66</v>
      </c>
      <c r="B12" s="71">
        <v>1.05991E-5</v>
      </c>
      <c r="C12" s="71">
        <v>2.75206E-6</v>
      </c>
      <c r="D12">
        <f t="shared" si="0"/>
        <v>7.8470400000000007E-6</v>
      </c>
      <c r="E12">
        <v>0</v>
      </c>
      <c r="F12" s="57">
        <v>3.0017490000000001E-5</v>
      </c>
      <c r="G12" s="53">
        <f t="shared" si="1"/>
        <v>73.858440529171489</v>
      </c>
      <c r="I12" s="71">
        <v>2.1746000000000002E-5</v>
      </c>
      <c r="J12" s="71">
        <v>5.1138599999999997E-8</v>
      </c>
      <c r="K12">
        <f t="shared" si="2"/>
        <v>2.1694861400000001E-5</v>
      </c>
      <c r="L12" s="72">
        <v>0</v>
      </c>
      <c r="M12">
        <v>8.0795500000000009E-5</v>
      </c>
      <c r="N12" s="53">
        <f t="shared" si="3"/>
        <v>73.148428563471981</v>
      </c>
      <c r="O12" s="71">
        <v>2.1405600000000001E-6</v>
      </c>
      <c r="P12" s="71">
        <v>7.2743799999999995E-8</v>
      </c>
      <c r="Q12">
        <f t="shared" si="4"/>
        <v>2.0678162000000002E-6</v>
      </c>
      <c r="R12" s="57">
        <v>0</v>
      </c>
      <c r="S12">
        <v>2.9552749999999999E-5</v>
      </c>
      <c r="T12" s="53">
        <f t="shared" si="5"/>
        <v>93.002965206283676</v>
      </c>
    </row>
  </sheetData>
  <sortState xmlns:xlrd2="http://schemas.microsoft.com/office/spreadsheetml/2017/richdata2" ref="R2:S12">
    <sortCondition ref="S2:S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1463-EE55-422F-B37D-4B8417E35331}">
  <dimension ref="A1:N31"/>
  <sheetViews>
    <sheetView topLeftCell="A18" workbookViewId="0">
      <selection activeCell="E30" sqref="E30"/>
    </sheetView>
  </sheetViews>
  <sheetFormatPr defaultColWidth="15.77734375" defaultRowHeight="18" x14ac:dyDescent="0.3"/>
  <cols>
    <col min="1" max="1" width="18" style="45" bestFit="1" customWidth="1"/>
    <col min="2" max="3" width="15.77734375" style="45"/>
    <col min="4" max="4" width="13.33203125" style="6" bestFit="1" customWidth="1"/>
    <col min="5" max="16384" width="15.77734375" style="6"/>
  </cols>
  <sheetData>
    <row r="1" spans="1:14" s="42" customFormat="1" ht="19.2" thickTop="1" thickBot="1" x14ac:dyDescent="0.35">
      <c r="A1" s="45"/>
      <c r="B1" s="45"/>
      <c r="C1" s="45"/>
      <c r="D1" s="43" t="s">
        <v>12</v>
      </c>
      <c r="E1" s="44" t="s">
        <v>17</v>
      </c>
      <c r="F1" s="44" t="s">
        <v>21</v>
      </c>
      <c r="G1" s="43" t="s">
        <v>23</v>
      </c>
      <c r="H1" s="43" t="s">
        <v>36</v>
      </c>
      <c r="I1" s="43" t="s">
        <v>40</v>
      </c>
      <c r="J1" s="43" t="s">
        <v>41</v>
      </c>
      <c r="K1" s="43" t="s">
        <v>66</v>
      </c>
      <c r="L1" s="42" t="s">
        <v>81</v>
      </c>
      <c r="M1" s="42" t="s">
        <v>82</v>
      </c>
      <c r="N1" s="42" t="s">
        <v>84</v>
      </c>
    </row>
    <row r="2" spans="1:14" ht="18.600000000000001" thickTop="1" x14ac:dyDescent="0.3">
      <c r="A2" s="73" t="s">
        <v>67</v>
      </c>
      <c r="B2" s="73" t="s">
        <v>72</v>
      </c>
      <c r="C2" s="45" t="s">
        <v>69</v>
      </c>
      <c r="D2" s="48"/>
      <c r="E2" s="48"/>
      <c r="F2" s="48"/>
      <c r="G2" s="48">
        <v>30693</v>
      </c>
      <c r="H2" s="48"/>
      <c r="I2" s="48"/>
      <c r="J2" s="48">
        <v>6440</v>
      </c>
      <c r="K2" s="48">
        <v>353</v>
      </c>
      <c r="L2" s="49"/>
      <c r="M2" s="48"/>
      <c r="N2" s="48"/>
    </row>
    <row r="3" spans="1:14" x14ac:dyDescent="0.3">
      <c r="A3" s="73"/>
      <c r="B3" s="73"/>
      <c r="C3" s="45" t="s">
        <v>70</v>
      </c>
      <c r="D3" s="48"/>
      <c r="E3" s="48"/>
      <c r="F3" s="48"/>
      <c r="G3" s="48">
        <v>44030</v>
      </c>
      <c r="H3" s="48"/>
      <c r="I3" s="48"/>
      <c r="J3" s="48">
        <v>7322</v>
      </c>
      <c r="K3" s="48">
        <v>358</v>
      </c>
      <c r="L3" s="49"/>
      <c r="M3" s="48"/>
      <c r="N3" s="48"/>
    </row>
    <row r="4" spans="1:14" x14ac:dyDescent="0.3">
      <c r="A4" s="73"/>
      <c r="B4" s="73" t="s">
        <v>68</v>
      </c>
      <c r="C4" s="45" t="s">
        <v>69</v>
      </c>
      <c r="D4" s="48">
        <v>1014.06163287162</v>
      </c>
      <c r="E4" s="48">
        <v>1602</v>
      </c>
      <c r="F4" s="48">
        <v>1072</v>
      </c>
      <c r="G4" s="48"/>
      <c r="H4" s="48">
        <v>673</v>
      </c>
      <c r="I4" s="48">
        <v>254</v>
      </c>
      <c r="J4" s="48"/>
      <c r="K4" s="48"/>
      <c r="L4" s="75">
        <v>1510</v>
      </c>
      <c r="M4" s="74">
        <v>2338</v>
      </c>
      <c r="N4" s="48">
        <v>192</v>
      </c>
    </row>
    <row r="5" spans="1:14" x14ac:dyDescent="0.3">
      <c r="A5" s="73"/>
      <c r="B5" s="73"/>
      <c r="C5" s="45" t="s">
        <v>70</v>
      </c>
      <c r="D5" s="48">
        <v>3218.7920155525198</v>
      </c>
      <c r="E5" s="48">
        <v>4415</v>
      </c>
      <c r="F5" s="48">
        <v>1464</v>
      </c>
      <c r="G5" s="48"/>
      <c r="H5" s="48">
        <v>1195</v>
      </c>
      <c r="I5" s="48">
        <v>507</v>
      </c>
      <c r="J5" s="48"/>
      <c r="K5" s="48"/>
      <c r="L5" s="75"/>
      <c r="M5" s="74"/>
      <c r="N5" s="48">
        <v>380</v>
      </c>
    </row>
    <row r="6" spans="1:14" x14ac:dyDescent="0.3">
      <c r="A6" s="73"/>
      <c r="B6" s="73" t="s">
        <v>71</v>
      </c>
      <c r="C6" s="45" t="s">
        <v>69</v>
      </c>
      <c r="D6" s="48">
        <v>571.74604177474896</v>
      </c>
      <c r="E6" s="48">
        <v>1198</v>
      </c>
      <c r="F6" s="48">
        <v>764</v>
      </c>
      <c r="G6" s="48"/>
      <c r="H6" s="48">
        <v>501</v>
      </c>
      <c r="I6" s="48">
        <v>176</v>
      </c>
      <c r="J6" s="48"/>
      <c r="K6" s="48"/>
      <c r="L6" s="75">
        <v>1196</v>
      </c>
      <c r="M6" s="74">
        <v>1030</v>
      </c>
      <c r="N6" s="48">
        <v>128</v>
      </c>
    </row>
    <row r="7" spans="1:14" x14ac:dyDescent="0.3">
      <c r="A7" s="73"/>
      <c r="B7" s="73"/>
      <c r="C7" s="45" t="s">
        <v>70</v>
      </c>
      <c r="D7" s="48">
        <v>1722.7421057224201</v>
      </c>
      <c r="E7" s="48">
        <v>3503</v>
      </c>
      <c r="F7" s="48">
        <v>1015</v>
      </c>
      <c r="G7" s="48"/>
      <c r="H7" s="48">
        <v>892</v>
      </c>
      <c r="I7" s="48">
        <v>334</v>
      </c>
      <c r="J7" s="48"/>
      <c r="K7" s="48"/>
      <c r="L7" s="75"/>
      <c r="M7" s="74"/>
      <c r="N7" s="48">
        <v>235</v>
      </c>
    </row>
    <row r="8" spans="1:14" x14ac:dyDescent="0.3">
      <c r="D8" s="51"/>
      <c r="E8" s="51"/>
      <c r="F8" s="51"/>
      <c r="G8" s="51"/>
      <c r="H8" s="51"/>
      <c r="I8" s="51"/>
      <c r="J8" s="51"/>
      <c r="K8" s="51"/>
      <c r="L8" s="48"/>
      <c r="M8" s="48"/>
      <c r="N8" s="48"/>
    </row>
    <row r="9" spans="1:14" x14ac:dyDescent="0.3">
      <c r="A9" s="46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14" x14ac:dyDescent="0.3">
      <c r="A10" s="46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x14ac:dyDescent="0.3">
      <c r="A11" s="73" t="s">
        <v>85</v>
      </c>
      <c r="B11" s="73" t="s">
        <v>72</v>
      </c>
      <c r="C11" s="45" t="s">
        <v>69</v>
      </c>
      <c r="D11" s="48"/>
      <c r="E11" s="48"/>
      <c r="F11" s="48"/>
      <c r="G11" s="48">
        <v>32792</v>
      </c>
      <c r="H11" s="48"/>
      <c r="I11" s="48"/>
      <c r="J11" s="48">
        <v>160</v>
      </c>
      <c r="K11" s="48">
        <v>3515</v>
      </c>
      <c r="L11" s="74"/>
      <c r="M11" s="48"/>
      <c r="N11" s="48"/>
    </row>
    <row r="12" spans="1:14" x14ac:dyDescent="0.3">
      <c r="A12" s="73"/>
      <c r="B12" s="73"/>
      <c r="C12" s="45" t="s">
        <v>70</v>
      </c>
      <c r="D12" s="48"/>
      <c r="E12" s="48"/>
      <c r="F12" s="48"/>
      <c r="G12" s="48">
        <v>45553</v>
      </c>
      <c r="H12" s="48"/>
      <c r="I12" s="48"/>
      <c r="J12" s="48">
        <v>333</v>
      </c>
      <c r="K12" s="48">
        <v>6338</v>
      </c>
      <c r="L12" s="74"/>
      <c r="M12" s="48"/>
      <c r="N12" s="48"/>
    </row>
    <row r="13" spans="1:14" x14ac:dyDescent="0.3">
      <c r="A13" s="73"/>
      <c r="B13" s="73" t="s">
        <v>68</v>
      </c>
      <c r="C13" s="45" t="s">
        <v>69</v>
      </c>
      <c r="D13" s="48">
        <v>930.989547014236</v>
      </c>
      <c r="E13" s="48">
        <v>378</v>
      </c>
      <c r="F13" s="48">
        <v>2514</v>
      </c>
      <c r="G13" s="48"/>
      <c r="H13" s="48">
        <v>270</v>
      </c>
      <c r="I13" s="48">
        <v>238</v>
      </c>
      <c r="J13" s="48"/>
      <c r="K13" s="48"/>
      <c r="L13" s="48"/>
      <c r="M13" s="48"/>
      <c r="N13" s="48">
        <v>196</v>
      </c>
    </row>
    <row r="14" spans="1:14" x14ac:dyDescent="0.3">
      <c r="A14" s="73"/>
      <c r="B14" s="73"/>
      <c r="C14" s="45" t="s">
        <v>70</v>
      </c>
      <c r="D14" s="48">
        <v>3393.5448961257898</v>
      </c>
      <c r="E14" s="48">
        <v>1741</v>
      </c>
      <c r="F14" s="48">
        <v>3619</v>
      </c>
      <c r="G14" s="48"/>
      <c r="H14" s="48">
        <v>431</v>
      </c>
      <c r="I14" s="48">
        <v>533</v>
      </c>
      <c r="J14" s="48"/>
      <c r="K14" s="48"/>
      <c r="L14" s="48"/>
      <c r="M14" s="48"/>
      <c r="N14" s="48">
        <v>393</v>
      </c>
    </row>
    <row r="15" spans="1:14" x14ac:dyDescent="0.3">
      <c r="A15" s="73"/>
      <c r="B15" s="73" t="s">
        <v>71</v>
      </c>
      <c r="C15" s="45" t="s">
        <v>69</v>
      </c>
      <c r="D15" s="48">
        <v>583.74228692054703</v>
      </c>
      <c r="E15" s="48">
        <v>318</v>
      </c>
      <c r="F15" s="48">
        <v>1709</v>
      </c>
      <c r="G15" s="48"/>
      <c r="H15" s="48">
        <v>189</v>
      </c>
      <c r="I15" s="48">
        <v>195</v>
      </c>
      <c r="J15" s="48"/>
      <c r="K15" s="48"/>
      <c r="L15" s="48"/>
      <c r="M15" s="48"/>
      <c r="N15" s="48">
        <v>128</v>
      </c>
    </row>
    <row r="16" spans="1:14" x14ac:dyDescent="0.3">
      <c r="A16" s="73"/>
      <c r="B16" s="73"/>
      <c r="C16" s="45" t="s">
        <v>70</v>
      </c>
      <c r="D16" s="48">
        <v>1694.471701622</v>
      </c>
      <c r="E16" s="48">
        <v>1646</v>
      </c>
      <c r="F16" s="48">
        <v>2423</v>
      </c>
      <c r="G16" s="48"/>
      <c r="H16" s="48">
        <v>280</v>
      </c>
      <c r="I16" s="48">
        <v>347</v>
      </c>
      <c r="J16" s="48"/>
      <c r="K16" s="48"/>
      <c r="L16" s="48"/>
      <c r="M16" s="48"/>
      <c r="N16" s="48">
        <v>239</v>
      </c>
    </row>
    <row r="17" spans="1:14" x14ac:dyDescent="0.3">
      <c r="A17" s="46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x14ac:dyDescent="0.3">
      <c r="A18" s="46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x14ac:dyDescent="0.3">
      <c r="A19" s="73" t="s">
        <v>73</v>
      </c>
      <c r="B19" s="73" t="s">
        <v>72</v>
      </c>
      <c r="C19" s="45" t="s">
        <v>69</v>
      </c>
      <c r="D19" s="48"/>
      <c r="E19" s="48"/>
      <c r="F19" s="48"/>
      <c r="G19" s="48">
        <v>26565</v>
      </c>
      <c r="H19" s="48"/>
      <c r="I19" s="48"/>
      <c r="J19" s="48">
        <v>162</v>
      </c>
      <c r="K19" s="48">
        <v>3755</v>
      </c>
      <c r="L19" s="74"/>
      <c r="M19" s="48"/>
      <c r="N19" s="48"/>
    </row>
    <row r="20" spans="1:14" x14ac:dyDescent="0.3">
      <c r="A20" s="73"/>
      <c r="B20" s="73"/>
      <c r="C20" s="45" t="s">
        <v>70</v>
      </c>
      <c r="D20" s="48"/>
      <c r="E20" s="48"/>
      <c r="F20" s="48"/>
      <c r="G20" s="48">
        <v>41551</v>
      </c>
      <c r="H20" s="48"/>
      <c r="I20" s="48"/>
      <c r="J20" s="48">
        <v>325</v>
      </c>
      <c r="K20" s="48">
        <v>6407</v>
      </c>
      <c r="L20" s="74"/>
      <c r="M20" s="48"/>
      <c r="N20" s="48"/>
    </row>
    <row r="21" spans="1:14" x14ac:dyDescent="0.3">
      <c r="A21" s="73"/>
      <c r="B21" s="73" t="s">
        <v>68</v>
      </c>
      <c r="C21" s="45" t="s">
        <v>69</v>
      </c>
      <c r="D21" s="48">
        <v>955.64884781837395</v>
      </c>
      <c r="E21" s="48">
        <v>526</v>
      </c>
      <c r="F21" s="49">
        <v>2235</v>
      </c>
      <c r="G21" s="48"/>
      <c r="H21" s="48">
        <v>254</v>
      </c>
      <c r="I21" s="48">
        <v>190</v>
      </c>
      <c r="J21" s="48"/>
      <c r="K21" s="48"/>
      <c r="L21" s="75">
        <v>80137</v>
      </c>
      <c r="M21" s="74">
        <v>196596</v>
      </c>
      <c r="N21" s="48">
        <v>194</v>
      </c>
    </row>
    <row r="22" spans="1:14" x14ac:dyDescent="0.3">
      <c r="A22" s="73"/>
      <c r="B22" s="73"/>
      <c r="C22" s="45" t="s">
        <v>70</v>
      </c>
      <c r="D22" s="48">
        <v>3408.02610778808</v>
      </c>
      <c r="E22" s="48">
        <v>2589</v>
      </c>
      <c r="F22" s="49">
        <v>3011</v>
      </c>
      <c r="G22" s="48"/>
      <c r="H22" s="48">
        <v>378</v>
      </c>
      <c r="I22" s="48">
        <v>438</v>
      </c>
      <c r="J22" s="48"/>
      <c r="K22" s="48"/>
      <c r="L22" s="75"/>
      <c r="M22" s="74"/>
      <c r="N22" s="48">
        <v>392</v>
      </c>
    </row>
    <row r="23" spans="1:14" x14ac:dyDescent="0.3">
      <c r="A23" s="73"/>
      <c r="B23" s="73" t="s">
        <v>71</v>
      </c>
      <c r="C23" s="45" t="s">
        <v>69</v>
      </c>
      <c r="D23" s="48">
        <v>583.61950898170403</v>
      </c>
      <c r="E23" s="48">
        <v>338</v>
      </c>
      <c r="F23" s="49">
        <v>2532</v>
      </c>
      <c r="G23" s="48"/>
      <c r="H23" s="48">
        <v>183</v>
      </c>
      <c r="I23" s="48">
        <v>123</v>
      </c>
      <c r="J23" s="48"/>
      <c r="K23" s="48"/>
      <c r="L23" s="75">
        <v>53667</v>
      </c>
      <c r="M23" s="74">
        <v>83716</v>
      </c>
      <c r="N23" s="48">
        <v>129</v>
      </c>
    </row>
    <row r="24" spans="1:14" x14ac:dyDescent="0.3">
      <c r="A24" s="73"/>
      <c r="B24" s="73"/>
      <c r="C24" s="45" t="s">
        <v>70</v>
      </c>
      <c r="D24" s="48">
        <v>1683.8478326797399</v>
      </c>
      <c r="E24" s="48">
        <v>1690</v>
      </c>
      <c r="F24" s="49">
        <v>3158</v>
      </c>
      <c r="G24" s="48"/>
      <c r="H24" s="48">
        <v>252</v>
      </c>
      <c r="I24" s="48">
        <v>270</v>
      </c>
      <c r="J24" s="48"/>
      <c r="K24" s="48"/>
      <c r="L24" s="75"/>
      <c r="M24" s="74"/>
      <c r="N24" s="48">
        <v>241</v>
      </c>
    </row>
    <row r="26" spans="1:14" s="56" customFormat="1" x14ac:dyDescent="0.3">
      <c r="A26" s="55" t="s">
        <v>86</v>
      </c>
      <c r="B26" s="55"/>
      <c r="C26" s="55"/>
      <c r="D26" s="55">
        <f>SUM(D4,D7,D5,D6,D13,D14,D15,D16,D21,D22,D23,D24)/12</f>
        <v>1646.7693770726485</v>
      </c>
      <c r="E26" s="55">
        <f>SUM(E4,E7,E5,E6,E13,E14,E15,E16,E21,E22,E23,E24)/12</f>
        <v>1662</v>
      </c>
      <c r="F26" s="55">
        <f>SUM(F4,F7,F5,F6,F13,F14,F15,F16,F21,F22,F23,F24)/12</f>
        <v>2126.3333333333335</v>
      </c>
      <c r="G26" s="56">
        <f>SUM(G20,G19,G12,G11,G3,G2)/6</f>
        <v>36864</v>
      </c>
      <c r="H26" s="55">
        <f>SUM(H4,H7,H5,H6,H13,H14,H15,H16,H21,H22,H23,H24)/12</f>
        <v>458.16666666666669</v>
      </c>
      <c r="I26" s="55">
        <f>SUM(I4,I7,I5,I6,I13,I14,I15,I16,I21,I22,I23,I24)/12</f>
        <v>300.41666666666669</v>
      </c>
      <c r="J26" s="56">
        <f>SUM(J20,J19,J12,J11,J3,J2)/6</f>
        <v>2457</v>
      </c>
      <c r="K26" s="56">
        <f>SUM(K20,K19,K12,K11,K3,K2)/6</f>
        <v>3454.3333333333335</v>
      </c>
      <c r="L26" s="56">
        <f>SUM(L23,L21,L6,L4)/4</f>
        <v>34127.5</v>
      </c>
      <c r="M26" s="56">
        <f>SUM(M23,M21,M6,M4)/4</f>
        <v>70920</v>
      </c>
      <c r="N26" s="55">
        <f>SUM(N4,N7,N5,N6,N13,N14,N15,N16,N21,N22,N23,N24)/12</f>
        <v>237.25</v>
      </c>
    </row>
    <row r="28" spans="1:14" x14ac:dyDescent="0.3">
      <c r="A28" s="45" t="s">
        <v>103</v>
      </c>
      <c r="B28" s="62">
        <f>MIN(D26:N26)</f>
        <v>237.25</v>
      </c>
    </row>
    <row r="29" spans="1:14" x14ac:dyDescent="0.3">
      <c r="A29" s="45" t="s">
        <v>104</v>
      </c>
      <c r="B29" s="62">
        <f>MAX(D26:N26)</f>
        <v>70920</v>
      </c>
    </row>
    <row r="30" spans="1:14" x14ac:dyDescent="0.3">
      <c r="D30" s="6">
        <f>100-(D26-237.25)/(70920-237.25)*100</f>
        <v>98.005850964948806</v>
      </c>
      <c r="E30" s="6">
        <f>100-(E26-237.25)/(70920-237.25)*100</f>
        <v>97.98430310082729</v>
      </c>
      <c r="F30" s="6">
        <f t="shared" ref="F30:N30" si="0">100-(F26-237.25)/(70920-237.25)*100</f>
        <v>97.327377141759015</v>
      </c>
      <c r="G30" s="6">
        <f t="shared" si="0"/>
        <v>48.18148699647368</v>
      </c>
      <c r="H30" s="6">
        <f t="shared" si="0"/>
        <v>99.687453209352114</v>
      </c>
      <c r="I30" s="6">
        <f t="shared" si="0"/>
        <v>99.910633546846057</v>
      </c>
      <c r="J30" s="6">
        <f t="shared" si="0"/>
        <v>96.859559086198544</v>
      </c>
      <c r="K30" s="6">
        <f t="shared" si="0"/>
        <v>95.448559467008096</v>
      </c>
      <c r="L30" s="6">
        <f t="shared" si="0"/>
        <v>52.053011519783823</v>
      </c>
      <c r="M30" s="6">
        <f t="shared" si="0"/>
        <v>0</v>
      </c>
      <c r="N30" s="6">
        <f t="shared" si="0"/>
        <v>100</v>
      </c>
    </row>
    <row r="31" spans="1:14" x14ac:dyDescent="0.3">
      <c r="A31" s="45" t="s">
        <v>100</v>
      </c>
    </row>
  </sheetData>
  <mergeCells count="22">
    <mergeCell ref="M4:M5"/>
    <mergeCell ref="M21:M22"/>
    <mergeCell ref="M23:M24"/>
    <mergeCell ref="M6:M7"/>
    <mergeCell ref="L11:L12"/>
    <mergeCell ref="L19:L20"/>
    <mergeCell ref="L6:L7"/>
    <mergeCell ref="L4:L5"/>
    <mergeCell ref="L23:L24"/>
    <mergeCell ref="L21:L22"/>
    <mergeCell ref="B21:B22"/>
    <mergeCell ref="B23:B24"/>
    <mergeCell ref="A2:A7"/>
    <mergeCell ref="A11:A16"/>
    <mergeCell ref="A19:A24"/>
    <mergeCell ref="B2:B3"/>
    <mergeCell ref="B4:B5"/>
    <mergeCell ref="B6:B7"/>
    <mergeCell ref="B11:B12"/>
    <mergeCell ref="B13:B14"/>
    <mergeCell ref="B15:B16"/>
    <mergeCell ref="B19:B2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055A-F972-4FB9-AFA6-F2595090E4D1}">
  <dimension ref="A1:M50"/>
  <sheetViews>
    <sheetView workbookViewId="0">
      <selection activeCell="L10" sqref="L10"/>
    </sheetView>
  </sheetViews>
  <sheetFormatPr defaultRowHeight="14.4" x14ac:dyDescent="0.3"/>
  <cols>
    <col min="1" max="1" width="12.88671875" style="53" bestFit="1" customWidth="1"/>
    <col min="2" max="2" width="13.88671875" style="53" bestFit="1" customWidth="1"/>
    <col min="3" max="3" width="8.77734375" style="53" bestFit="1" customWidth="1"/>
    <col min="4" max="4" width="20.77734375" style="53" bestFit="1" customWidth="1"/>
    <col min="5" max="7" width="8.88671875" style="53"/>
    <col min="8" max="8" width="15" style="53" bestFit="1" customWidth="1"/>
    <col min="9" max="9" width="6.5546875" style="53" bestFit="1" customWidth="1"/>
    <col min="10" max="10" width="12" style="53" bestFit="1" customWidth="1"/>
    <col min="11" max="12" width="17.77734375" style="53" bestFit="1" customWidth="1"/>
    <col min="13" max="16384" width="8.88671875" style="53"/>
  </cols>
  <sheetData>
    <row r="1" spans="1:13" s="70" customFormat="1" ht="15.6" x14ac:dyDescent="0.3">
      <c r="A1" s="70" t="s">
        <v>114</v>
      </c>
      <c r="B1" s="70" t="s">
        <v>125</v>
      </c>
      <c r="C1" s="70" t="s">
        <v>126</v>
      </c>
      <c r="D1" s="70" t="s">
        <v>127</v>
      </c>
      <c r="E1" s="70" t="s">
        <v>105</v>
      </c>
      <c r="F1" s="70" t="s">
        <v>106</v>
      </c>
      <c r="G1" s="70" t="s">
        <v>107</v>
      </c>
      <c r="H1" s="70" t="s">
        <v>138</v>
      </c>
      <c r="I1" s="70" t="s">
        <v>105</v>
      </c>
      <c r="J1" s="70" t="s">
        <v>106</v>
      </c>
      <c r="K1" s="70" t="s">
        <v>107</v>
      </c>
      <c r="L1" s="70" t="s">
        <v>128</v>
      </c>
      <c r="M1" s="70" t="s">
        <v>139</v>
      </c>
    </row>
    <row r="2" spans="1:13" ht="15.6" x14ac:dyDescent="0.3">
      <c r="A2" s="70" t="s">
        <v>41</v>
      </c>
      <c r="B2" s="53">
        <v>100</v>
      </c>
      <c r="C2" s="53">
        <v>-1.0681287193392563E-5</v>
      </c>
      <c r="D2" s="53">
        <f>SUM(B2,C2)/2</f>
        <v>49.999994659356403</v>
      </c>
      <c r="E2">
        <v>66.044072301533461</v>
      </c>
      <c r="F2" s="53">
        <v>80.811043332208982</v>
      </c>
      <c r="G2" s="53">
        <v>54.122955476004087</v>
      </c>
      <c r="H2" s="53">
        <f>SUM(E2:G2)/3</f>
        <v>66.992690369915508</v>
      </c>
      <c r="I2" s="53">
        <v>0</v>
      </c>
      <c r="J2" s="53">
        <v>0</v>
      </c>
      <c r="K2" s="53">
        <v>0</v>
      </c>
      <c r="L2" s="53">
        <f>SUM(I2:K2)/3</f>
        <v>0</v>
      </c>
      <c r="M2" s="53">
        <f>(D2+H2*2+L2)/5</f>
        <v>36.797075079837484</v>
      </c>
    </row>
    <row r="3" spans="1:13" ht="15.6" x14ac:dyDescent="0.3">
      <c r="A3" s="70" t="s">
        <v>13</v>
      </c>
      <c r="B3" s="53">
        <v>90.198845552138962</v>
      </c>
      <c r="C3" s="53">
        <v>56.024310776843443</v>
      </c>
      <c r="D3" s="53">
        <f t="shared" ref="D3:D12" si="0">SUM(B3,C3)/2</f>
        <v>73.111578164491206</v>
      </c>
      <c r="E3">
        <v>100</v>
      </c>
      <c r="F3" s="53">
        <v>100</v>
      </c>
      <c r="G3" s="53">
        <v>100</v>
      </c>
      <c r="H3" s="53">
        <f>SUM(E3:G3)/3</f>
        <v>100</v>
      </c>
      <c r="I3" s="53">
        <v>100</v>
      </c>
      <c r="J3" s="53">
        <v>100</v>
      </c>
      <c r="K3" s="53">
        <v>100</v>
      </c>
      <c r="L3" s="53">
        <f t="shared" ref="L3:L12" si="1">SUM(I3:K3)/3</f>
        <v>100</v>
      </c>
      <c r="M3" s="53">
        <f t="shared" ref="M3:M12" si="2">(D3+H3*2+L3)/5</f>
        <v>74.62231563289825</v>
      </c>
    </row>
    <row r="4" spans="1:13" ht="15.6" x14ac:dyDescent="0.3">
      <c r="A4" s="70" t="s">
        <v>14</v>
      </c>
      <c r="B4" s="53">
        <v>0</v>
      </c>
      <c r="C4" s="53">
        <v>86.770654998778369</v>
      </c>
      <c r="D4" s="53">
        <f t="shared" si="0"/>
        <v>43.385327499389184</v>
      </c>
      <c r="E4">
        <v>8.3114889257256195</v>
      </c>
      <c r="F4" s="53">
        <v>1.8845861103067847</v>
      </c>
      <c r="G4" s="53">
        <v>0</v>
      </c>
      <c r="H4" s="53">
        <f t="shared" ref="H4:H12" si="3">SUM(E4:G4)/3</f>
        <v>3.3986916786774679</v>
      </c>
      <c r="I4" s="53">
        <v>99.704239095274119</v>
      </c>
      <c r="J4" s="53">
        <v>95.350842559300958</v>
      </c>
      <c r="K4" s="53">
        <v>98.203229817868049</v>
      </c>
      <c r="L4" s="53">
        <f t="shared" si="1"/>
        <v>97.75277049081437</v>
      </c>
      <c r="M4" s="53">
        <f t="shared" si="2"/>
        <v>29.587096269511697</v>
      </c>
    </row>
    <row r="5" spans="1:13" ht="15.6" x14ac:dyDescent="0.3">
      <c r="A5" s="70" t="s">
        <v>22</v>
      </c>
      <c r="B5" s="53">
        <v>87.432917947888001</v>
      </c>
      <c r="C5" s="53">
        <v>100.00000325911141</v>
      </c>
      <c r="D5" s="53">
        <f t="shared" si="0"/>
        <v>93.716460603499712</v>
      </c>
      <c r="E5">
        <v>0</v>
      </c>
      <c r="F5" s="53">
        <v>0</v>
      </c>
      <c r="G5" s="53">
        <v>0.70377035991507519</v>
      </c>
      <c r="H5" s="53">
        <f t="shared" si="3"/>
        <v>0.23459011997169174</v>
      </c>
      <c r="I5" s="53">
        <v>97.739043470989742</v>
      </c>
      <c r="J5" s="53">
        <v>98.841006244159644</v>
      </c>
      <c r="K5" s="53">
        <v>99.411956586104509</v>
      </c>
      <c r="L5" s="53">
        <f t="shared" si="1"/>
        <v>98.664002100417974</v>
      </c>
      <c r="M5" s="53">
        <f t="shared" si="2"/>
        <v>38.569928588772214</v>
      </c>
    </row>
    <row r="6" spans="1:13" ht="15.6" x14ac:dyDescent="0.3">
      <c r="A6" s="70" t="s">
        <v>23</v>
      </c>
      <c r="B6" s="53">
        <v>84.22635809462156</v>
      </c>
      <c r="C6" s="53">
        <v>93.929284404492876</v>
      </c>
      <c r="D6" s="53">
        <f t="shared" si="0"/>
        <v>89.077821249557218</v>
      </c>
      <c r="E6">
        <v>28.260985764080825</v>
      </c>
      <c r="F6" s="53">
        <v>17.80905810924628</v>
      </c>
      <c r="G6" s="53">
        <v>19.300432468100968</v>
      </c>
      <c r="H6" s="53">
        <f t="shared" si="3"/>
        <v>21.790158780476023</v>
      </c>
      <c r="I6" s="53">
        <v>72.325167760528942</v>
      </c>
      <c r="J6" s="53">
        <v>97.572884628475592</v>
      </c>
      <c r="K6" s="53">
        <v>97.153902767085981</v>
      </c>
      <c r="L6" s="53">
        <f t="shared" si="1"/>
        <v>89.017318385363509</v>
      </c>
      <c r="M6" s="53">
        <f t="shared" si="2"/>
        <v>44.335091439174548</v>
      </c>
    </row>
    <row r="7" spans="1:13" ht="15.6" x14ac:dyDescent="0.3">
      <c r="A7" s="70" t="s">
        <v>84</v>
      </c>
      <c r="B7" s="53">
        <v>98.567046088004176</v>
      </c>
      <c r="C7" s="53">
        <v>18.005099026606459</v>
      </c>
      <c r="D7" s="53">
        <f t="shared" si="0"/>
        <v>58.286072557305317</v>
      </c>
      <c r="E7">
        <v>18.467547357696052</v>
      </c>
      <c r="F7" s="53">
        <v>16.264387072782419</v>
      </c>
      <c r="G7" s="53">
        <v>7.3344159604259067</v>
      </c>
      <c r="H7" s="53">
        <f t="shared" si="3"/>
        <v>14.022116796968128</v>
      </c>
      <c r="I7" s="53">
        <v>81.072667967908046</v>
      </c>
      <c r="J7" s="53">
        <v>85.194472464431811</v>
      </c>
      <c r="K7" s="53">
        <v>91.95184881271625</v>
      </c>
      <c r="L7" s="53">
        <f t="shared" si="1"/>
        <v>86.072996415018693</v>
      </c>
      <c r="M7" s="53">
        <f t="shared" si="2"/>
        <v>34.480660513252054</v>
      </c>
    </row>
    <row r="8" spans="1:13" ht="15.6" x14ac:dyDescent="0.3">
      <c r="A8" s="70" t="s">
        <v>17</v>
      </c>
      <c r="B8" s="53">
        <v>96.719641797486105</v>
      </c>
      <c r="C8" s="53">
        <v>55.064285810019683</v>
      </c>
      <c r="D8" s="53">
        <f t="shared" si="0"/>
        <v>75.891963803752901</v>
      </c>
      <c r="E8">
        <v>10.760004235285374</v>
      </c>
      <c r="F8" s="53">
        <v>9.6834336561663772</v>
      </c>
      <c r="G8" s="53">
        <v>1.6192401534167522</v>
      </c>
      <c r="H8" s="53">
        <f t="shared" si="3"/>
        <v>7.3542260149561676</v>
      </c>
      <c r="I8" s="53">
        <v>88.369314023257772</v>
      </c>
      <c r="J8" s="53">
        <v>90.906424243924477</v>
      </c>
      <c r="K8" s="53">
        <v>97.476508954327429</v>
      </c>
      <c r="L8" s="53">
        <f t="shared" si="1"/>
        <v>92.250749073836559</v>
      </c>
      <c r="M8" s="53">
        <f t="shared" si="2"/>
        <v>36.570232981500361</v>
      </c>
    </row>
    <row r="9" spans="1:13" ht="15.6" x14ac:dyDescent="0.3">
      <c r="A9" s="70" t="s">
        <v>12</v>
      </c>
      <c r="B9" s="53">
        <v>81.450935965906027</v>
      </c>
      <c r="C9" s="53">
        <v>63.261878063311663</v>
      </c>
      <c r="D9" s="53">
        <f t="shared" si="0"/>
        <v>72.356407014608848</v>
      </c>
      <c r="E9">
        <v>4.2448143560844755</v>
      </c>
      <c r="F9" s="53">
        <v>2.9989321711309675</v>
      </c>
      <c r="G9" s="53">
        <v>2.4847655263281183</v>
      </c>
      <c r="H9" s="53">
        <f t="shared" si="3"/>
        <v>3.242837351181187</v>
      </c>
      <c r="I9" s="53">
        <v>90.061570770907224</v>
      </c>
      <c r="J9" s="53">
        <v>94.548935274860611</v>
      </c>
      <c r="K9" s="53">
        <v>94.627856967625689</v>
      </c>
      <c r="L9" s="53">
        <f t="shared" si="1"/>
        <v>93.079454337797827</v>
      </c>
      <c r="M9" s="53">
        <f t="shared" si="2"/>
        <v>34.384307210953807</v>
      </c>
    </row>
    <row r="10" spans="1:13" ht="15.6" x14ac:dyDescent="0.3">
      <c r="A10" s="70" t="s">
        <v>117</v>
      </c>
      <c r="B10" s="53">
        <v>98.782543022063976</v>
      </c>
      <c r="C10" s="53">
        <v>86.352699030432859</v>
      </c>
      <c r="D10" s="53">
        <f t="shared" si="0"/>
        <v>92.567621026248418</v>
      </c>
      <c r="E10">
        <v>4.6873810229557789</v>
      </c>
      <c r="F10" s="53">
        <v>5.1479291736684116</v>
      </c>
      <c r="G10" s="53">
        <v>0.1462442262192179</v>
      </c>
      <c r="H10" s="53">
        <f t="shared" si="3"/>
        <v>3.3271848076144699</v>
      </c>
      <c r="I10" s="53">
        <v>88.236424830990202</v>
      </c>
      <c r="J10" s="53">
        <v>89.686022117568427</v>
      </c>
      <c r="K10" s="53">
        <v>97.800813799054239</v>
      </c>
      <c r="L10" s="53">
        <f t="shared" si="1"/>
        <v>91.907753582537623</v>
      </c>
      <c r="M10" s="53">
        <f t="shared" si="2"/>
        <v>38.225948844803</v>
      </c>
    </row>
    <row r="11" spans="1:13" ht="15.6" x14ac:dyDescent="0.3">
      <c r="A11" s="70" t="s">
        <v>36</v>
      </c>
      <c r="B11" s="53">
        <v>98.953012893132652</v>
      </c>
      <c r="C11" s="53">
        <v>89.952485828947331</v>
      </c>
      <c r="D11" s="53">
        <f t="shared" si="0"/>
        <v>94.452749361039992</v>
      </c>
      <c r="E11">
        <v>28.609210507632511</v>
      </c>
      <c r="F11" s="53">
        <v>6.647745483908003</v>
      </c>
      <c r="G11" s="53">
        <v>5.2608622396300415</v>
      </c>
      <c r="H11" s="53">
        <f t="shared" si="3"/>
        <v>13.505939410390186</v>
      </c>
      <c r="I11" s="53">
        <v>63.933660009547772</v>
      </c>
      <c r="J11" s="53">
        <v>94.879888112580531</v>
      </c>
      <c r="K11" s="53">
        <v>93.365341634873232</v>
      </c>
      <c r="L11" s="53">
        <f t="shared" si="1"/>
        <v>84.059629919000514</v>
      </c>
      <c r="M11" s="53">
        <f t="shared" si="2"/>
        <v>41.104851620164176</v>
      </c>
    </row>
    <row r="12" spans="1:13" ht="15.6" x14ac:dyDescent="0.3">
      <c r="A12" s="70" t="s">
        <v>66</v>
      </c>
      <c r="B12" s="53">
        <v>98.742838647030268</v>
      </c>
      <c r="C12" s="53">
        <v>81.970382392752583</v>
      </c>
      <c r="D12" s="53">
        <f t="shared" si="0"/>
        <v>90.356610519891433</v>
      </c>
      <c r="E12">
        <v>21.965607052358774</v>
      </c>
      <c r="F12" s="53">
        <v>14.747662560554598</v>
      </c>
      <c r="G12" s="53">
        <v>2.8825272314084858</v>
      </c>
      <c r="H12" s="53">
        <f t="shared" si="3"/>
        <v>13.198598948107287</v>
      </c>
      <c r="I12" s="53">
        <v>73.858440529171489</v>
      </c>
      <c r="J12" s="53">
        <v>73.148428563471981</v>
      </c>
      <c r="K12" s="53">
        <v>93.002965206283676</v>
      </c>
      <c r="L12" s="53">
        <f t="shared" si="1"/>
        <v>80.003278099642372</v>
      </c>
      <c r="M12" s="53">
        <f t="shared" si="2"/>
        <v>39.351417303149674</v>
      </c>
    </row>
    <row r="16" spans="1:13" ht="15.6" x14ac:dyDescent="0.3">
      <c r="A16" s="70"/>
    </row>
    <row r="17" spans="1:1" ht="15.6" x14ac:dyDescent="0.3">
      <c r="A17" s="70"/>
    </row>
    <row r="18" spans="1:1" ht="15.6" x14ac:dyDescent="0.3">
      <c r="A18" s="70"/>
    </row>
    <row r="19" spans="1:1" ht="15.6" x14ac:dyDescent="0.3">
      <c r="A19" s="70"/>
    </row>
    <row r="20" spans="1:1" ht="15.6" x14ac:dyDescent="0.3">
      <c r="A20" s="70"/>
    </row>
    <row r="21" spans="1:1" ht="15.6" x14ac:dyDescent="0.3">
      <c r="A21" s="70"/>
    </row>
    <row r="22" spans="1:1" ht="15.6" x14ac:dyDescent="0.3">
      <c r="A22" s="70"/>
    </row>
    <row r="23" spans="1:1" ht="15.6" x14ac:dyDescent="0.3">
      <c r="A23" s="70"/>
    </row>
    <row r="24" spans="1:1" ht="15.6" x14ac:dyDescent="0.3">
      <c r="A24" s="70"/>
    </row>
    <row r="25" spans="1:1" ht="15.6" x14ac:dyDescent="0.3">
      <c r="A25" s="70"/>
    </row>
    <row r="26" spans="1:1" ht="15.6" x14ac:dyDescent="0.3">
      <c r="A26" s="70"/>
    </row>
    <row r="28" spans="1:1" ht="15.6" x14ac:dyDescent="0.3">
      <c r="A28" s="70"/>
    </row>
    <row r="29" spans="1:1" ht="15.6" x14ac:dyDescent="0.3">
      <c r="A29" s="70"/>
    </row>
    <row r="30" spans="1:1" ht="15.6" x14ac:dyDescent="0.3">
      <c r="A30" s="70"/>
    </row>
    <row r="31" spans="1:1" ht="15.6" x14ac:dyDescent="0.3">
      <c r="A31" s="70"/>
    </row>
    <row r="32" spans="1:1" ht="15.6" x14ac:dyDescent="0.3">
      <c r="A32" s="70"/>
    </row>
    <row r="33" spans="1:1" ht="15.6" x14ac:dyDescent="0.3">
      <c r="A33" s="70"/>
    </row>
    <row r="34" spans="1:1" ht="15.6" x14ac:dyDescent="0.3">
      <c r="A34" s="70"/>
    </row>
    <row r="35" spans="1:1" ht="15.6" x14ac:dyDescent="0.3">
      <c r="A35" s="70"/>
    </row>
    <row r="36" spans="1:1" ht="15.6" x14ac:dyDescent="0.3">
      <c r="A36" s="70"/>
    </row>
    <row r="37" spans="1:1" ht="15.6" x14ac:dyDescent="0.3">
      <c r="A37" s="70"/>
    </row>
    <row r="38" spans="1:1" ht="15.6" x14ac:dyDescent="0.3">
      <c r="A38" s="70"/>
    </row>
    <row r="40" spans="1:1" ht="15.6" x14ac:dyDescent="0.3">
      <c r="A40" s="70"/>
    </row>
    <row r="41" spans="1:1" ht="15.6" x14ac:dyDescent="0.3">
      <c r="A41" s="70"/>
    </row>
    <row r="42" spans="1:1" ht="15.6" x14ac:dyDescent="0.3">
      <c r="A42" s="70"/>
    </row>
    <row r="43" spans="1:1" ht="15.6" x14ac:dyDescent="0.3">
      <c r="A43" s="70"/>
    </row>
    <row r="44" spans="1:1" ht="15.6" x14ac:dyDescent="0.3">
      <c r="A44" s="70"/>
    </row>
    <row r="45" spans="1:1" ht="15.6" x14ac:dyDescent="0.3">
      <c r="A45" s="70"/>
    </row>
    <row r="46" spans="1:1" ht="15.6" x14ac:dyDescent="0.3">
      <c r="A46" s="70"/>
    </row>
    <row r="47" spans="1:1" ht="15.6" x14ac:dyDescent="0.3">
      <c r="A47" s="70"/>
    </row>
    <row r="48" spans="1:1" ht="15.6" x14ac:dyDescent="0.3">
      <c r="A48" s="70"/>
    </row>
    <row r="49" spans="1:1" ht="15.6" x14ac:dyDescent="0.3">
      <c r="A49" s="70"/>
    </row>
    <row r="50" spans="1:1" ht="15.6" x14ac:dyDescent="0.3">
      <c r="A50" s="70"/>
    </row>
  </sheetData>
  <sortState xmlns:xlrd2="http://schemas.microsoft.com/office/spreadsheetml/2017/richdata2" ref="A28:B38">
    <sortCondition descending="1" ref="B28:B3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CD8E4-0FC0-4149-8696-2684731402F8}">
  <dimension ref="B1:L12"/>
  <sheetViews>
    <sheetView workbookViewId="0">
      <selection activeCell="O11" sqref="O11"/>
    </sheetView>
  </sheetViews>
  <sheetFormatPr defaultRowHeight="14.4" x14ac:dyDescent="0.3"/>
  <cols>
    <col min="1" max="2" width="12" bestFit="1" customWidth="1"/>
  </cols>
  <sheetData>
    <row r="1" spans="2:12" x14ac:dyDescent="0.3">
      <c r="B1" t="s">
        <v>105</v>
      </c>
      <c r="F1" t="s">
        <v>142</v>
      </c>
      <c r="J1" t="s">
        <v>107</v>
      </c>
    </row>
    <row r="2" spans="2:12" x14ac:dyDescent="0.3">
      <c r="B2">
        <v>5.3610680113782998E-2</v>
      </c>
      <c r="C2">
        <v>8.2212740281009996E-3</v>
      </c>
      <c r="D2">
        <f>SUM(B2,C2)/2</f>
        <v>3.0915977070942E-2</v>
      </c>
      <c r="F2">
        <v>0.21155002249741101</v>
      </c>
      <c r="G2">
        <v>1.8851848138846002E-2</v>
      </c>
      <c r="H2">
        <f>SUM(F2,G2)/2</f>
        <v>0.1152009353181285</v>
      </c>
      <c r="J2">
        <v>1.8406590666546999E-2</v>
      </c>
      <c r="K2">
        <v>6.6126088387540001E-3</v>
      </c>
      <c r="L2">
        <f>SUM(J2,K2)/2</f>
        <v>1.2509599752650499E-2</v>
      </c>
    </row>
    <row r="3" spans="2:12" x14ac:dyDescent="0.3">
      <c r="B3">
        <v>2.2013188518230999E-2</v>
      </c>
      <c r="C3">
        <v>2.2013188518230999E-2</v>
      </c>
      <c r="D3">
        <f t="shared" ref="D3:D12" si="0">SUM(B3,C3)/2</f>
        <v>2.2013188518230999E-2</v>
      </c>
      <c r="F3">
        <v>5.3931022336770003E-2</v>
      </c>
      <c r="G3">
        <v>5.3931022336770003E-2</v>
      </c>
      <c r="H3">
        <f t="shared" ref="H3:H12" si="1">SUM(F3,G3)/2</f>
        <v>5.3931022336770003E-2</v>
      </c>
      <c r="J3">
        <v>2.267037690873E-2</v>
      </c>
      <c r="K3">
        <v>2.267037690873E-2</v>
      </c>
      <c r="L3">
        <f t="shared" ref="L3:L12" si="2">SUM(J3,K3)/2</f>
        <v>2.267037690873E-2</v>
      </c>
    </row>
    <row r="4" spans="2:12" x14ac:dyDescent="0.3">
      <c r="B4">
        <v>5.9865528833721003E-2</v>
      </c>
      <c r="C4">
        <v>2.1549866390999999E-5</v>
      </c>
      <c r="D4">
        <f t="shared" si="0"/>
        <v>2.9943539350056003E-2</v>
      </c>
      <c r="F4">
        <v>7.6409246723921007E-2</v>
      </c>
      <c r="G4">
        <v>0</v>
      </c>
      <c r="H4">
        <f t="shared" si="1"/>
        <v>3.8204623361960503E-2</v>
      </c>
      <c r="J4">
        <v>1.080159181353E-2</v>
      </c>
      <c r="K4">
        <v>4.9868844940000004E-6</v>
      </c>
      <c r="L4">
        <f t="shared" si="2"/>
        <v>5.4032893490120002E-3</v>
      </c>
    </row>
    <row r="5" spans="2:12" x14ac:dyDescent="0.3">
      <c r="B5">
        <v>4.2264675459011997E-2</v>
      </c>
      <c r="C5">
        <v>0.27487393328161303</v>
      </c>
      <c r="D5">
        <f t="shared" si="0"/>
        <v>0.15856930437031252</v>
      </c>
      <c r="F5">
        <v>3.9656342324651997E-2</v>
      </c>
      <c r="G5">
        <v>0.364745193888865</v>
      </c>
      <c r="H5">
        <f t="shared" si="1"/>
        <v>0.20220076810675849</v>
      </c>
      <c r="J5">
        <v>0.17847062226344701</v>
      </c>
      <c r="K5">
        <v>0.2057738148669</v>
      </c>
      <c r="L5">
        <f t="shared" si="2"/>
        <v>0.1921222185651735</v>
      </c>
    </row>
    <row r="6" spans="2:12" x14ac:dyDescent="0.3">
      <c r="B6">
        <v>9.3030773209205997E-2</v>
      </c>
      <c r="C6">
        <v>0.41619256960606898</v>
      </c>
      <c r="D6">
        <f t="shared" si="0"/>
        <v>0.25461167140763752</v>
      </c>
      <c r="F6">
        <v>0.226249520072062</v>
      </c>
      <c r="G6">
        <v>0.46628607752453199</v>
      </c>
      <c r="H6">
        <f t="shared" si="1"/>
        <v>0.346267798798297</v>
      </c>
      <c r="J6">
        <v>0.122821978197341</v>
      </c>
      <c r="K6">
        <v>0.22927201460159799</v>
      </c>
      <c r="L6">
        <f t="shared" si="2"/>
        <v>0.1760469963994695</v>
      </c>
    </row>
    <row r="7" spans="2:12" x14ac:dyDescent="0.3">
      <c r="B7">
        <v>0.21609667270062899</v>
      </c>
      <c r="C7">
        <v>0</v>
      </c>
      <c r="D7">
        <f t="shared" si="0"/>
        <v>0.10804833635031449</v>
      </c>
      <c r="F7">
        <v>0.44742394013082598</v>
      </c>
      <c r="G7">
        <v>0</v>
      </c>
      <c r="H7">
        <f t="shared" si="1"/>
        <v>0.22371197006541299</v>
      </c>
      <c r="J7">
        <v>8.9165494748810997E-2</v>
      </c>
      <c r="K7">
        <v>0</v>
      </c>
      <c r="L7">
        <f t="shared" si="2"/>
        <v>4.4582747374405499E-2</v>
      </c>
    </row>
    <row r="8" spans="2:12" x14ac:dyDescent="0.3">
      <c r="B8">
        <v>8.6070166364969003E-2</v>
      </c>
      <c r="C8">
        <v>0</v>
      </c>
      <c r="D8">
        <f t="shared" si="0"/>
        <v>4.3035083182484501E-2</v>
      </c>
      <c r="F8">
        <v>0.18077144424996699</v>
      </c>
      <c r="G8">
        <v>0</v>
      </c>
      <c r="H8">
        <f t="shared" si="1"/>
        <v>9.0385722124983497E-2</v>
      </c>
      <c r="J8">
        <v>1.8391630013065999E-2</v>
      </c>
      <c r="K8">
        <v>0</v>
      </c>
      <c r="L8">
        <f t="shared" si="2"/>
        <v>9.1958150065329994E-3</v>
      </c>
    </row>
    <row r="9" spans="2:12" x14ac:dyDescent="0.3">
      <c r="B9">
        <v>6.1363244547880001E-3</v>
      </c>
      <c r="C9">
        <v>9.7513145418499994E-3</v>
      </c>
      <c r="D9">
        <f t="shared" si="0"/>
        <v>7.9438194983190002E-3</v>
      </c>
      <c r="F9">
        <v>1.9637721487694999E-2</v>
      </c>
      <c r="G9">
        <v>1.4767411601331E-2</v>
      </c>
      <c r="H9">
        <f t="shared" si="1"/>
        <v>1.7202566544513E-2</v>
      </c>
      <c r="J9">
        <v>8.1136610713820004E-3</v>
      </c>
      <c r="K9">
        <v>5.7399040523420002E-3</v>
      </c>
      <c r="L9">
        <f t="shared" si="2"/>
        <v>6.9267825618620008E-3</v>
      </c>
    </row>
    <row r="10" spans="2:12" x14ac:dyDescent="0.3">
      <c r="B10">
        <v>0.1139556934747</v>
      </c>
      <c r="C10">
        <v>0</v>
      </c>
      <c r="D10">
        <f t="shared" si="0"/>
        <v>5.6977846737349999E-2</v>
      </c>
      <c r="F10">
        <v>0.28109479009183402</v>
      </c>
      <c r="G10">
        <v>0</v>
      </c>
      <c r="H10">
        <f t="shared" si="1"/>
        <v>0.14054739504591701</v>
      </c>
      <c r="J10">
        <v>1.9279295452958999E-2</v>
      </c>
      <c r="K10">
        <v>0</v>
      </c>
      <c r="L10">
        <f t="shared" si="2"/>
        <v>9.6396477264794993E-3</v>
      </c>
    </row>
    <row r="11" spans="2:12" x14ac:dyDescent="0.3">
      <c r="B11">
        <v>0.110276053788466</v>
      </c>
      <c r="C11">
        <v>1.1852426514959999E-3</v>
      </c>
      <c r="D11">
        <f t="shared" si="0"/>
        <v>5.5730648219980999E-2</v>
      </c>
      <c r="F11">
        <v>0.261298561452179</v>
      </c>
      <c r="G11">
        <v>3.2610751977999998E-4</v>
      </c>
      <c r="H11">
        <f t="shared" si="1"/>
        <v>0.13081233448597951</v>
      </c>
      <c r="J11">
        <v>2.9766713543381E-2</v>
      </c>
      <c r="K11">
        <v>3.7900322152700002E-4</v>
      </c>
      <c r="L11">
        <f t="shared" si="2"/>
        <v>1.5072858382454001E-2</v>
      </c>
    </row>
    <row r="12" spans="2:12" x14ac:dyDescent="0.3">
      <c r="B12">
        <v>6.0802948021722002E-2</v>
      </c>
      <c r="C12">
        <v>4.6870959400100001E-4</v>
      </c>
      <c r="D12">
        <f t="shared" si="0"/>
        <v>3.06358288078615E-2</v>
      </c>
      <c r="F12">
        <v>0.128100053606371</v>
      </c>
      <c r="G12">
        <v>8.540147232E-6</v>
      </c>
      <c r="H12">
        <f t="shared" si="1"/>
        <v>6.4054296876801503E-2</v>
      </c>
      <c r="J12">
        <v>1.3005794759782001E-2</v>
      </c>
      <c r="K12">
        <v>1.4960653481000001E-5</v>
      </c>
      <c r="L12">
        <f t="shared" si="2"/>
        <v>6.5103777066315002E-3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432B-9FAD-46C4-B780-BD6A5BC9019E}">
  <dimension ref="A1:M33"/>
  <sheetViews>
    <sheetView topLeftCell="C1" workbookViewId="0">
      <selection activeCell="J16" sqref="J16:J23"/>
    </sheetView>
  </sheetViews>
  <sheetFormatPr defaultRowHeight="14.4" x14ac:dyDescent="0.3"/>
  <cols>
    <col min="2" max="2" width="10.5546875" bestFit="1" customWidth="1"/>
    <col min="3" max="4" width="12.88671875" bestFit="1" customWidth="1"/>
    <col min="5" max="5" width="10" bestFit="1" customWidth="1"/>
    <col min="6" max="6" width="9" bestFit="1" customWidth="1"/>
    <col min="7" max="7" width="9.33203125" bestFit="1" customWidth="1"/>
    <col min="8" max="8" width="12" bestFit="1" customWidth="1"/>
    <col min="9" max="9" width="11.88671875" bestFit="1" customWidth="1"/>
    <col min="10" max="10" width="9" bestFit="1" customWidth="1"/>
    <col min="11" max="11" width="10.109375" bestFit="1" customWidth="1"/>
    <col min="12" max="12" width="9.77734375" bestFit="1" customWidth="1"/>
    <col min="13" max="13" width="5" bestFit="1" customWidth="1"/>
  </cols>
  <sheetData>
    <row r="1" spans="1:13" s="57" customFormat="1" ht="15.6" x14ac:dyDescent="0.3">
      <c r="A1" s="57" t="s">
        <v>116</v>
      </c>
      <c r="C1" s="57" t="s">
        <v>41</v>
      </c>
      <c r="D1" s="57" t="s">
        <v>13</v>
      </c>
      <c r="E1" s="57" t="s">
        <v>14</v>
      </c>
      <c r="F1" s="57" t="s">
        <v>22</v>
      </c>
      <c r="G1" s="57" t="s">
        <v>23</v>
      </c>
      <c r="H1" s="57" t="s">
        <v>84</v>
      </c>
      <c r="I1" s="57" t="s">
        <v>17</v>
      </c>
      <c r="J1" s="57" t="s">
        <v>12</v>
      </c>
      <c r="K1" s="57" t="s">
        <v>117</v>
      </c>
      <c r="L1" s="57" t="s">
        <v>36</v>
      </c>
      <c r="M1" s="57" t="s">
        <v>66</v>
      </c>
    </row>
    <row r="3" spans="1:13" x14ac:dyDescent="0.3">
      <c r="A3" t="s">
        <v>70</v>
      </c>
      <c r="C3">
        <v>387</v>
      </c>
      <c r="D3">
        <v>12260</v>
      </c>
      <c r="E3">
        <v>162217</v>
      </c>
      <c r="F3">
        <v>36048</v>
      </c>
      <c r="G3">
        <v>44030</v>
      </c>
      <c r="H3">
        <v>5003</v>
      </c>
      <c r="I3">
        <v>8408</v>
      </c>
      <c r="J3">
        <v>68620</v>
      </c>
      <c r="K3">
        <v>4349</v>
      </c>
      <c r="L3">
        <v>5484</v>
      </c>
      <c r="M3">
        <v>6404</v>
      </c>
    </row>
    <row r="4" spans="1:13" x14ac:dyDescent="0.3">
      <c r="A4" t="s">
        <v>69</v>
      </c>
      <c r="C4">
        <v>174</v>
      </c>
      <c r="D4">
        <v>12384</v>
      </c>
      <c r="E4">
        <v>153192</v>
      </c>
      <c r="F4">
        <v>24498</v>
      </c>
      <c r="G4">
        <v>30693</v>
      </c>
      <c r="H4">
        <v>2365</v>
      </c>
      <c r="I4">
        <v>1430</v>
      </c>
      <c r="J4">
        <v>20355</v>
      </c>
      <c r="K4">
        <v>2094</v>
      </c>
      <c r="L4">
        <v>3211</v>
      </c>
      <c r="M4">
        <v>3207</v>
      </c>
    </row>
    <row r="5" spans="1:13" x14ac:dyDescent="0.3">
      <c r="A5" t="s">
        <v>118</v>
      </c>
      <c r="C5">
        <v>2895</v>
      </c>
      <c r="D5">
        <v>12551</v>
      </c>
      <c r="E5">
        <v>142331</v>
      </c>
      <c r="F5">
        <v>1819</v>
      </c>
      <c r="G5">
        <v>2334</v>
      </c>
      <c r="H5">
        <v>968</v>
      </c>
      <c r="I5">
        <v>0</v>
      </c>
      <c r="J5">
        <v>1035</v>
      </c>
      <c r="K5">
        <v>2552</v>
      </c>
      <c r="L5">
        <v>449</v>
      </c>
      <c r="M5">
        <v>400</v>
      </c>
    </row>
    <row r="6" spans="1:13" x14ac:dyDescent="0.3">
      <c r="A6" t="s">
        <v>119</v>
      </c>
      <c r="C6">
        <v>1018</v>
      </c>
      <c r="D6">
        <v>12700</v>
      </c>
      <c r="E6">
        <v>10159</v>
      </c>
      <c r="F6">
        <v>348</v>
      </c>
      <c r="G6">
        <v>516</v>
      </c>
      <c r="H6">
        <v>0</v>
      </c>
      <c r="I6">
        <v>0</v>
      </c>
      <c r="J6">
        <v>425</v>
      </c>
      <c r="K6">
        <v>1121</v>
      </c>
      <c r="L6">
        <v>182</v>
      </c>
      <c r="M6">
        <v>289</v>
      </c>
    </row>
    <row r="8" spans="1:13" x14ac:dyDescent="0.3">
      <c r="A8" t="s">
        <v>86</v>
      </c>
      <c r="C8">
        <f>SUM(C3,C4,C5,C6)/4</f>
        <v>1118.5</v>
      </c>
      <c r="D8">
        <f>SUM(D3,D4,D5,D6)/4</f>
        <v>12473.75</v>
      </c>
      <c r="E8">
        <f>SUM(E3,E4,E5,E6)/4</f>
        <v>116974.75</v>
      </c>
      <c r="F8">
        <f>SUM(F3,F4,F5,F6)/4</f>
        <v>15678.25</v>
      </c>
      <c r="G8">
        <f>SUM(G3,G4,G5,G6)/4</f>
        <v>19393.25</v>
      </c>
      <c r="H8">
        <f>SUM(H3,H4,H5)/3</f>
        <v>2778.6666666666665</v>
      </c>
      <c r="I8">
        <f>SUM(I3,I4)/2</f>
        <v>4919</v>
      </c>
      <c r="J8">
        <f>SUM(J3,J4,J5,J6)/4</f>
        <v>22608.75</v>
      </c>
      <c r="K8">
        <f>SUM(K3,K4,K5,K6)/4</f>
        <v>2529</v>
      </c>
      <c r="L8">
        <f>SUM(L3,L4,L5,L6)/4</f>
        <v>2331.5</v>
      </c>
      <c r="M8">
        <f>SUM(M3,M4,M5,M6)/4</f>
        <v>2575</v>
      </c>
    </row>
    <row r="15" spans="1:13" x14ac:dyDescent="0.3">
      <c r="E15" t="s">
        <v>120</v>
      </c>
      <c r="F15" t="s">
        <v>121</v>
      </c>
      <c r="G15" t="s">
        <v>122</v>
      </c>
      <c r="H15" t="s">
        <v>123</v>
      </c>
      <c r="I15" t="s">
        <v>86</v>
      </c>
      <c r="J15" t="s">
        <v>124</v>
      </c>
    </row>
    <row r="16" spans="1:13" ht="15.6" x14ac:dyDescent="0.3">
      <c r="D16" s="57" t="s">
        <v>41</v>
      </c>
      <c r="E16">
        <v>387</v>
      </c>
      <c r="F16">
        <v>174</v>
      </c>
      <c r="G16">
        <v>2895</v>
      </c>
      <c r="H16">
        <v>1018</v>
      </c>
      <c r="I16">
        <f>SUM(E16,F16,G16,H16)/4</f>
        <v>1118.5</v>
      </c>
      <c r="J16" s="53">
        <f t="shared" ref="J16:J26" si="0">100-(I16-1118.5)/(116974.75-1118.5)*100</f>
        <v>100</v>
      </c>
    </row>
    <row r="17" spans="4:10" ht="15.6" x14ac:dyDescent="0.3">
      <c r="D17" s="57" t="s">
        <v>13</v>
      </c>
      <c r="E17">
        <v>12260</v>
      </c>
      <c r="F17">
        <v>12384</v>
      </c>
      <c r="G17">
        <v>12551</v>
      </c>
      <c r="H17">
        <v>12700</v>
      </c>
      <c r="I17">
        <f>SUM(E17,F17,G17,H17)/4</f>
        <v>12473.75</v>
      </c>
      <c r="J17" s="53">
        <f t="shared" si="0"/>
        <v>90.198845552138962</v>
      </c>
    </row>
    <row r="18" spans="4:10" ht="15.6" x14ac:dyDescent="0.3">
      <c r="D18" s="57" t="s">
        <v>14</v>
      </c>
      <c r="E18">
        <v>162217</v>
      </c>
      <c r="F18">
        <v>153192</v>
      </c>
      <c r="G18">
        <v>142331</v>
      </c>
      <c r="H18">
        <v>10159</v>
      </c>
      <c r="I18">
        <f>SUM(E18,F18,G18,H18)/4</f>
        <v>116974.75</v>
      </c>
      <c r="J18" s="53">
        <f t="shared" si="0"/>
        <v>0</v>
      </c>
    </row>
    <row r="19" spans="4:10" ht="15.6" x14ac:dyDescent="0.3">
      <c r="D19" s="57" t="s">
        <v>22</v>
      </c>
      <c r="E19">
        <v>36048</v>
      </c>
      <c r="F19">
        <v>24498</v>
      </c>
      <c r="G19">
        <v>1819</v>
      </c>
      <c r="H19">
        <v>348</v>
      </c>
      <c r="I19">
        <f>SUM(E19,F19,G19,H19)/4</f>
        <v>15678.25</v>
      </c>
      <c r="J19" s="53">
        <f t="shared" si="0"/>
        <v>87.432917947888001</v>
      </c>
    </row>
    <row r="20" spans="4:10" ht="15.6" x14ac:dyDescent="0.3">
      <c r="D20" s="57" t="s">
        <v>23</v>
      </c>
      <c r="E20">
        <v>44030</v>
      </c>
      <c r="F20">
        <v>30693</v>
      </c>
      <c r="G20">
        <v>2334</v>
      </c>
      <c r="H20">
        <v>516</v>
      </c>
      <c r="I20">
        <f>SUM(E20,F20,G20,H20)/4</f>
        <v>19393.25</v>
      </c>
      <c r="J20" s="53">
        <f t="shared" si="0"/>
        <v>84.22635809462156</v>
      </c>
    </row>
    <row r="21" spans="4:10" ht="15.6" x14ac:dyDescent="0.3">
      <c r="D21" s="57" t="s">
        <v>84</v>
      </c>
      <c r="E21">
        <v>5003</v>
      </c>
      <c r="F21">
        <v>2365</v>
      </c>
      <c r="G21">
        <v>968</v>
      </c>
      <c r="H21">
        <v>0</v>
      </c>
      <c r="I21">
        <f>SUM(E21,F21,G21)/3</f>
        <v>2778.6666666666665</v>
      </c>
      <c r="J21" s="53">
        <f t="shared" si="0"/>
        <v>98.567046088004176</v>
      </c>
    </row>
    <row r="22" spans="4:10" ht="15.6" x14ac:dyDescent="0.3">
      <c r="D22" s="57" t="s">
        <v>17</v>
      </c>
      <c r="E22">
        <v>8408</v>
      </c>
      <c r="F22">
        <v>1430</v>
      </c>
      <c r="G22">
        <v>0</v>
      </c>
      <c r="H22">
        <v>0</v>
      </c>
      <c r="I22">
        <f>SUM(E22,F22)/2</f>
        <v>4919</v>
      </c>
      <c r="J22" s="53">
        <f t="shared" si="0"/>
        <v>96.719641797486105</v>
      </c>
    </row>
    <row r="23" spans="4:10" ht="15.6" x14ac:dyDescent="0.3">
      <c r="D23" s="57" t="s">
        <v>12</v>
      </c>
      <c r="E23">
        <v>68620</v>
      </c>
      <c r="F23">
        <v>20355</v>
      </c>
      <c r="G23">
        <v>1035</v>
      </c>
      <c r="H23">
        <v>425</v>
      </c>
      <c r="I23">
        <f>SUM(E23,F23,G23,H23)/4</f>
        <v>22608.75</v>
      </c>
      <c r="J23" s="53">
        <f t="shared" si="0"/>
        <v>81.450935965906027</v>
      </c>
    </row>
    <row r="24" spans="4:10" ht="15.6" x14ac:dyDescent="0.3">
      <c r="D24" s="57" t="s">
        <v>117</v>
      </c>
      <c r="E24">
        <v>4349</v>
      </c>
      <c r="F24">
        <v>2094</v>
      </c>
      <c r="G24">
        <v>2552</v>
      </c>
      <c r="H24">
        <v>1121</v>
      </c>
      <c r="I24">
        <f>SUM(E24,F24,G24,H24)/4</f>
        <v>2529</v>
      </c>
      <c r="J24" s="53">
        <f t="shared" si="0"/>
        <v>98.782543022063976</v>
      </c>
    </row>
    <row r="25" spans="4:10" ht="15.6" x14ac:dyDescent="0.3">
      <c r="D25" s="57" t="s">
        <v>36</v>
      </c>
      <c r="E25">
        <v>5484</v>
      </c>
      <c r="F25">
        <v>3211</v>
      </c>
      <c r="G25">
        <v>449</v>
      </c>
      <c r="H25">
        <v>182</v>
      </c>
      <c r="I25">
        <f>SUM(E25,F25,G25,H25)/4</f>
        <v>2331.5</v>
      </c>
      <c r="J25" s="53">
        <f t="shared" si="0"/>
        <v>98.953012893132652</v>
      </c>
    </row>
    <row r="26" spans="4:10" ht="15.6" x14ac:dyDescent="0.3">
      <c r="D26" s="57" t="s">
        <v>66</v>
      </c>
      <c r="E26">
        <v>6404</v>
      </c>
      <c r="F26">
        <v>3207</v>
      </c>
      <c r="G26">
        <v>400</v>
      </c>
      <c r="H26">
        <v>289</v>
      </c>
      <c r="I26">
        <f>SUM(E26,F26,G26,H26)/4</f>
        <v>2575</v>
      </c>
      <c r="J26" s="53">
        <f t="shared" si="0"/>
        <v>98.742838647030268</v>
      </c>
    </row>
    <row r="29" spans="4:10" x14ac:dyDescent="0.3">
      <c r="H29" t="s">
        <v>102</v>
      </c>
      <c r="I29">
        <f>MAX(I16:I26)</f>
        <v>116974.75</v>
      </c>
    </row>
    <row r="30" spans="4:10" x14ac:dyDescent="0.3">
      <c r="H30" t="s">
        <v>101</v>
      </c>
      <c r="I30">
        <f>MIN(I16:I26)</f>
        <v>1118.5</v>
      </c>
    </row>
    <row r="32" spans="4:10" x14ac:dyDescent="0.3">
      <c r="I32">
        <v>116974.75</v>
      </c>
    </row>
    <row r="33" spans="9:9" x14ac:dyDescent="0.3">
      <c r="I33">
        <v>2331.5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B647-4CF0-4D49-AB27-D2F21C26A819}">
  <dimension ref="A1:X20"/>
  <sheetViews>
    <sheetView workbookViewId="0">
      <selection sqref="A1:X14"/>
    </sheetView>
  </sheetViews>
  <sheetFormatPr defaultRowHeight="14.4" x14ac:dyDescent="0.3"/>
  <cols>
    <col min="1" max="1" width="12.88671875" bestFit="1" customWidth="1"/>
    <col min="24" max="24" width="13.88671875" bestFit="1" customWidth="1"/>
  </cols>
  <sheetData>
    <row r="1" spans="1:24" ht="15.6" x14ac:dyDescent="0.3">
      <c r="A1" s="58"/>
      <c r="B1" s="76" t="s">
        <v>67</v>
      </c>
      <c r="C1" s="76"/>
      <c r="D1" s="76"/>
      <c r="E1" s="76"/>
      <c r="F1" s="58"/>
      <c r="G1" t="s">
        <v>86</v>
      </c>
      <c r="I1" s="76" t="s">
        <v>99</v>
      </c>
      <c r="J1" s="76"/>
      <c r="K1" s="76"/>
      <c r="L1" s="76"/>
      <c r="M1" s="58"/>
      <c r="N1" t="s">
        <v>86</v>
      </c>
      <c r="P1" s="76" t="s">
        <v>73</v>
      </c>
      <c r="Q1" s="76"/>
      <c r="R1" s="76"/>
      <c r="S1" s="76"/>
      <c r="T1" s="58"/>
      <c r="U1" t="s">
        <v>86</v>
      </c>
      <c r="W1" t="s">
        <v>86</v>
      </c>
      <c r="X1" t="s">
        <v>100</v>
      </c>
    </row>
    <row r="2" spans="1:24" ht="15.6" x14ac:dyDescent="0.3">
      <c r="A2" s="58"/>
      <c r="B2" s="76" t="s">
        <v>68</v>
      </c>
      <c r="C2" s="76"/>
      <c r="D2" s="76" t="s">
        <v>71</v>
      </c>
      <c r="E2" s="76"/>
      <c r="F2" s="58"/>
      <c r="I2" s="76" t="s">
        <v>68</v>
      </c>
      <c r="J2" s="76"/>
      <c r="K2" s="76" t="s">
        <v>71</v>
      </c>
      <c r="L2" s="76"/>
      <c r="M2" s="58"/>
      <c r="P2" s="76" t="s">
        <v>68</v>
      </c>
      <c r="Q2" s="76"/>
      <c r="R2" s="76" t="s">
        <v>71</v>
      </c>
      <c r="S2" s="76"/>
      <c r="T2" s="58"/>
    </row>
    <row r="3" spans="1:24" ht="15.6" x14ac:dyDescent="0.3">
      <c r="A3" s="58"/>
      <c r="B3" s="58" t="s">
        <v>87</v>
      </c>
      <c r="C3" s="58" t="s">
        <v>88</v>
      </c>
      <c r="D3" s="58" t="s">
        <v>87</v>
      </c>
      <c r="E3" s="58" t="s">
        <v>88</v>
      </c>
      <c r="F3" s="58"/>
      <c r="I3" s="58" t="s">
        <v>87</v>
      </c>
      <c r="J3" s="58" t="s">
        <v>88</v>
      </c>
      <c r="K3" s="58" t="s">
        <v>87</v>
      </c>
      <c r="L3" s="58" t="s">
        <v>88</v>
      </c>
      <c r="M3" s="58"/>
      <c r="P3" s="58" t="s">
        <v>87</v>
      </c>
      <c r="Q3" s="58" t="s">
        <v>88</v>
      </c>
      <c r="R3" s="58" t="s">
        <v>87</v>
      </c>
      <c r="S3" s="58" t="s">
        <v>88</v>
      </c>
      <c r="T3" s="58"/>
    </row>
    <row r="4" spans="1:24" ht="15.6" x14ac:dyDescent="0.3">
      <c r="A4" s="11" t="s">
        <v>12</v>
      </c>
      <c r="B4" s="59">
        <v>1</v>
      </c>
      <c r="C4" s="59">
        <v>1.2</v>
      </c>
      <c r="D4" s="59">
        <v>0.95299999999999996</v>
      </c>
      <c r="E4" s="59">
        <v>1.21</v>
      </c>
      <c r="F4" s="59"/>
      <c r="G4">
        <f>SUM(B4,C4,D4,E4)/4</f>
        <v>1.0907499999999999</v>
      </c>
      <c r="I4" s="59">
        <v>1.05</v>
      </c>
      <c r="J4" s="59">
        <v>1.1299999999999999</v>
      </c>
      <c r="K4" s="59">
        <v>1.1000000000000001</v>
      </c>
      <c r="L4" s="59">
        <v>1.3</v>
      </c>
      <c r="M4" s="59"/>
      <c r="N4">
        <f>SUM(I4,J4,K4,L4)/4</f>
        <v>1.145</v>
      </c>
      <c r="P4" s="59">
        <v>1.1000000000000001</v>
      </c>
      <c r="Q4" s="59">
        <v>1.17</v>
      </c>
      <c r="R4" s="59">
        <v>1.05</v>
      </c>
      <c r="S4" s="59">
        <v>1.21</v>
      </c>
      <c r="T4" s="59"/>
      <c r="U4">
        <f t="shared" ref="U4:U11" si="0">SUM(P4,Q4,R4,S4)/4</f>
        <v>1.1325000000000001</v>
      </c>
      <c r="W4">
        <f>SUM(G4,N4,U4)/3</f>
        <v>1.1227499999999999</v>
      </c>
      <c r="X4">
        <f>(W4-1.01875)/(83.725-1.01875)*100</f>
        <v>0.12574624045945726</v>
      </c>
    </row>
    <row r="5" spans="1:24" ht="15.6" x14ac:dyDescent="0.3">
      <c r="A5" s="11" t="s">
        <v>17</v>
      </c>
      <c r="B5" s="59">
        <v>2.87</v>
      </c>
      <c r="C5" s="59">
        <v>2.2799999999999998</v>
      </c>
      <c r="D5" s="59">
        <v>2.98</v>
      </c>
      <c r="E5" s="59">
        <v>2.27</v>
      </c>
      <c r="F5" s="59"/>
      <c r="G5">
        <f>SUM(B5,C5,D5,E5)/4</f>
        <v>2.6</v>
      </c>
      <c r="I5" s="59">
        <v>3.45</v>
      </c>
      <c r="J5" s="59">
        <v>1.72</v>
      </c>
      <c r="K5" s="59">
        <v>1.67</v>
      </c>
      <c r="L5" s="59">
        <v>1.27</v>
      </c>
      <c r="M5" s="59"/>
      <c r="N5">
        <f t="shared" ref="N5:N11" si="1">SUM(I5,J5,K5,L5)/4</f>
        <v>2.0274999999999999</v>
      </c>
      <c r="P5">
        <v>2.64</v>
      </c>
      <c r="Q5">
        <v>1.72</v>
      </c>
      <c r="R5">
        <v>2.75</v>
      </c>
      <c r="S5">
        <v>1.97</v>
      </c>
      <c r="U5">
        <f t="shared" si="0"/>
        <v>2.27</v>
      </c>
      <c r="W5">
        <f t="shared" ref="W5:W11" si="2">SUM(G5,N5,U5)/3</f>
        <v>2.2991666666666664</v>
      </c>
      <c r="X5">
        <f t="shared" ref="X5:X14" si="3">(W5-1.01875)/(83.725-1.01875)*100</f>
        <v>1.5481498274515728</v>
      </c>
    </row>
    <row r="6" spans="1:24" ht="15.6" x14ac:dyDescent="0.3">
      <c r="A6" s="11" t="s">
        <v>21</v>
      </c>
      <c r="B6" s="59">
        <v>179</v>
      </c>
      <c r="C6" s="59">
        <v>83.1</v>
      </c>
      <c r="D6" s="59">
        <v>28.1</v>
      </c>
      <c r="E6" s="59">
        <v>18.600000000000001</v>
      </c>
      <c r="F6" s="59"/>
      <c r="G6">
        <f t="shared" ref="G6:G11" si="4">SUM(B6,C6,D6,E6)/4</f>
        <v>77.200000000000017</v>
      </c>
      <c r="I6" s="59">
        <v>212</v>
      </c>
      <c r="J6" s="59">
        <v>76.5</v>
      </c>
      <c r="K6" s="59">
        <v>36.9</v>
      </c>
      <c r="L6" s="59">
        <v>16.7</v>
      </c>
      <c r="M6" s="59"/>
      <c r="N6">
        <f t="shared" si="1"/>
        <v>85.524999999999991</v>
      </c>
      <c r="P6" s="59">
        <v>174</v>
      </c>
      <c r="Q6" s="59">
        <v>88.6</v>
      </c>
      <c r="R6" s="59">
        <v>67.8</v>
      </c>
      <c r="S6" s="59">
        <v>23.4</v>
      </c>
      <c r="T6" s="59"/>
      <c r="U6">
        <f t="shared" si="0"/>
        <v>88.45</v>
      </c>
      <c r="W6">
        <f t="shared" si="2"/>
        <v>83.725000000000009</v>
      </c>
      <c r="X6">
        <f t="shared" si="3"/>
        <v>100.00000000000003</v>
      </c>
    </row>
    <row r="7" spans="1:24" ht="15.6" x14ac:dyDescent="0.3">
      <c r="A7" s="11" t="s">
        <v>23</v>
      </c>
      <c r="B7" s="59">
        <v>2.52</v>
      </c>
      <c r="C7" s="59">
        <v>1.75</v>
      </c>
      <c r="D7" s="59">
        <v>4.8899999999999997</v>
      </c>
      <c r="E7" s="59">
        <v>1.89</v>
      </c>
      <c r="F7" s="59"/>
      <c r="G7">
        <f t="shared" si="4"/>
        <v>2.7625000000000002</v>
      </c>
      <c r="I7" s="59">
        <v>2.54</v>
      </c>
      <c r="J7" s="59">
        <v>1.68</v>
      </c>
      <c r="K7" s="59">
        <v>4.8600000000000003</v>
      </c>
      <c r="L7" s="59">
        <v>1.92</v>
      </c>
      <c r="M7" s="59"/>
      <c r="N7">
        <f t="shared" si="1"/>
        <v>2.75</v>
      </c>
      <c r="P7" s="59">
        <v>2.8</v>
      </c>
      <c r="Q7" s="59">
        <v>1.91</v>
      </c>
      <c r="R7" s="59">
        <v>9.43</v>
      </c>
      <c r="S7" s="59">
        <v>2.34</v>
      </c>
      <c r="T7" s="59"/>
      <c r="U7">
        <f t="shared" si="0"/>
        <v>4.12</v>
      </c>
      <c r="W7">
        <f t="shared" si="2"/>
        <v>3.2108333333333334</v>
      </c>
      <c r="X7">
        <f t="shared" si="3"/>
        <v>2.650444595581753</v>
      </c>
    </row>
    <row r="8" spans="1:24" ht="15.6" x14ac:dyDescent="0.3">
      <c r="A8" s="11" t="s">
        <v>36</v>
      </c>
      <c r="B8" s="59">
        <v>1.33</v>
      </c>
      <c r="C8" s="59">
        <v>1.3</v>
      </c>
      <c r="D8" s="59">
        <v>1.34</v>
      </c>
      <c r="E8" s="59">
        <v>1.55</v>
      </c>
      <c r="F8" s="59"/>
      <c r="G8">
        <f t="shared" si="4"/>
        <v>1.38</v>
      </c>
      <c r="I8" s="59">
        <v>1.1299999999999999</v>
      </c>
      <c r="J8" s="59">
        <v>0.93300000000000005</v>
      </c>
      <c r="K8" s="59">
        <v>1.26</v>
      </c>
      <c r="L8" s="59">
        <v>1.04</v>
      </c>
      <c r="M8" s="59"/>
      <c r="N8">
        <f t="shared" si="1"/>
        <v>1.0907499999999999</v>
      </c>
      <c r="P8" s="59">
        <v>1.24</v>
      </c>
      <c r="Q8" s="59">
        <v>1.05</v>
      </c>
      <c r="R8" s="59">
        <v>1.28</v>
      </c>
      <c r="S8" s="59">
        <v>1.1499999999999999</v>
      </c>
      <c r="T8" s="59"/>
      <c r="U8">
        <f t="shared" si="0"/>
        <v>1.1800000000000002</v>
      </c>
      <c r="W8">
        <f t="shared" si="2"/>
        <v>1.2169166666666666</v>
      </c>
      <c r="X8">
        <f t="shared" si="3"/>
        <v>0.23960301267034428</v>
      </c>
    </row>
    <row r="9" spans="1:24" ht="15.6" x14ac:dyDescent="0.3">
      <c r="A9" s="11" t="s">
        <v>40</v>
      </c>
      <c r="B9" s="59">
        <v>1.4</v>
      </c>
      <c r="C9" s="59">
        <v>1.56</v>
      </c>
      <c r="D9" s="59">
        <v>1.46</v>
      </c>
      <c r="E9" s="59">
        <v>1.57</v>
      </c>
      <c r="F9" s="59"/>
      <c r="G9">
        <f t="shared" si="4"/>
        <v>1.4975000000000001</v>
      </c>
      <c r="I9" s="59">
        <v>1.45</v>
      </c>
      <c r="J9" s="59">
        <v>1.39</v>
      </c>
      <c r="K9" s="59">
        <v>1.52</v>
      </c>
      <c r="L9" s="59">
        <v>1.44</v>
      </c>
      <c r="M9" s="59"/>
      <c r="N9">
        <f t="shared" si="1"/>
        <v>1.4499999999999997</v>
      </c>
      <c r="P9" s="59">
        <v>1.36</v>
      </c>
      <c r="Q9" s="59">
        <v>1.37</v>
      </c>
      <c r="R9" s="59">
        <v>1.39</v>
      </c>
      <c r="S9" s="59">
        <v>1.4</v>
      </c>
      <c r="T9" s="59"/>
      <c r="U9">
        <f t="shared" si="0"/>
        <v>1.38</v>
      </c>
      <c r="W9">
        <f t="shared" si="2"/>
        <v>1.4424999999999999</v>
      </c>
      <c r="X9">
        <f t="shared" si="3"/>
        <v>0.51235547494899103</v>
      </c>
    </row>
    <row r="10" spans="1:24" ht="15.6" x14ac:dyDescent="0.3">
      <c r="A10" s="11" t="s">
        <v>41</v>
      </c>
      <c r="B10" s="59">
        <v>1.1100000000000001</v>
      </c>
      <c r="C10" s="59">
        <v>0.90400000000000003</v>
      </c>
      <c r="D10" s="59">
        <v>1.1299999999999999</v>
      </c>
      <c r="E10" s="59">
        <v>0.91</v>
      </c>
      <c r="F10" s="59"/>
      <c r="G10">
        <f t="shared" si="4"/>
        <v>1.0135000000000001</v>
      </c>
      <c r="I10" s="59">
        <v>1.18</v>
      </c>
      <c r="J10" s="59">
        <v>0.90300000000000002</v>
      </c>
      <c r="K10" s="59">
        <v>1.19</v>
      </c>
      <c r="L10" s="59">
        <v>0.90200000000000002</v>
      </c>
      <c r="M10" s="59"/>
      <c r="N10">
        <f t="shared" si="1"/>
        <v>1.04375</v>
      </c>
      <c r="P10" s="59">
        <v>1.1200000000000001</v>
      </c>
      <c r="Q10" s="59">
        <v>0.90700000000000003</v>
      </c>
      <c r="R10" s="59">
        <v>1.1200000000000001</v>
      </c>
      <c r="S10" s="59">
        <v>0.84899999999999998</v>
      </c>
      <c r="T10" s="59"/>
      <c r="U10">
        <f t="shared" si="0"/>
        <v>0.99900000000000011</v>
      </c>
      <c r="W10">
        <f t="shared" si="2"/>
        <v>1.01875</v>
      </c>
      <c r="X10">
        <f t="shared" si="3"/>
        <v>0</v>
      </c>
    </row>
    <row r="11" spans="1:24" ht="15.6" x14ac:dyDescent="0.3">
      <c r="A11" s="11" t="s">
        <v>66</v>
      </c>
      <c r="B11" s="59">
        <v>3.4</v>
      </c>
      <c r="C11" s="59">
        <v>3.59</v>
      </c>
      <c r="D11" s="59">
        <v>3.7</v>
      </c>
      <c r="E11" s="59">
        <v>3.33</v>
      </c>
      <c r="F11" s="59"/>
      <c r="G11">
        <f t="shared" si="4"/>
        <v>3.5050000000000003</v>
      </c>
      <c r="I11" s="59">
        <v>2.7</v>
      </c>
      <c r="J11" s="59">
        <v>3.03</v>
      </c>
      <c r="K11" s="59">
        <v>2.72</v>
      </c>
      <c r="L11" s="59">
        <v>2.77</v>
      </c>
      <c r="M11" s="59"/>
      <c r="N11">
        <f t="shared" si="1"/>
        <v>2.8050000000000002</v>
      </c>
      <c r="P11" s="59">
        <v>2.36</v>
      </c>
      <c r="Q11" s="59">
        <v>2.57</v>
      </c>
      <c r="R11" s="59">
        <v>2.65</v>
      </c>
      <c r="S11" s="59">
        <v>2.4500000000000002</v>
      </c>
      <c r="T11" s="59"/>
      <c r="U11">
        <f t="shared" si="0"/>
        <v>2.5075000000000003</v>
      </c>
      <c r="W11">
        <f t="shared" si="2"/>
        <v>2.9391666666666669</v>
      </c>
      <c r="X11">
        <f t="shared" si="3"/>
        <v>2.3219728456636188</v>
      </c>
    </row>
    <row r="12" spans="1:24" ht="15.6" x14ac:dyDescent="0.3">
      <c r="A12" s="11" t="s">
        <v>81</v>
      </c>
      <c r="B12" s="76">
        <v>2.73</v>
      </c>
      <c r="C12" s="76"/>
      <c r="D12" s="76">
        <v>5.12</v>
      </c>
      <c r="E12" s="76"/>
      <c r="F12" s="58"/>
      <c r="G12">
        <f>SUM(B12,D12)/2</f>
        <v>3.9249999999999998</v>
      </c>
      <c r="P12" s="79">
        <v>2.2799999999999998</v>
      </c>
      <c r="Q12" s="79"/>
      <c r="R12" s="79">
        <v>2.52</v>
      </c>
      <c r="S12" s="79"/>
      <c r="T12" s="61"/>
      <c r="U12">
        <f>SUM(P12,R12)/2</f>
        <v>2.4</v>
      </c>
      <c r="W12">
        <f>SUM(G12,U12)/2</f>
        <v>3.1624999999999996</v>
      </c>
      <c r="X12">
        <f t="shared" si="3"/>
        <v>2.5920048363938637</v>
      </c>
    </row>
    <row r="13" spans="1:24" ht="15.6" x14ac:dyDescent="0.3">
      <c r="A13" s="11" t="s">
        <v>82</v>
      </c>
      <c r="B13" s="76">
        <v>3.61</v>
      </c>
      <c r="C13" s="76"/>
      <c r="D13" s="76">
        <v>3.98</v>
      </c>
      <c r="E13" s="76"/>
      <c r="F13" s="58"/>
      <c r="G13">
        <f>SUM(B13,D13)/2</f>
        <v>3.7949999999999999</v>
      </c>
      <c r="P13" s="79">
        <v>2.25</v>
      </c>
      <c r="Q13" s="79"/>
      <c r="R13" s="79">
        <v>2.11</v>
      </c>
      <c r="S13" s="79"/>
      <c r="T13" s="61"/>
      <c r="U13">
        <f>SUM(P13,R13)/2</f>
        <v>2.1799999999999997</v>
      </c>
      <c r="W13">
        <f>SUM(G13,U13)/2</f>
        <v>2.9874999999999998</v>
      </c>
      <c r="X13">
        <f t="shared" si="3"/>
        <v>2.3804126048515077</v>
      </c>
    </row>
    <row r="14" spans="1:24" ht="15.6" x14ac:dyDescent="0.3">
      <c r="A14" s="11" t="s">
        <v>83</v>
      </c>
      <c r="B14" s="59">
        <v>2.04</v>
      </c>
      <c r="C14" s="59">
        <v>1.81</v>
      </c>
      <c r="D14" s="59">
        <v>2.1</v>
      </c>
      <c r="E14" s="59">
        <v>1.82</v>
      </c>
      <c r="F14" s="59"/>
      <c r="G14">
        <f t="shared" ref="G14" si="5">SUM(B14,C14,D14,E14)/4</f>
        <v>1.9425000000000001</v>
      </c>
      <c r="I14" s="59">
        <v>2.08</v>
      </c>
      <c r="J14" s="59">
        <v>1.78</v>
      </c>
      <c r="K14" s="59">
        <v>2.12</v>
      </c>
      <c r="L14" s="59">
        <v>1.86</v>
      </c>
      <c r="M14" s="59"/>
      <c r="N14">
        <f t="shared" ref="N14" si="6">SUM(I14,J14,K14,L14)/4</f>
        <v>1.9600000000000002</v>
      </c>
      <c r="P14" s="59">
        <v>2.08</v>
      </c>
      <c r="Q14" s="59">
        <v>1.72</v>
      </c>
      <c r="R14" s="59">
        <v>2.19</v>
      </c>
      <c r="S14" s="59">
        <v>1.82</v>
      </c>
      <c r="T14" s="59"/>
      <c r="U14">
        <f t="shared" ref="U14" si="7">SUM(P14,Q14,R14,S14)/4</f>
        <v>1.9525000000000001</v>
      </c>
      <c r="W14">
        <f t="shared" ref="W14" si="8">SUM(G14,N14,U14)/3</f>
        <v>1.9516666666666669</v>
      </c>
      <c r="X14">
        <f t="shared" si="3"/>
        <v>1.1279881105317517</v>
      </c>
    </row>
    <row r="19" spans="22:23" x14ac:dyDescent="0.3">
      <c r="V19" t="s">
        <v>101</v>
      </c>
      <c r="W19">
        <f>MIN(W4:W14)</f>
        <v>1.01875</v>
      </c>
    </row>
    <row r="20" spans="22:23" x14ac:dyDescent="0.3">
      <c r="V20" t="s">
        <v>102</v>
      </c>
      <c r="W20">
        <f>MAX(W4,W14,W5:W13)</f>
        <v>83.725000000000009</v>
      </c>
    </row>
  </sheetData>
  <mergeCells count="17">
    <mergeCell ref="B1:E1"/>
    <mergeCell ref="B2:C2"/>
    <mergeCell ref="D2:E2"/>
    <mergeCell ref="I1:L1"/>
    <mergeCell ref="I2:J2"/>
    <mergeCell ref="K2:L2"/>
    <mergeCell ref="B12:C12"/>
    <mergeCell ref="D12:E12"/>
    <mergeCell ref="B13:C13"/>
    <mergeCell ref="D13:E13"/>
    <mergeCell ref="P12:Q12"/>
    <mergeCell ref="P13:Q13"/>
    <mergeCell ref="R13:S13"/>
    <mergeCell ref="P1:S1"/>
    <mergeCell ref="P2:Q2"/>
    <mergeCell ref="R2:S2"/>
    <mergeCell ref="R12:S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D102-6946-4ADD-9FB4-74A381A8B2B0}">
  <dimension ref="A1:I18"/>
  <sheetViews>
    <sheetView topLeftCell="C1" workbookViewId="0">
      <selection activeCell="I5" sqref="I5"/>
    </sheetView>
  </sheetViews>
  <sheetFormatPr defaultRowHeight="14.4" x14ac:dyDescent="0.3"/>
  <cols>
    <col min="1" max="1" width="12.88671875" bestFit="1" customWidth="1"/>
    <col min="9" max="9" width="12.21875" bestFit="1" customWidth="1"/>
  </cols>
  <sheetData>
    <row r="1" spans="1:9" ht="15.6" x14ac:dyDescent="0.3">
      <c r="A1" s="58"/>
      <c r="B1" s="76" t="s">
        <v>68</v>
      </c>
      <c r="C1" s="76"/>
      <c r="D1" s="76" t="s">
        <v>71</v>
      </c>
      <c r="E1" s="76"/>
      <c r="G1" t="s">
        <v>86</v>
      </c>
      <c r="I1" t="s">
        <v>100</v>
      </c>
    </row>
    <row r="2" spans="1:9" ht="15.6" x14ac:dyDescent="0.3">
      <c r="A2" s="58"/>
      <c r="B2" s="58" t="s">
        <v>87</v>
      </c>
      <c r="C2" s="58" t="s">
        <v>88</v>
      </c>
      <c r="D2" s="58" t="s">
        <v>87</v>
      </c>
      <c r="E2" s="58" t="s">
        <v>88</v>
      </c>
    </row>
    <row r="3" spans="1:9" ht="15.6" x14ac:dyDescent="0.3">
      <c r="A3" s="11" t="s">
        <v>12</v>
      </c>
      <c r="B3" s="59">
        <v>15.2</v>
      </c>
      <c r="C3" s="59">
        <v>10.7</v>
      </c>
      <c r="D3" s="59">
        <v>6.47</v>
      </c>
      <c r="E3" s="59">
        <v>24</v>
      </c>
      <c r="G3">
        <f>SUM(B3:E3)/4</f>
        <v>14.092499999999999</v>
      </c>
      <c r="I3">
        <f>(G3-0)/(94.925-0)*100</f>
        <v>14.84593099815644</v>
      </c>
    </row>
    <row r="4" spans="1:9" ht="15.6" x14ac:dyDescent="0.3">
      <c r="A4" s="11" t="s">
        <v>17</v>
      </c>
      <c r="B4" s="59">
        <v>8.51</v>
      </c>
      <c r="C4" s="59">
        <v>12</v>
      </c>
      <c r="D4" s="59">
        <v>10.7</v>
      </c>
      <c r="E4" s="59">
        <v>14.2</v>
      </c>
      <c r="G4">
        <f t="shared" ref="G4:G10" si="0">SUM(B4:E4)/4</f>
        <v>11.352499999999999</v>
      </c>
      <c r="I4">
        <f t="shared" ref="I4:I13" si="1">(G4-0)/(94.925-0)*100</f>
        <v>11.959441664471951</v>
      </c>
    </row>
    <row r="5" spans="1:9" ht="15.6" x14ac:dyDescent="0.3">
      <c r="A5" s="11" t="s">
        <v>21</v>
      </c>
      <c r="B5" s="59">
        <v>92.3</v>
      </c>
      <c r="C5" s="59">
        <v>92.6</v>
      </c>
      <c r="D5" s="59">
        <v>95.3</v>
      </c>
      <c r="E5" s="59">
        <v>99.5</v>
      </c>
      <c r="G5">
        <f t="shared" si="0"/>
        <v>94.924999999999997</v>
      </c>
      <c r="I5">
        <f t="shared" si="1"/>
        <v>100</v>
      </c>
    </row>
    <row r="6" spans="1:9" ht="15.6" x14ac:dyDescent="0.3">
      <c r="A6" s="11" t="s">
        <v>23</v>
      </c>
      <c r="B6" s="59">
        <v>0</v>
      </c>
      <c r="C6" s="59">
        <v>0</v>
      </c>
      <c r="D6" s="59">
        <v>0</v>
      </c>
      <c r="E6" s="59">
        <v>0</v>
      </c>
      <c r="G6">
        <f t="shared" si="0"/>
        <v>0</v>
      </c>
      <c r="I6">
        <f t="shared" si="1"/>
        <v>0</v>
      </c>
    </row>
    <row r="7" spans="1:9" ht="15.6" x14ac:dyDescent="0.3">
      <c r="A7" s="11" t="s">
        <v>36</v>
      </c>
      <c r="B7" s="59">
        <v>26.8</v>
      </c>
      <c r="C7" s="59">
        <v>28.5</v>
      </c>
      <c r="D7" s="59">
        <v>4.6100000000000003</v>
      </c>
      <c r="E7" s="59">
        <v>50.6</v>
      </c>
      <c r="G7">
        <f t="shared" si="0"/>
        <v>27.627499999999998</v>
      </c>
      <c r="I7">
        <f t="shared" si="1"/>
        <v>29.104556228601524</v>
      </c>
    </row>
    <row r="8" spans="1:9" ht="15.6" x14ac:dyDescent="0.3">
      <c r="A8" s="11" t="s">
        <v>40</v>
      </c>
      <c r="B8" s="59">
        <v>34.799999999999997</v>
      </c>
      <c r="C8" s="59">
        <v>22.9</v>
      </c>
      <c r="D8" s="59">
        <v>19.100000000000001</v>
      </c>
      <c r="E8" s="59">
        <v>24.4</v>
      </c>
      <c r="G8">
        <f t="shared" si="0"/>
        <v>25.299999999999997</v>
      </c>
      <c r="I8">
        <f t="shared" si="1"/>
        <v>26.652620489860411</v>
      </c>
    </row>
    <row r="9" spans="1:9" ht="15.6" x14ac:dyDescent="0.3">
      <c r="A9" s="11" t="s">
        <v>41</v>
      </c>
      <c r="B9" s="59">
        <v>52.9</v>
      </c>
      <c r="C9" s="59">
        <v>33.1</v>
      </c>
      <c r="D9" s="59">
        <v>25.4</v>
      </c>
      <c r="E9" s="59">
        <v>64.5</v>
      </c>
      <c r="G9">
        <f t="shared" si="0"/>
        <v>43.975000000000001</v>
      </c>
      <c r="I9">
        <f t="shared" si="1"/>
        <v>46.326046879115097</v>
      </c>
    </row>
    <row r="10" spans="1:9" ht="15.6" x14ac:dyDescent="0.3">
      <c r="A10" s="11" t="s">
        <v>66</v>
      </c>
      <c r="B10" s="59">
        <v>28.9</v>
      </c>
      <c r="C10" s="59">
        <v>28.6</v>
      </c>
      <c r="D10" s="59">
        <v>30.6</v>
      </c>
      <c r="E10" s="59">
        <v>39.299999999999997</v>
      </c>
      <c r="G10">
        <f t="shared" si="0"/>
        <v>31.849999999999998</v>
      </c>
      <c r="I10">
        <f t="shared" si="1"/>
        <v>33.552804845930993</v>
      </c>
    </row>
    <row r="11" spans="1:9" ht="15.6" x14ac:dyDescent="0.3">
      <c r="A11" s="11" t="s">
        <v>81</v>
      </c>
      <c r="B11" s="76">
        <v>0.88300000000000001</v>
      </c>
      <c r="C11" s="76"/>
      <c r="D11" s="76">
        <v>1.87</v>
      </c>
      <c r="E11" s="76"/>
      <c r="G11">
        <f>SUM(B11,D11)/2</f>
        <v>1.3765000000000001</v>
      </c>
      <c r="I11">
        <f t="shared" si="1"/>
        <v>1.4500921780352911</v>
      </c>
    </row>
    <row r="12" spans="1:9" ht="15.6" x14ac:dyDescent="0.3">
      <c r="A12" s="11" t="s">
        <v>82</v>
      </c>
      <c r="B12" s="76">
        <v>0.42799999999999999</v>
      </c>
      <c r="C12" s="76"/>
      <c r="D12" s="76">
        <v>0.68300000000000005</v>
      </c>
      <c r="E12" s="76"/>
      <c r="G12">
        <f>SUM(B12,D12)/2</f>
        <v>0.55549999999999999</v>
      </c>
      <c r="I12">
        <f t="shared" si="1"/>
        <v>0.58519884119041343</v>
      </c>
    </row>
    <row r="13" spans="1:9" ht="15.6" x14ac:dyDescent="0.3">
      <c r="A13" s="11" t="s">
        <v>83</v>
      </c>
      <c r="B13" s="59">
        <v>69.099999999999994</v>
      </c>
      <c r="C13" s="59">
        <v>60</v>
      </c>
      <c r="D13" s="59">
        <v>45.9</v>
      </c>
      <c r="E13" s="59">
        <v>74.3</v>
      </c>
      <c r="G13">
        <f t="shared" ref="G13" si="2">SUM(B13:E13)/4</f>
        <v>62.325000000000003</v>
      </c>
      <c r="I13">
        <f t="shared" si="1"/>
        <v>65.657097708717416</v>
      </c>
    </row>
    <row r="17" spans="6:7" x14ac:dyDescent="0.3">
      <c r="F17" t="s">
        <v>103</v>
      </c>
      <c r="G17">
        <f>MIN(G3:G13)</f>
        <v>0</v>
      </c>
    </row>
    <row r="18" spans="6:7" x14ac:dyDescent="0.3">
      <c r="F18" t="s">
        <v>104</v>
      </c>
      <c r="G18">
        <f>MAX(G4:G14)</f>
        <v>94.924999999999997</v>
      </c>
    </row>
  </sheetData>
  <mergeCells count="6">
    <mergeCell ref="B1:C1"/>
    <mergeCell ref="D1:E1"/>
    <mergeCell ref="B11:C11"/>
    <mergeCell ref="D11:E11"/>
    <mergeCell ref="B12:C12"/>
    <mergeCell ref="D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11DC-184C-4B9D-B3DE-0A56BCF8EB17}">
  <dimension ref="A1:N17"/>
  <sheetViews>
    <sheetView workbookViewId="0">
      <selection activeCell="J22" sqref="J22"/>
    </sheetView>
  </sheetViews>
  <sheetFormatPr defaultRowHeight="14.4" x14ac:dyDescent="0.3"/>
  <cols>
    <col min="1" max="1" width="12.88671875" bestFit="1" customWidth="1"/>
    <col min="2" max="7" width="12" bestFit="1" customWidth="1"/>
    <col min="8" max="8" width="9.33203125" bestFit="1" customWidth="1"/>
    <col min="9" max="9" width="12" bestFit="1" customWidth="1"/>
    <col min="10" max="10" width="13.88671875" bestFit="1" customWidth="1"/>
    <col min="14" max="14" width="8.88671875" style="53"/>
  </cols>
  <sheetData>
    <row r="1" spans="1:14" x14ac:dyDescent="0.3">
      <c r="A1" t="s">
        <v>114</v>
      </c>
      <c r="B1" t="s">
        <v>105</v>
      </c>
      <c r="C1" t="s">
        <v>106</v>
      </c>
      <c r="D1" t="s">
        <v>107</v>
      </c>
      <c r="E1" t="s">
        <v>109</v>
      </c>
      <c r="F1" t="s">
        <v>110</v>
      </c>
      <c r="G1" t="s">
        <v>111</v>
      </c>
      <c r="H1" s="63" t="s">
        <v>108</v>
      </c>
      <c r="I1" t="s">
        <v>112</v>
      </c>
      <c r="J1" t="s">
        <v>113</v>
      </c>
      <c r="K1" t="s">
        <v>115</v>
      </c>
    </row>
    <row r="2" spans="1:14" ht="15.6" x14ac:dyDescent="0.3">
      <c r="A2" s="11" t="s">
        <v>12</v>
      </c>
      <c r="B2">
        <v>6.6633630219446571</v>
      </c>
      <c r="C2">
        <v>20.725921940121847</v>
      </c>
      <c r="D2">
        <v>15.314796989501945</v>
      </c>
      <c r="E2">
        <v>0.12574624045945726</v>
      </c>
      <c r="F2">
        <v>14.84593099815644</v>
      </c>
      <c r="G2">
        <v>98.005850964948806</v>
      </c>
      <c r="H2">
        <f t="shared" ref="H2:H12" si="0">SUM(B2:D2)/3</f>
        <v>14.234693983856149</v>
      </c>
      <c r="I2">
        <f>SUM(E2,F2)/2</f>
        <v>7.4858386193079491</v>
      </c>
      <c r="J2">
        <f>SUM(E2,G2)/2</f>
        <v>49.065798602704135</v>
      </c>
      <c r="K2">
        <f>(3*H2+I2+J2)/5</f>
        <v>19.851143834716105</v>
      </c>
      <c r="N2" s="53">
        <f t="shared" ref="N2:N12" si="1">(K2-4.819074)/(66.25885-4.819074)*100</f>
        <v>24.466348696837869</v>
      </c>
    </row>
    <row r="3" spans="1:14" ht="15.6" x14ac:dyDescent="0.3">
      <c r="A3" s="11" t="s">
        <v>17</v>
      </c>
      <c r="B3">
        <v>28.440870210609294</v>
      </c>
      <c r="C3">
        <v>35.993567527002782</v>
      </c>
      <c r="D3">
        <v>5.2204879545214045</v>
      </c>
      <c r="E3">
        <v>1.5481498274515728</v>
      </c>
      <c r="F3">
        <v>11.959441664471951</v>
      </c>
      <c r="G3">
        <v>97.98430310082729</v>
      </c>
      <c r="H3">
        <f t="shared" si="0"/>
        <v>23.218308564044492</v>
      </c>
      <c r="I3">
        <f t="shared" ref="I3:I12" si="2">SUM(E3,F3)/2</f>
        <v>6.7537957459617619</v>
      </c>
      <c r="J3">
        <f t="shared" ref="J3:J12" si="3">SUM(E3,G3)/2</f>
        <v>49.766226464139429</v>
      </c>
      <c r="K3">
        <f t="shared" ref="K3:K12" si="4">(3*H3+I3+J3)/5</f>
        <v>25.234989580446932</v>
      </c>
      <c r="N3" s="53">
        <f t="shared" si="1"/>
        <v>33.229150412994564</v>
      </c>
    </row>
    <row r="4" spans="1:14" ht="15.6" x14ac:dyDescent="0.3">
      <c r="A4" s="11" t="s">
        <v>21</v>
      </c>
      <c r="B4">
        <v>1.7347161811354312E-4</v>
      </c>
      <c r="C4">
        <v>1.2345601071869281E-4</v>
      </c>
      <c r="D4">
        <v>100.00007496832633</v>
      </c>
      <c r="E4">
        <v>100.00000000000003</v>
      </c>
      <c r="F4">
        <v>100</v>
      </c>
      <c r="G4">
        <v>97.327377141759015</v>
      </c>
      <c r="H4">
        <f t="shared" si="0"/>
        <v>33.333457298651723</v>
      </c>
      <c r="I4">
        <f t="shared" si="2"/>
        <v>100.00000000000001</v>
      </c>
      <c r="J4">
        <f t="shared" si="3"/>
        <v>98.663688570879515</v>
      </c>
      <c r="K4">
        <f t="shared" si="4"/>
        <v>59.732812093366945</v>
      </c>
      <c r="N4" s="53">
        <f t="shared" si="1"/>
        <v>89.378154785862094</v>
      </c>
    </row>
    <row r="5" spans="1:14" ht="15.6" x14ac:dyDescent="0.3">
      <c r="A5" s="11" t="s">
        <v>23</v>
      </c>
      <c r="B5">
        <v>17.172699426593798</v>
      </c>
      <c r="C5">
        <v>29.5998185830117</v>
      </c>
      <c r="D5">
        <v>35.356664980034417</v>
      </c>
      <c r="E5">
        <v>2.650444595581753</v>
      </c>
      <c r="F5">
        <v>0</v>
      </c>
      <c r="G5">
        <v>48.18148699647368</v>
      </c>
      <c r="H5">
        <f t="shared" si="0"/>
        <v>27.376394329879972</v>
      </c>
      <c r="I5">
        <f t="shared" si="2"/>
        <v>1.3252222977908765</v>
      </c>
      <c r="J5">
        <f t="shared" si="3"/>
        <v>25.415965796027717</v>
      </c>
      <c r="K5">
        <f t="shared" si="4"/>
        <v>21.774074216691702</v>
      </c>
      <c r="N5" s="53">
        <f t="shared" si="1"/>
        <v>27.596129609410852</v>
      </c>
    </row>
    <row r="6" spans="1:14" ht="15.6" x14ac:dyDescent="0.3">
      <c r="A6" s="11" t="s">
        <v>36</v>
      </c>
      <c r="B6">
        <v>55.956412706263457</v>
      </c>
      <c r="C6">
        <v>73.030545078674947</v>
      </c>
      <c r="D6">
        <v>43.595633725096469</v>
      </c>
      <c r="E6">
        <v>0.23960301267034428</v>
      </c>
      <c r="F6">
        <v>29.104556228601524</v>
      </c>
      <c r="G6">
        <v>99.687453209352114</v>
      </c>
      <c r="H6">
        <f t="shared" si="0"/>
        <v>57.527530503344956</v>
      </c>
      <c r="I6">
        <f t="shared" si="2"/>
        <v>14.672079620635934</v>
      </c>
      <c r="J6">
        <f t="shared" si="3"/>
        <v>49.963528111011229</v>
      </c>
      <c r="K6">
        <f t="shared" si="4"/>
        <v>47.44363984833641</v>
      </c>
      <c r="N6" s="53">
        <f t="shared" si="1"/>
        <v>69.37617391107743</v>
      </c>
    </row>
    <row r="7" spans="1:14" ht="15.6" x14ac:dyDescent="0.3">
      <c r="A7" s="11" t="s">
        <v>40</v>
      </c>
      <c r="B7">
        <v>51.070766702123962</v>
      </c>
      <c r="C7">
        <v>77.138795616296946</v>
      </c>
      <c r="D7">
        <v>8.1450073945624979</v>
      </c>
      <c r="E7">
        <v>0.51235547494899103</v>
      </c>
      <c r="F7">
        <v>26.652620489860411</v>
      </c>
      <c r="G7">
        <v>99.910633546846057</v>
      </c>
      <c r="H7">
        <f t="shared" si="0"/>
        <v>45.451523237661142</v>
      </c>
      <c r="I7">
        <f t="shared" si="2"/>
        <v>13.5824879824047</v>
      </c>
      <c r="J7">
        <f t="shared" si="3"/>
        <v>50.211494510897523</v>
      </c>
      <c r="K7">
        <f t="shared" si="4"/>
        <v>40.02971044125713</v>
      </c>
      <c r="N7" s="53">
        <f t="shared" si="1"/>
        <v>57.309187522521455</v>
      </c>
    </row>
    <row r="8" spans="1:14" ht="15.6" x14ac:dyDescent="0.3">
      <c r="A8" s="11" t="s">
        <v>41</v>
      </c>
      <c r="B8">
        <v>17.744423958993121</v>
      </c>
      <c r="C8">
        <v>53.138920259648557</v>
      </c>
      <c r="D8">
        <v>7.6837928592155134</v>
      </c>
      <c r="E8">
        <v>0</v>
      </c>
      <c r="F8">
        <v>46.326046879115097</v>
      </c>
      <c r="G8">
        <v>96.859559086198544</v>
      </c>
      <c r="H8">
        <f t="shared" si="0"/>
        <v>26.189045692619064</v>
      </c>
      <c r="I8">
        <f t="shared" si="2"/>
        <v>23.163023439557548</v>
      </c>
      <c r="J8">
        <f t="shared" si="3"/>
        <v>48.429779543099272</v>
      </c>
      <c r="K8">
        <f t="shared" si="4"/>
        <v>30.031988012102808</v>
      </c>
      <c r="N8" s="53">
        <f t="shared" si="1"/>
        <v>41.036793513216601</v>
      </c>
    </row>
    <row r="9" spans="1:14" ht="15.6" x14ac:dyDescent="0.3">
      <c r="A9" s="11" t="s">
        <v>66</v>
      </c>
      <c r="B9">
        <v>19.418017590198371</v>
      </c>
      <c r="C9">
        <v>27.045541986908983</v>
      </c>
      <c r="D9">
        <v>3.4385227043171525</v>
      </c>
      <c r="E9">
        <v>2.3219728456636188</v>
      </c>
      <c r="F9">
        <v>33.552804845930993</v>
      </c>
      <c r="G9">
        <v>95.448559467008096</v>
      </c>
      <c r="H9">
        <f t="shared" si="0"/>
        <v>16.634027427141501</v>
      </c>
      <c r="I9">
        <f t="shared" si="2"/>
        <v>17.937388845797305</v>
      </c>
      <c r="J9">
        <f t="shared" si="3"/>
        <v>48.885266156335859</v>
      </c>
      <c r="K9">
        <f t="shared" si="4"/>
        <v>23.34494745671153</v>
      </c>
      <c r="N9" s="53">
        <f t="shared" si="1"/>
        <v>30.152898761726494</v>
      </c>
    </row>
    <row r="10" spans="1:14" ht="15.6" x14ac:dyDescent="0.3">
      <c r="A10" s="11" t="s">
        <v>81</v>
      </c>
      <c r="B10">
        <v>36.80883836663569</v>
      </c>
      <c r="C10">
        <v>21.654838282674945</v>
      </c>
      <c r="D10">
        <v>15.440582771869305</v>
      </c>
      <c r="E10">
        <v>2.5920048363938637</v>
      </c>
      <c r="F10">
        <v>1.4500921780352911</v>
      </c>
      <c r="G10">
        <v>52.053011519783823</v>
      </c>
      <c r="H10">
        <f t="shared" si="0"/>
        <v>24.634753140393315</v>
      </c>
      <c r="I10">
        <f t="shared" si="2"/>
        <v>2.0210485072145774</v>
      </c>
      <c r="J10">
        <f t="shared" si="3"/>
        <v>27.322508178088842</v>
      </c>
      <c r="K10">
        <f t="shared" si="4"/>
        <v>20.64956322129667</v>
      </c>
      <c r="N10" s="53">
        <f t="shared" si="1"/>
        <v>25.765864155000617</v>
      </c>
    </row>
    <row r="11" spans="1:14" ht="15.6" x14ac:dyDescent="0.3">
      <c r="A11" s="11" t="s">
        <v>82</v>
      </c>
      <c r="B11">
        <v>16.289125149249394</v>
      </c>
      <c r="C11">
        <v>5.1328562734766514</v>
      </c>
      <c r="D11">
        <v>3.7798627599897532E-4</v>
      </c>
      <c r="E11">
        <v>2.3804126048515077</v>
      </c>
      <c r="F11">
        <v>0.58519884119041343</v>
      </c>
      <c r="G11">
        <v>0</v>
      </c>
      <c r="H11">
        <f t="shared" si="0"/>
        <v>7.140786469667348</v>
      </c>
      <c r="I11">
        <f t="shared" si="2"/>
        <v>1.4828057230209606</v>
      </c>
      <c r="J11">
        <f t="shared" si="3"/>
        <v>1.1902063024257539</v>
      </c>
      <c r="K11">
        <f t="shared" si="4"/>
        <v>4.8190742868897516</v>
      </c>
      <c r="N11" s="53">
        <f t="shared" si="1"/>
        <v>4.6694465805797965E-7</v>
      </c>
    </row>
    <row r="12" spans="1:14" ht="15.6" x14ac:dyDescent="0.3">
      <c r="A12" s="11" t="s">
        <v>83</v>
      </c>
      <c r="B12">
        <v>99.999991684007</v>
      </c>
      <c r="C12">
        <v>99.999976727946063</v>
      </c>
      <c r="D12">
        <v>47.337760750525412</v>
      </c>
      <c r="E12">
        <v>1.1279881105317517</v>
      </c>
      <c r="F12">
        <v>65.657097708717416</v>
      </c>
      <c r="G12">
        <v>100</v>
      </c>
      <c r="H12">
        <f t="shared" si="0"/>
        <v>82.445909720826151</v>
      </c>
      <c r="I12">
        <f t="shared" si="2"/>
        <v>33.392542909624581</v>
      </c>
      <c r="J12">
        <f t="shared" si="3"/>
        <v>50.563994055265873</v>
      </c>
      <c r="K12">
        <f t="shared" si="4"/>
        <v>66.258853225473786</v>
      </c>
      <c r="N12" s="53">
        <f t="shared" si="1"/>
        <v>100.00000524981371</v>
      </c>
    </row>
    <row r="16" spans="1:14" x14ac:dyDescent="0.3">
      <c r="L16" t="s">
        <v>101</v>
      </c>
      <c r="M16">
        <f>MIN(K2:K12)</f>
        <v>4.8190742868897516</v>
      </c>
    </row>
    <row r="17" spans="12:13" x14ac:dyDescent="0.3">
      <c r="L17" t="s">
        <v>102</v>
      </c>
      <c r="M17">
        <f>MAX(K2:K12)</f>
        <v>66.258853225473786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26D1-EAA5-45B2-9AAF-6FF568091D0B}">
  <dimension ref="A1:X18"/>
  <sheetViews>
    <sheetView workbookViewId="0">
      <selection activeCell="X4" sqref="X4:X14"/>
    </sheetView>
  </sheetViews>
  <sheetFormatPr defaultRowHeight="14.4" x14ac:dyDescent="0.3"/>
  <cols>
    <col min="1" max="1" width="12.88671875" bestFit="1" customWidth="1"/>
  </cols>
  <sheetData>
    <row r="1" spans="1:24" ht="15.6" x14ac:dyDescent="0.3">
      <c r="A1" s="58"/>
      <c r="B1" s="76" t="s">
        <v>67</v>
      </c>
      <c r="C1" s="76"/>
      <c r="D1" s="76"/>
      <c r="E1" s="76"/>
      <c r="F1" s="58"/>
      <c r="G1" t="s">
        <v>86</v>
      </c>
      <c r="I1" s="76" t="s">
        <v>99</v>
      </c>
      <c r="J1" s="76"/>
      <c r="K1" s="76"/>
      <c r="L1" s="76"/>
      <c r="M1" s="58"/>
      <c r="N1" t="s">
        <v>86</v>
      </c>
      <c r="P1" s="76" t="s">
        <v>73</v>
      </c>
      <c r="Q1" s="76"/>
      <c r="R1" s="76"/>
      <c r="S1" s="76"/>
      <c r="T1" s="58"/>
      <c r="U1" t="s">
        <v>86</v>
      </c>
      <c r="W1" t="s">
        <v>86</v>
      </c>
      <c r="X1" t="s">
        <v>100</v>
      </c>
    </row>
    <row r="2" spans="1:24" ht="15.6" x14ac:dyDescent="0.3">
      <c r="A2" s="58"/>
      <c r="B2" s="76" t="s">
        <v>68</v>
      </c>
      <c r="C2" s="76"/>
      <c r="D2" s="76" t="s">
        <v>71</v>
      </c>
      <c r="E2" s="76"/>
      <c r="F2" s="58"/>
      <c r="I2" s="76" t="s">
        <v>68</v>
      </c>
      <c r="J2" s="76"/>
      <c r="K2" s="76" t="s">
        <v>71</v>
      </c>
      <c r="L2" s="76"/>
      <c r="M2" s="58"/>
      <c r="P2" s="76" t="s">
        <v>68</v>
      </c>
      <c r="Q2" s="76"/>
      <c r="R2" s="76" t="s">
        <v>71</v>
      </c>
      <c r="S2" s="76"/>
      <c r="T2" s="58"/>
    </row>
    <row r="3" spans="1:24" ht="15.6" x14ac:dyDescent="0.3">
      <c r="A3" s="58"/>
      <c r="B3" s="58" t="s">
        <v>87</v>
      </c>
      <c r="C3" s="58" t="s">
        <v>88</v>
      </c>
      <c r="D3" s="58" t="s">
        <v>87</v>
      </c>
      <c r="E3" s="58" t="s">
        <v>88</v>
      </c>
      <c r="F3" s="58"/>
      <c r="I3" s="58" t="s">
        <v>87</v>
      </c>
      <c r="J3" s="58" t="s">
        <v>88</v>
      </c>
      <c r="K3" s="58" t="s">
        <v>87</v>
      </c>
      <c r="L3" s="58" t="s">
        <v>88</v>
      </c>
      <c r="M3" s="58"/>
      <c r="P3" s="58" t="s">
        <v>87</v>
      </c>
      <c r="Q3" s="58" t="s">
        <v>88</v>
      </c>
      <c r="R3" s="58" t="s">
        <v>87</v>
      </c>
      <c r="S3" s="58" t="s">
        <v>88</v>
      </c>
      <c r="T3" s="58"/>
    </row>
    <row r="4" spans="1:24" ht="15.6" x14ac:dyDescent="0.3">
      <c r="A4" s="11" t="s">
        <v>12</v>
      </c>
      <c r="B4">
        <v>9.0377458798511404E-2</v>
      </c>
      <c r="C4">
        <v>0.129117842140172</v>
      </c>
      <c r="D4" s="59">
        <v>9.0377458798511404E-2</v>
      </c>
      <c r="E4" s="59">
        <v>0.129117842140172</v>
      </c>
      <c r="F4" s="59"/>
      <c r="I4" s="59">
        <v>0.102959418748892</v>
      </c>
      <c r="J4" s="59">
        <v>0.13376077824452801</v>
      </c>
      <c r="K4" s="59">
        <v>0.102959418748892</v>
      </c>
      <c r="L4" s="59">
        <v>0.13376077824452801</v>
      </c>
      <c r="N4" s="59"/>
      <c r="P4" s="59">
        <v>0.109516214779373</v>
      </c>
      <c r="Q4" s="59">
        <v>0.13309750165819101</v>
      </c>
      <c r="R4" s="59">
        <v>0.109516214779373</v>
      </c>
      <c r="S4" s="59">
        <v>0.13309750165819101</v>
      </c>
      <c r="T4" s="59"/>
      <c r="W4">
        <f>SUM(B4:E4,I4:L4,P4:S4)/12</f>
        <v>0.1164715357282779</v>
      </c>
      <c r="X4">
        <f>(W4-0.03263)/(0.437155-0.03263)*100</f>
        <v>20.725921940121847</v>
      </c>
    </row>
    <row r="5" spans="1:24" ht="15.6" x14ac:dyDescent="0.3">
      <c r="A5" s="11" t="s">
        <v>17</v>
      </c>
      <c r="B5">
        <v>0.15895800106326399</v>
      </c>
      <c r="C5">
        <v>0.22219765642272801</v>
      </c>
      <c r="D5" s="59">
        <v>0.15895800106326399</v>
      </c>
      <c r="E5" s="59">
        <v>0.22219765642272801</v>
      </c>
      <c r="F5" s="59"/>
      <c r="I5" s="59">
        <v>0.13503455608718801</v>
      </c>
      <c r="J5" s="59">
        <v>0.21578598275480901</v>
      </c>
      <c r="K5" s="59">
        <v>0.13503455608718801</v>
      </c>
      <c r="L5" s="59">
        <v>0.21578598275480901</v>
      </c>
      <c r="M5" s="59"/>
      <c r="N5" s="59"/>
      <c r="P5">
        <v>0.13468013468013501</v>
      </c>
      <c r="Q5">
        <v>0.202741543223524</v>
      </c>
      <c r="R5">
        <v>0.13468013468013501</v>
      </c>
      <c r="S5">
        <v>0.202741543223524</v>
      </c>
      <c r="W5">
        <f t="shared" ref="W5:W14" si="0">SUM(B5:E5,I5:L5,P5:S5)/12</f>
        <v>0.17823297903860799</v>
      </c>
      <c r="X5">
        <f t="shared" ref="X5:X14" si="1">(W5-0.03263)/(0.437155-0.03263)*100</f>
        <v>35.993567527002782</v>
      </c>
    </row>
    <row r="6" spans="1:24" ht="15.6" x14ac:dyDescent="0.3">
      <c r="A6" s="11" t="s">
        <v>21</v>
      </c>
      <c r="B6">
        <v>5.3163211057947902E-3</v>
      </c>
      <c r="C6">
        <v>7.8708821578598306E-2</v>
      </c>
      <c r="D6" s="59">
        <v>5.3163211057947902E-3</v>
      </c>
      <c r="E6" s="59">
        <v>7.8708821578598306E-2</v>
      </c>
      <c r="F6" s="59"/>
      <c r="I6" s="59">
        <v>5.3163211057947902E-3</v>
      </c>
      <c r="J6" s="59">
        <v>7.8708821578598306E-2</v>
      </c>
      <c r="K6" s="59">
        <v>5.3163211057947902E-3</v>
      </c>
      <c r="L6" s="59">
        <v>7.8708821578598306E-2</v>
      </c>
      <c r="M6" s="59"/>
      <c r="N6" s="59"/>
      <c r="P6" s="59">
        <v>4.0758461811093404E-3</v>
      </c>
      <c r="Q6" s="59">
        <v>2.36568649126686E-2</v>
      </c>
      <c r="R6" s="59">
        <v>4.0758461811093404E-3</v>
      </c>
      <c r="S6" s="59">
        <v>2.36568649126686E-2</v>
      </c>
      <c r="T6" s="59"/>
      <c r="W6">
        <f t="shared" si="0"/>
        <v>3.2630499410427359E-2</v>
      </c>
      <c r="X6">
        <f t="shared" si="1"/>
        <v>1.2345601071869281E-4</v>
      </c>
    </row>
    <row r="7" spans="1:24" ht="15.6" x14ac:dyDescent="0.3">
      <c r="A7" s="11" t="s">
        <v>23</v>
      </c>
      <c r="B7">
        <v>0.172957646641857</v>
      </c>
      <c r="C7">
        <v>0.37430908688923298</v>
      </c>
      <c r="D7" s="59">
        <v>0.172957646641857</v>
      </c>
      <c r="E7" s="59">
        <v>0.37430908688923298</v>
      </c>
      <c r="F7" s="59"/>
      <c r="I7" s="59">
        <v>0</v>
      </c>
      <c r="J7" s="59">
        <v>0</v>
      </c>
      <c r="K7" s="59">
        <v>0</v>
      </c>
      <c r="L7" s="59">
        <v>0</v>
      </c>
      <c r="M7" s="59"/>
      <c r="N7" s="59"/>
      <c r="P7" s="59">
        <v>8.0630870104554303E-2</v>
      </c>
      <c r="Q7" s="59">
        <v>0.28631439310192403</v>
      </c>
      <c r="R7" s="59">
        <v>8.0630870104554303E-2</v>
      </c>
      <c r="S7" s="59">
        <v>0.28631439310192403</v>
      </c>
      <c r="T7" s="59"/>
      <c r="W7">
        <f t="shared" si="0"/>
        <v>0.15236866612292807</v>
      </c>
      <c r="X7">
        <f t="shared" si="1"/>
        <v>29.5998185830117</v>
      </c>
    </row>
    <row r="8" spans="1:24" ht="15.6" x14ac:dyDescent="0.3">
      <c r="A8" s="11" t="s">
        <v>36</v>
      </c>
      <c r="B8">
        <v>0.26298068403331598</v>
      </c>
      <c r="C8">
        <v>0.360380278576166</v>
      </c>
      <c r="D8" s="59">
        <v>0.26298068403331598</v>
      </c>
      <c r="E8" s="59">
        <v>0.360380278576166</v>
      </c>
      <c r="F8" s="59"/>
      <c r="I8" s="59">
        <v>0.311713627503101</v>
      </c>
      <c r="J8" s="59">
        <v>0.525757240769401</v>
      </c>
      <c r="K8" s="59">
        <v>0.311713627503101</v>
      </c>
      <c r="L8" s="59">
        <v>0.525757240769401</v>
      </c>
      <c r="M8" s="59"/>
      <c r="N8" s="59"/>
      <c r="P8" s="59">
        <v>0.14690767322346299</v>
      </c>
      <c r="Q8" s="59">
        <v>0.36060137077161197</v>
      </c>
      <c r="R8" s="59">
        <v>0.14690767322346299</v>
      </c>
      <c r="S8" s="59">
        <v>0.36060137077161197</v>
      </c>
      <c r="T8" s="59"/>
      <c r="W8">
        <f t="shared" si="0"/>
        <v>0.32805681247950985</v>
      </c>
      <c r="X8">
        <f t="shared" si="1"/>
        <v>73.030545078674947</v>
      </c>
    </row>
    <row r="9" spans="1:24" ht="15.6" x14ac:dyDescent="0.3">
      <c r="A9" s="11" t="s">
        <v>40</v>
      </c>
      <c r="B9">
        <v>0.34077618288144601</v>
      </c>
      <c r="C9">
        <v>0.34512491709042697</v>
      </c>
      <c r="D9" s="59">
        <v>0.34077618288144601</v>
      </c>
      <c r="E9" s="59">
        <v>0.34512491709042697</v>
      </c>
      <c r="F9" s="59"/>
      <c r="I9" s="59">
        <v>0.32961190855927702</v>
      </c>
      <c r="J9" s="59">
        <v>0.37939420738447899</v>
      </c>
      <c r="K9" s="59">
        <v>0.32961190855927702</v>
      </c>
      <c r="L9" s="59">
        <v>0.37939420738447899</v>
      </c>
      <c r="M9" s="59"/>
      <c r="N9" s="59"/>
      <c r="P9" s="59">
        <v>0.30746057061846499</v>
      </c>
      <c r="Q9" s="59">
        <v>0.36568649126685798</v>
      </c>
      <c r="R9" s="59">
        <v>0.30746057061846499</v>
      </c>
      <c r="S9" s="59">
        <v>0.36568649126685798</v>
      </c>
      <c r="T9" s="59"/>
      <c r="W9">
        <f t="shared" si="0"/>
        <v>0.34467571296682525</v>
      </c>
      <c r="X9">
        <f t="shared" si="1"/>
        <v>77.138795616296946</v>
      </c>
    </row>
    <row r="10" spans="1:24" ht="15.6" x14ac:dyDescent="0.3">
      <c r="A10" s="11" t="s">
        <v>41</v>
      </c>
      <c r="B10">
        <v>0.246500088605352</v>
      </c>
      <c r="C10">
        <v>0.248286535485297</v>
      </c>
      <c r="D10" s="59">
        <v>0.246500088605352</v>
      </c>
      <c r="E10" s="59">
        <v>0.248286535485297</v>
      </c>
      <c r="F10" s="59"/>
      <c r="I10" s="59">
        <v>0.24862661704767</v>
      </c>
      <c r="J10" s="59">
        <v>0.25315056378509798</v>
      </c>
      <c r="K10" s="59">
        <v>0.24862661704767</v>
      </c>
      <c r="L10" s="59">
        <v>0.25315056378509798</v>
      </c>
      <c r="M10" s="59"/>
      <c r="N10" s="59"/>
      <c r="P10" s="59">
        <v>0.23781676413255401</v>
      </c>
      <c r="Q10" s="59">
        <v>0.25116073402608902</v>
      </c>
      <c r="R10" s="59">
        <v>0.23781676413255401</v>
      </c>
      <c r="S10" s="59">
        <v>0.25116073402608902</v>
      </c>
      <c r="T10" s="59"/>
      <c r="W10">
        <f t="shared" si="0"/>
        <v>0.24759021718034332</v>
      </c>
      <c r="X10">
        <f t="shared" si="1"/>
        <v>53.138920259648557</v>
      </c>
    </row>
    <row r="11" spans="1:24" ht="15.6" x14ac:dyDescent="0.3">
      <c r="A11" s="11" t="s">
        <v>66</v>
      </c>
      <c r="B11">
        <v>0.17153996101364499</v>
      </c>
      <c r="C11">
        <v>9.3300906478001294E-2</v>
      </c>
      <c r="D11" s="59">
        <v>0.17153996101364499</v>
      </c>
      <c r="E11" s="59">
        <v>9.3300906478001294E-2</v>
      </c>
      <c r="F11" s="59"/>
      <c r="I11" s="59">
        <v>0.17951444267233699</v>
      </c>
      <c r="J11" s="59">
        <v>0.111651558699978</v>
      </c>
      <c r="K11" s="59">
        <v>0.17951444267233699</v>
      </c>
      <c r="L11" s="59">
        <v>0.111651558699978</v>
      </c>
      <c r="M11" s="59"/>
      <c r="N11" s="59"/>
      <c r="P11" s="59">
        <v>0.15736310473152601</v>
      </c>
      <c r="Q11" s="59">
        <v>0.13884589873977399</v>
      </c>
      <c r="R11" s="59">
        <v>0.15736310473152601</v>
      </c>
      <c r="S11" s="59">
        <v>0.13884589873977399</v>
      </c>
      <c r="T11" s="59"/>
      <c r="W11">
        <f t="shared" si="0"/>
        <v>0.14203597872254356</v>
      </c>
      <c r="X11">
        <f t="shared" si="1"/>
        <v>27.045541986908983</v>
      </c>
    </row>
    <row r="12" spans="1:24" ht="15.6" x14ac:dyDescent="0.3">
      <c r="A12" s="11" t="s">
        <v>81</v>
      </c>
      <c r="B12">
        <v>7.4782916888180007E-2</v>
      </c>
      <c r="C12">
        <v>6.1021445942958198E-2</v>
      </c>
      <c r="D12" s="11">
        <v>7.4782916888180007E-2</v>
      </c>
      <c r="E12" s="11">
        <v>6.1021445942958198E-2</v>
      </c>
      <c r="F12" s="58"/>
      <c r="N12" s="59"/>
      <c r="P12">
        <v>0.15629984051036699</v>
      </c>
      <c r="Q12">
        <v>0.188812734910458</v>
      </c>
      <c r="R12">
        <v>0.15629984051036699</v>
      </c>
      <c r="S12">
        <v>0.188812734910458</v>
      </c>
      <c r="T12" s="61"/>
      <c r="W12">
        <f>SUM(B12:E12,P12:S12)/8</f>
        <v>0.12022923456299081</v>
      </c>
      <c r="X12">
        <f t="shared" si="1"/>
        <v>21.654838282674945</v>
      </c>
    </row>
    <row r="13" spans="1:24" ht="15.6" x14ac:dyDescent="0.3">
      <c r="A13" s="11" t="s">
        <v>82</v>
      </c>
      <c r="B13">
        <v>6.1137692716640102E-2</v>
      </c>
      <c r="C13">
        <v>6.2569091311076699E-2</v>
      </c>
      <c r="D13" s="11">
        <v>6.1137692716640102E-2</v>
      </c>
      <c r="E13" s="11">
        <v>6.2569091311076699E-2</v>
      </c>
      <c r="F13" s="58"/>
      <c r="I13" s="11"/>
      <c r="J13" s="11"/>
      <c r="N13" s="59"/>
      <c r="P13">
        <v>3.1720715931242198E-2</v>
      </c>
      <c r="Q13">
        <v>5.8147247402166702E-2</v>
      </c>
      <c r="R13">
        <v>3.1720715931242198E-2</v>
      </c>
      <c r="S13">
        <v>5.8147247402166702E-2</v>
      </c>
      <c r="T13" s="61"/>
      <c r="W13">
        <f>SUM(B13:E13,P13:S13)/8</f>
        <v>5.3393686840281424E-2</v>
      </c>
      <c r="X13">
        <f t="shared" si="1"/>
        <v>5.1328562734766514</v>
      </c>
    </row>
    <row r="14" spans="1:24" ht="15.6" x14ac:dyDescent="0.3">
      <c r="A14" s="11" t="s">
        <v>83</v>
      </c>
      <c r="B14">
        <v>0.39287612971823499</v>
      </c>
      <c r="C14">
        <v>0.51868229051514503</v>
      </c>
      <c r="D14" s="59">
        <v>0.39287612971823499</v>
      </c>
      <c r="E14" s="59">
        <v>0.51868229051514503</v>
      </c>
      <c r="F14" s="59"/>
      <c r="I14" s="11">
        <v>0.39287612971823499</v>
      </c>
      <c r="J14">
        <v>0.51868229051514503</v>
      </c>
      <c r="K14">
        <v>0.39287612971823499</v>
      </c>
      <c r="L14">
        <v>0.51868229051514503</v>
      </c>
      <c r="M14" s="59"/>
      <c r="N14" s="59"/>
      <c r="P14" s="59">
        <v>0.32004253056884602</v>
      </c>
      <c r="Q14" s="59">
        <v>0.47977006411673701</v>
      </c>
      <c r="R14" s="59">
        <v>0.32004253056884602</v>
      </c>
      <c r="S14" s="59">
        <v>0.47977006411673701</v>
      </c>
      <c r="T14" s="59"/>
      <c r="W14">
        <f t="shared" si="0"/>
        <v>0.4371549058587238</v>
      </c>
      <c r="X14">
        <f t="shared" si="1"/>
        <v>99.999976727946063</v>
      </c>
    </row>
    <row r="17" spans="22:23" x14ac:dyDescent="0.3">
      <c r="V17" t="s">
        <v>101</v>
      </c>
      <c r="W17">
        <f>MIN(W4:W14)</f>
        <v>3.2630499410427359E-2</v>
      </c>
    </row>
    <row r="18" spans="22:23" x14ac:dyDescent="0.3">
      <c r="V18" t="s">
        <v>102</v>
      </c>
      <c r="W18">
        <f>MAX(W4:W14)</f>
        <v>0.4371549058587238</v>
      </c>
    </row>
  </sheetData>
  <mergeCells count="9">
    <mergeCell ref="B1:E1"/>
    <mergeCell ref="I1:L1"/>
    <mergeCell ref="P1:S1"/>
    <mergeCell ref="B2:C2"/>
    <mergeCell ref="D2:E2"/>
    <mergeCell ref="I2:J2"/>
    <mergeCell ref="K2:L2"/>
    <mergeCell ref="P2:Q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3394-099B-4889-8C42-6F0CDD683578}">
  <dimension ref="A1:X18"/>
  <sheetViews>
    <sheetView workbookViewId="0">
      <selection activeCell="X4" sqref="X4:X14"/>
    </sheetView>
  </sheetViews>
  <sheetFormatPr defaultRowHeight="14.4" x14ac:dyDescent="0.3"/>
  <cols>
    <col min="1" max="1" width="12.88671875" bestFit="1" customWidth="1"/>
    <col min="24" max="24" width="13.88671875" bestFit="1" customWidth="1"/>
  </cols>
  <sheetData>
    <row r="1" spans="1:24" ht="15.6" x14ac:dyDescent="0.3">
      <c r="A1" s="58"/>
      <c r="B1" s="76" t="s">
        <v>67</v>
      </c>
      <c r="C1" s="76"/>
      <c r="D1" s="76"/>
      <c r="E1" s="76"/>
      <c r="F1" s="58"/>
      <c r="G1" t="s">
        <v>86</v>
      </c>
      <c r="I1" s="76" t="s">
        <v>99</v>
      </c>
      <c r="J1" s="76"/>
      <c r="K1" s="76"/>
      <c r="L1" s="76"/>
      <c r="M1" s="58"/>
      <c r="N1" t="s">
        <v>86</v>
      </c>
      <c r="P1" s="76" t="s">
        <v>73</v>
      </c>
      <c r="Q1" s="76"/>
      <c r="R1" s="76"/>
      <c r="S1" s="76"/>
      <c r="T1" s="58"/>
      <c r="U1" t="s">
        <v>86</v>
      </c>
      <c r="W1" t="s">
        <v>86</v>
      </c>
      <c r="X1" t="s">
        <v>100</v>
      </c>
    </row>
    <row r="2" spans="1:24" ht="15.6" x14ac:dyDescent="0.3">
      <c r="A2" s="58"/>
      <c r="B2" s="76" t="s">
        <v>68</v>
      </c>
      <c r="C2" s="76"/>
      <c r="D2" s="76" t="s">
        <v>71</v>
      </c>
      <c r="E2" s="76"/>
      <c r="F2" s="58"/>
      <c r="I2" s="76" t="s">
        <v>68</v>
      </c>
      <c r="J2" s="76"/>
      <c r="K2" s="76" t="s">
        <v>71</v>
      </c>
      <c r="L2" s="76"/>
      <c r="M2" s="58"/>
      <c r="P2" s="76" t="s">
        <v>68</v>
      </c>
      <c r="Q2" s="76"/>
      <c r="R2" s="76" t="s">
        <v>71</v>
      </c>
      <c r="S2" s="76"/>
      <c r="T2" s="58"/>
    </row>
    <row r="3" spans="1:24" ht="15.6" x14ac:dyDescent="0.3">
      <c r="A3" s="58"/>
      <c r="B3" s="58" t="s">
        <v>87</v>
      </c>
      <c r="C3" s="58" t="s">
        <v>88</v>
      </c>
      <c r="D3" s="58" t="s">
        <v>87</v>
      </c>
      <c r="E3" s="58" t="s">
        <v>88</v>
      </c>
      <c r="F3" s="58"/>
      <c r="I3" s="58" t="s">
        <v>87</v>
      </c>
      <c r="J3" s="58" t="s">
        <v>88</v>
      </c>
      <c r="K3" s="58" t="s">
        <v>87</v>
      </c>
      <c r="L3" s="58" t="s">
        <v>88</v>
      </c>
      <c r="M3" s="58"/>
      <c r="P3" s="58" t="s">
        <v>87</v>
      </c>
      <c r="Q3" s="58" t="s">
        <v>88</v>
      </c>
      <c r="R3" s="58" t="s">
        <v>87</v>
      </c>
      <c r="S3" s="58" t="s">
        <v>88</v>
      </c>
      <c r="T3" s="58"/>
    </row>
    <row r="4" spans="1:24" ht="15.6" x14ac:dyDescent="0.3">
      <c r="A4" s="11" t="s">
        <v>12</v>
      </c>
      <c r="B4">
        <v>1.37909418586428E-2</v>
      </c>
      <c r="C4">
        <v>3.1891553048111601E-2</v>
      </c>
      <c r="D4">
        <v>1.37909418586428E-2</v>
      </c>
      <c r="E4">
        <v>3.1891553048111601E-2</v>
      </c>
      <c r="F4" s="59"/>
      <c r="I4">
        <v>1.7708823068484598E-2</v>
      </c>
      <c r="J4">
        <v>3.5182573264378597E-2</v>
      </c>
      <c r="K4" s="59">
        <v>1.7708823068484598E-2</v>
      </c>
      <c r="L4" s="59">
        <v>3.5182573264378597E-2</v>
      </c>
      <c r="N4" s="59"/>
      <c r="P4" s="59">
        <v>2.0686412787964299E-2</v>
      </c>
      <c r="Q4" s="59">
        <v>3.6593010499921599E-2</v>
      </c>
      <c r="R4" s="59">
        <v>2.0686412787964299E-2</v>
      </c>
      <c r="S4" s="59">
        <v>3.6593010499921599E-2</v>
      </c>
      <c r="T4" s="59"/>
      <c r="W4">
        <f>SUM(B4:E4,I4:L4,P4:S4)/12</f>
        <v>2.5975552421250579E-2</v>
      </c>
      <c r="X4">
        <f>(W4-0.006895)/(0.131484-0.006895)*100</f>
        <v>15.314796989501945</v>
      </c>
    </row>
    <row r="5" spans="1:24" ht="15.6" x14ac:dyDescent="0.3">
      <c r="A5" s="11" t="s">
        <v>17</v>
      </c>
      <c r="B5">
        <v>1.34775113618555E-2</v>
      </c>
      <c r="C5">
        <v>1.73170349475004E-2</v>
      </c>
      <c r="D5">
        <v>1.34775113618555E-2</v>
      </c>
      <c r="E5">
        <v>1.73170349475004E-2</v>
      </c>
      <c r="F5" s="59"/>
      <c r="I5">
        <v>1.1518570756934601E-2</v>
      </c>
      <c r="J5">
        <v>1.6846889202319401E-2</v>
      </c>
      <c r="K5" s="59">
        <v>1.1518570756934601E-2</v>
      </c>
      <c r="L5" s="59">
        <v>1.6846889202319401E-2</v>
      </c>
      <c r="M5" s="59"/>
      <c r="N5" s="59"/>
      <c r="P5">
        <v>7.3656166745024298E-3</v>
      </c>
      <c r="Q5">
        <v>1.38692994828397E-2</v>
      </c>
      <c r="R5">
        <v>7.3656166745024298E-3</v>
      </c>
      <c r="S5">
        <v>1.38692994828397E-2</v>
      </c>
      <c r="W5">
        <f t="shared" ref="W5:W11" si="0">SUM(B5:E5,I5:L5,P5:S5)/12</f>
        <v>1.3399153737658672E-2</v>
      </c>
      <c r="X5">
        <f t="shared" ref="X5:X14" si="1">(W5-0.006895)/(0.131484-0.006895)*100</f>
        <v>5.2204879545214045</v>
      </c>
    </row>
    <row r="6" spans="1:24" ht="15.6" x14ac:dyDescent="0.3">
      <c r="A6" s="11" t="s">
        <v>21</v>
      </c>
      <c r="B6">
        <v>1.56715248393669E-3</v>
      </c>
      <c r="C6">
        <v>0.30802382071775603</v>
      </c>
      <c r="D6">
        <v>1.56715248393669E-3</v>
      </c>
      <c r="E6">
        <v>0.30802382071775603</v>
      </c>
      <c r="F6" s="59"/>
      <c r="I6">
        <v>1.56715248393669E-3</v>
      </c>
      <c r="J6">
        <v>0.30802382071775603</v>
      </c>
      <c r="K6" s="59">
        <v>1.56715248393669E-3</v>
      </c>
      <c r="L6" s="59">
        <v>0.30802382071775603</v>
      </c>
      <c r="M6" s="59"/>
      <c r="N6" s="59"/>
      <c r="P6" s="59">
        <v>8.6193386616517805E-4</v>
      </c>
      <c r="Q6" s="59">
        <v>0.16886068014417799</v>
      </c>
      <c r="R6" s="59">
        <v>8.6193386616517805E-4</v>
      </c>
      <c r="S6" s="59">
        <v>0.16886068014417799</v>
      </c>
      <c r="T6" s="59"/>
      <c r="W6">
        <f t="shared" si="0"/>
        <v>0.13148409340228809</v>
      </c>
      <c r="X6">
        <f t="shared" si="1"/>
        <v>100.00007496832633</v>
      </c>
    </row>
    <row r="7" spans="1:24" ht="15.6" x14ac:dyDescent="0.3">
      <c r="A7" s="11" t="s">
        <v>23</v>
      </c>
      <c r="B7">
        <v>3.98056730919919E-2</v>
      </c>
      <c r="C7">
        <v>0.15922269236796699</v>
      </c>
      <c r="D7">
        <v>3.98056730919919E-2</v>
      </c>
      <c r="E7">
        <v>0.15922269236796699</v>
      </c>
      <c r="F7" s="59"/>
      <c r="I7">
        <v>0</v>
      </c>
      <c r="J7">
        <v>0</v>
      </c>
      <c r="K7" s="59">
        <v>0</v>
      </c>
      <c r="L7" s="59">
        <v>0</v>
      </c>
      <c r="M7" s="59"/>
      <c r="N7" s="59"/>
      <c r="P7" s="59">
        <v>1.33991537376587E-2</v>
      </c>
      <c r="Q7" s="59">
        <v>9.32455727942329E-2</v>
      </c>
      <c r="R7" s="59">
        <v>1.33991537376587E-2</v>
      </c>
      <c r="S7" s="59">
        <v>9.32455727942329E-2</v>
      </c>
      <c r="T7" s="59"/>
      <c r="W7">
        <f t="shared" si="0"/>
        <v>5.0945515331975076E-2</v>
      </c>
      <c r="X7">
        <f t="shared" si="1"/>
        <v>35.356664980034417</v>
      </c>
    </row>
    <row r="8" spans="1:24" ht="15.6" x14ac:dyDescent="0.3">
      <c r="A8" s="11" t="s">
        <v>36</v>
      </c>
      <c r="B8">
        <v>6.0492085879956102E-2</v>
      </c>
      <c r="C8">
        <v>5.9238363892806803E-2</v>
      </c>
      <c r="D8">
        <v>6.0492085879956102E-2</v>
      </c>
      <c r="E8">
        <v>5.9238363892806803E-2</v>
      </c>
      <c r="F8" s="59"/>
      <c r="I8">
        <v>7.3264378624040102E-2</v>
      </c>
      <c r="J8">
        <v>8.6115028992320999E-2</v>
      </c>
      <c r="K8" s="59">
        <v>7.3264378624040102E-2</v>
      </c>
      <c r="L8" s="59">
        <v>8.6115028992320999E-2</v>
      </c>
      <c r="M8" s="59"/>
      <c r="N8" s="59"/>
      <c r="P8" s="59">
        <v>3.1734837799717898E-2</v>
      </c>
      <c r="Q8" s="59">
        <v>5.6417489421720701E-2</v>
      </c>
      <c r="R8" s="59">
        <v>3.1734837799717898E-2</v>
      </c>
      <c r="S8" s="59">
        <v>5.6417489421720701E-2</v>
      </c>
      <c r="T8" s="59"/>
      <c r="W8">
        <f t="shared" si="0"/>
        <v>6.121036410176043E-2</v>
      </c>
      <c r="X8">
        <f t="shared" si="1"/>
        <v>43.595633725096469</v>
      </c>
    </row>
    <row r="9" spans="1:24" ht="15.6" x14ac:dyDescent="0.3">
      <c r="A9" s="11" t="s">
        <v>40</v>
      </c>
      <c r="B9">
        <v>2.0921485660554798E-2</v>
      </c>
      <c r="C9">
        <v>1.5123021469988999E-2</v>
      </c>
      <c r="D9">
        <v>2.0921485660554798E-2</v>
      </c>
      <c r="E9">
        <v>1.5123021469988999E-2</v>
      </c>
      <c r="F9" s="59"/>
      <c r="I9">
        <v>2.0216267042783301E-2</v>
      </c>
      <c r="J9">
        <v>1.39476571070365E-2</v>
      </c>
      <c r="K9" s="59">
        <v>2.0216267042783301E-2</v>
      </c>
      <c r="L9" s="59">
        <v>1.39476571070365E-2</v>
      </c>
      <c r="M9" s="59"/>
      <c r="N9" s="59"/>
      <c r="P9" s="59">
        <v>1.7395392571697199E-2</v>
      </c>
      <c r="Q9" s="59">
        <v>1.4652875724807999E-2</v>
      </c>
      <c r="R9" s="59">
        <v>1.7395392571697199E-2</v>
      </c>
      <c r="S9" s="59">
        <v>1.4652875724807999E-2</v>
      </c>
      <c r="T9" s="59"/>
      <c r="W9">
        <f t="shared" si="0"/>
        <v>1.7042783262811469E-2</v>
      </c>
      <c r="X9">
        <f t="shared" si="1"/>
        <v>8.1450073945624979</v>
      </c>
    </row>
    <row r="10" spans="1:24" ht="15.6" x14ac:dyDescent="0.3">
      <c r="A10" s="11" t="s">
        <v>41</v>
      </c>
      <c r="B10">
        <v>1.53580943425795E-2</v>
      </c>
      <c r="C10">
        <v>1.73170349475004E-2</v>
      </c>
      <c r="D10">
        <v>1.53580943425795E-2</v>
      </c>
      <c r="E10">
        <v>1.73170349475004E-2</v>
      </c>
      <c r="F10" s="59"/>
      <c r="I10">
        <v>1.73170349475004E-2</v>
      </c>
      <c r="J10">
        <v>1.70819620749099E-2</v>
      </c>
      <c r="K10" s="59">
        <v>1.73170349475004E-2</v>
      </c>
      <c r="L10" s="59">
        <v>1.70819620749099E-2</v>
      </c>
      <c r="M10" s="59"/>
      <c r="N10" s="59"/>
      <c r="P10" s="59">
        <v>1.4809590973201701E-2</v>
      </c>
      <c r="Q10" s="59">
        <v>1.6925246826516201E-2</v>
      </c>
      <c r="R10" s="59">
        <v>1.4809590973201701E-2</v>
      </c>
      <c r="S10" s="59">
        <v>1.6925246826516201E-2</v>
      </c>
      <c r="T10" s="59"/>
      <c r="W10">
        <f t="shared" si="0"/>
        <v>1.6468160685368015E-2</v>
      </c>
      <c r="X10">
        <f t="shared" si="1"/>
        <v>7.6837928592155134</v>
      </c>
    </row>
    <row r="11" spans="1:24" ht="15.6" x14ac:dyDescent="0.3">
      <c r="A11" s="11" t="s">
        <v>66</v>
      </c>
      <c r="B11">
        <v>1.49663062215954E-2</v>
      </c>
      <c r="C11">
        <v>5.8768218147625803E-3</v>
      </c>
      <c r="D11">
        <v>1.49663062215954E-2</v>
      </c>
      <c r="E11">
        <v>5.8768218147625803E-3</v>
      </c>
      <c r="F11" s="59"/>
      <c r="I11">
        <v>1.53580943425795E-2</v>
      </c>
      <c r="J11">
        <v>1.02648487697853E-2</v>
      </c>
      <c r="K11" s="59">
        <v>1.53580943425795E-2</v>
      </c>
      <c r="L11" s="59">
        <v>1.02648487697853E-2</v>
      </c>
      <c r="M11" s="59"/>
      <c r="N11" s="59"/>
      <c r="P11" s="59">
        <v>1.05782792665726E-2</v>
      </c>
      <c r="Q11" s="59">
        <v>1.0029775897194801E-2</v>
      </c>
      <c r="R11" s="59">
        <v>1.05782792665726E-2</v>
      </c>
      <c r="S11" s="59">
        <v>1.0029775897194801E-2</v>
      </c>
      <c r="T11" s="59"/>
      <c r="W11">
        <f t="shared" si="0"/>
        <v>1.1179021052081697E-2</v>
      </c>
      <c r="X11">
        <f t="shared" si="1"/>
        <v>3.4385227043171525</v>
      </c>
    </row>
    <row r="12" spans="1:24" ht="15.6" x14ac:dyDescent="0.3">
      <c r="A12" s="11" t="s">
        <v>81</v>
      </c>
      <c r="B12">
        <v>3.5104215640181798E-2</v>
      </c>
      <c r="C12">
        <v>3.5104215640181798E-2</v>
      </c>
      <c r="D12">
        <v>3.5104215640181798E-2</v>
      </c>
      <c r="E12">
        <v>3.5104215640181798E-2</v>
      </c>
      <c r="F12" s="58"/>
      <c r="N12" s="59"/>
      <c r="P12">
        <v>1.71603196991067E-2</v>
      </c>
      <c r="Q12">
        <v>1.71603196991067E-2</v>
      </c>
      <c r="R12">
        <v>1.71603196991067E-2</v>
      </c>
      <c r="S12">
        <v>1.71603196991067E-2</v>
      </c>
      <c r="T12" s="61"/>
      <c r="W12">
        <f>SUM(B12:E12,P12:S12)/8</f>
        <v>2.6132267669644247E-2</v>
      </c>
      <c r="X12">
        <f t="shared" si="1"/>
        <v>15.440582771869305</v>
      </c>
    </row>
    <row r="13" spans="1:24" ht="15.6" x14ac:dyDescent="0.3">
      <c r="A13" s="11" t="s">
        <v>82</v>
      </c>
      <c r="B13">
        <v>1.01081335213916E-2</v>
      </c>
      <c r="C13">
        <v>1.01081335213916E-2</v>
      </c>
      <c r="D13" s="11">
        <v>1.01081335213916E-2</v>
      </c>
      <c r="E13" s="11">
        <v>1.01081335213916E-2</v>
      </c>
      <c r="F13" s="58"/>
      <c r="I13" s="11"/>
      <c r="J13" s="11"/>
      <c r="N13" s="59"/>
      <c r="P13">
        <v>3.6828083372512101E-3</v>
      </c>
      <c r="Q13">
        <v>3.6828083372512101E-3</v>
      </c>
      <c r="R13">
        <v>3.6828083372512101E-3</v>
      </c>
      <c r="S13">
        <v>3.6828083372512101E-3</v>
      </c>
      <c r="T13" s="61"/>
      <c r="W13">
        <f>SUM(B13:E13,P13:S13)/8</f>
        <v>6.8954709293214045E-3</v>
      </c>
      <c r="X13">
        <f t="shared" si="1"/>
        <v>3.7798627599897532E-4</v>
      </c>
    </row>
    <row r="14" spans="1:24" ht="15.6" x14ac:dyDescent="0.3">
      <c r="A14" s="11" t="s">
        <v>83</v>
      </c>
      <c r="B14">
        <v>6.1118946873530797E-2</v>
      </c>
      <c r="C14">
        <v>8.2275505406676094E-2</v>
      </c>
      <c r="D14" s="59">
        <v>6.1118946873530797E-2</v>
      </c>
      <c r="E14" s="59">
        <v>8.2275505406676094E-2</v>
      </c>
      <c r="F14" s="59"/>
      <c r="I14">
        <v>6.1118946873530797E-2</v>
      </c>
      <c r="J14">
        <v>8.2275505406676094E-2</v>
      </c>
      <c r="K14" s="11">
        <v>6.1118946873530797E-2</v>
      </c>
      <c r="L14" s="11">
        <v>8.2275505406676094E-2</v>
      </c>
      <c r="M14" s="59"/>
      <c r="N14" s="59"/>
      <c r="P14" s="59">
        <v>4.1216110327534902E-2</v>
      </c>
      <c r="Q14" s="59">
        <v>6.7230841560883894E-2</v>
      </c>
      <c r="R14" s="59">
        <v>4.1216110327534902E-2</v>
      </c>
      <c r="S14" s="59">
        <v>6.7230841560883894E-2</v>
      </c>
      <c r="T14" s="59"/>
      <c r="W14">
        <f t="shared" ref="W14" si="2">SUM(B14:E14,I14:L14,P14:S14)/12</f>
        <v>6.5872642741472101E-2</v>
      </c>
      <c r="X14">
        <f t="shared" si="1"/>
        <v>47.337760750525412</v>
      </c>
    </row>
    <row r="17" spans="22:23" x14ac:dyDescent="0.3">
      <c r="V17" t="s">
        <v>101</v>
      </c>
      <c r="W17">
        <f>MIN(W4:W14)</f>
        <v>6.8954709293214045E-3</v>
      </c>
    </row>
    <row r="18" spans="22:23" x14ac:dyDescent="0.3">
      <c r="V18" t="s">
        <v>102</v>
      </c>
      <c r="W18">
        <f>MAX(W4:W14)</f>
        <v>0.13148409340228809</v>
      </c>
    </row>
  </sheetData>
  <mergeCells count="9">
    <mergeCell ref="B1:E1"/>
    <mergeCell ref="I1:L1"/>
    <mergeCell ref="P1:S1"/>
    <mergeCell ref="B2:C2"/>
    <mergeCell ref="D2:E2"/>
    <mergeCell ref="I2:J2"/>
    <mergeCell ref="K2:L2"/>
    <mergeCell ref="P2:Q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255E-5FA7-497E-898E-F46C1B700EE8}">
  <dimension ref="A1:X19"/>
  <sheetViews>
    <sheetView workbookViewId="0">
      <selection activeCell="A4" sqref="A4:A14"/>
    </sheetView>
  </sheetViews>
  <sheetFormatPr defaultRowHeight="14.4" x14ac:dyDescent="0.3"/>
  <cols>
    <col min="1" max="1" width="12.88671875" bestFit="1" customWidth="1"/>
    <col min="2" max="2" width="13.33203125" bestFit="1" customWidth="1"/>
    <col min="24" max="24" width="13.88671875" bestFit="1" customWidth="1"/>
  </cols>
  <sheetData>
    <row r="1" spans="1:24" ht="15.6" x14ac:dyDescent="0.3">
      <c r="A1" s="58"/>
      <c r="B1" s="76" t="s">
        <v>67</v>
      </c>
      <c r="C1" s="76"/>
      <c r="D1" s="76"/>
      <c r="E1" s="76"/>
      <c r="F1" s="58"/>
      <c r="G1" t="s">
        <v>86</v>
      </c>
      <c r="I1" s="76" t="s">
        <v>99</v>
      </c>
      <c r="J1" s="76"/>
      <c r="K1" s="76"/>
      <c r="L1" s="76"/>
      <c r="M1" s="58"/>
      <c r="N1" t="s">
        <v>86</v>
      </c>
      <c r="P1" s="76" t="s">
        <v>73</v>
      </c>
      <c r="Q1" s="76"/>
      <c r="R1" s="76"/>
      <c r="S1" s="76"/>
      <c r="T1" s="58"/>
      <c r="U1" t="s">
        <v>86</v>
      </c>
      <c r="W1" t="s">
        <v>86</v>
      </c>
      <c r="X1" t="s">
        <v>100</v>
      </c>
    </row>
    <row r="2" spans="1:24" ht="15.6" x14ac:dyDescent="0.3">
      <c r="A2" s="58"/>
      <c r="B2" s="76" t="s">
        <v>68</v>
      </c>
      <c r="C2" s="76"/>
      <c r="D2" s="76" t="s">
        <v>71</v>
      </c>
      <c r="E2" s="76"/>
      <c r="F2" s="58"/>
      <c r="I2" s="76" t="s">
        <v>68</v>
      </c>
      <c r="J2" s="76"/>
      <c r="K2" s="76" t="s">
        <v>71</v>
      </c>
      <c r="L2" s="76"/>
      <c r="M2" s="58"/>
      <c r="P2" s="76" t="s">
        <v>68</v>
      </c>
      <c r="Q2" s="76"/>
      <c r="R2" s="76" t="s">
        <v>71</v>
      </c>
      <c r="S2" s="76"/>
      <c r="T2" s="58"/>
    </row>
    <row r="3" spans="1:24" ht="15.6" x14ac:dyDescent="0.3">
      <c r="A3" s="58"/>
      <c r="B3" s="58" t="s">
        <v>87</v>
      </c>
      <c r="C3" s="58" t="s">
        <v>88</v>
      </c>
      <c r="D3" s="58" t="s">
        <v>87</v>
      </c>
      <c r="E3" s="58" t="s">
        <v>88</v>
      </c>
      <c r="F3" s="58"/>
      <c r="I3" s="58" t="s">
        <v>87</v>
      </c>
      <c r="J3" s="58" t="s">
        <v>88</v>
      </c>
      <c r="K3" s="58" t="s">
        <v>87</v>
      </c>
      <c r="L3" s="58" t="s">
        <v>88</v>
      </c>
      <c r="M3" s="58"/>
      <c r="P3" s="58" t="s">
        <v>87</v>
      </c>
      <c r="Q3" s="58" t="s">
        <v>88</v>
      </c>
      <c r="R3" s="58" t="s">
        <v>87</v>
      </c>
      <c r="S3" s="58" t="s">
        <v>88</v>
      </c>
      <c r="T3" s="58"/>
    </row>
    <row r="4" spans="1:24" ht="15.6" x14ac:dyDescent="0.3">
      <c r="A4" s="11" t="s">
        <v>12</v>
      </c>
      <c r="B4">
        <v>3.1912637828668398E-2</v>
      </c>
      <c r="C4">
        <v>5.1314673452077998E-2</v>
      </c>
      <c r="D4" s="59">
        <v>3.1912637828668398E-2</v>
      </c>
      <c r="E4" s="59">
        <v>5.1314673452077998E-2</v>
      </c>
      <c r="F4" s="59"/>
      <c r="G4">
        <f>SUM(C4,D4,E4,B4)/4</f>
        <v>4.1613655640373198E-2</v>
      </c>
      <c r="I4" s="59">
        <v>3.10644614079729E-2</v>
      </c>
      <c r="J4" s="59">
        <v>5.1420695504665E-2</v>
      </c>
      <c r="K4" s="59">
        <v>3.10644614079729E-2</v>
      </c>
      <c r="L4" s="59">
        <v>5.1420695504665E-2</v>
      </c>
      <c r="N4" s="59">
        <f>SUM(I4:L4)/4</f>
        <v>4.124257845631895E-2</v>
      </c>
      <c r="P4" s="59">
        <v>2.7565733672603902E-2</v>
      </c>
      <c r="Q4" s="59">
        <v>4.6649703138252799E-2</v>
      </c>
      <c r="R4" s="59">
        <v>2.7565733672603902E-2</v>
      </c>
      <c r="S4" s="59">
        <v>4.6649703138252799E-2</v>
      </c>
      <c r="T4" s="59"/>
      <c r="U4">
        <f>SUM(P4:S4)/4</f>
        <v>3.7107718405428348E-2</v>
      </c>
      <c r="W4">
        <f>SUM(G4,N4,U4)/3</f>
        <v>3.9987984167373501E-2</v>
      </c>
      <c r="X4">
        <f>(W4-0.028661)/(0.19865-0.028661)*100</f>
        <v>6.6633630219446571</v>
      </c>
    </row>
    <row r="5" spans="1:24" ht="15.6" x14ac:dyDescent="0.3">
      <c r="A5" s="11" t="s">
        <v>17</v>
      </c>
      <c r="B5">
        <v>7.1246819338422404E-2</v>
      </c>
      <c r="C5">
        <v>9.4995759117896497E-2</v>
      </c>
      <c r="D5" s="59">
        <v>7.1246819338422404E-2</v>
      </c>
      <c r="E5" s="59">
        <v>9.4995759117896497E-2</v>
      </c>
      <c r="F5" s="59"/>
      <c r="G5">
        <f t="shared" ref="G5:G14" si="0">SUM(C5,D5,E5,B5)/4</f>
        <v>8.3121289228159451E-2</v>
      </c>
      <c r="I5" s="59">
        <v>6.52035623409669E-2</v>
      </c>
      <c r="J5" s="59">
        <v>0.105491942324003</v>
      </c>
      <c r="K5" s="59">
        <v>6.52035623409669E-2</v>
      </c>
      <c r="L5" s="59">
        <v>0.105491942324003</v>
      </c>
      <c r="M5" s="59"/>
      <c r="N5" s="59">
        <f t="shared" ref="N5:N14" si="1">SUM(I5:L5)/4</f>
        <v>8.5347752332484955E-2</v>
      </c>
      <c r="P5">
        <v>4.9088210347752299E-2</v>
      </c>
      <c r="Q5">
        <v>7.6017811704834598E-2</v>
      </c>
      <c r="R5">
        <v>4.9088210347752299E-2</v>
      </c>
      <c r="S5">
        <v>7.6017811704834598E-2</v>
      </c>
      <c r="U5">
        <f t="shared" ref="U5:U14" si="2">SUM(P5:S5)/4</f>
        <v>6.2553011026293445E-2</v>
      </c>
      <c r="W5">
        <f t="shared" ref="W5:W11" si="3">SUM(G5,N5,U5)/3</f>
        <v>7.7007350862312626E-2</v>
      </c>
      <c r="X5">
        <f t="shared" ref="X5:X14" si="4">(W5-0.028661)/(0.19865-0.028661)*100</f>
        <v>28.440870210609294</v>
      </c>
    </row>
    <row r="6" spans="1:24" ht="15.6" x14ac:dyDescent="0.3">
      <c r="A6" s="11" t="s">
        <v>21</v>
      </c>
      <c r="B6">
        <v>2.12044105173876E-4</v>
      </c>
      <c r="C6">
        <v>7.0822731128074606E-2</v>
      </c>
      <c r="D6" s="59">
        <v>2.12044105173876E-4</v>
      </c>
      <c r="E6" s="59">
        <v>7.0822731128074606E-2</v>
      </c>
      <c r="F6" s="59"/>
      <c r="G6">
        <f t="shared" si="0"/>
        <v>3.5517387616624242E-2</v>
      </c>
      <c r="I6" s="59">
        <v>2.12044105173876E-4</v>
      </c>
      <c r="J6" s="59">
        <v>7.0822731128074606E-2</v>
      </c>
      <c r="K6" s="59">
        <v>2.12044105173876E-4</v>
      </c>
      <c r="L6" s="59">
        <v>7.0822731128074606E-2</v>
      </c>
      <c r="M6" s="59"/>
      <c r="N6" s="59">
        <f t="shared" si="1"/>
        <v>3.5517387616624242E-2</v>
      </c>
      <c r="P6" s="59">
        <v>0</v>
      </c>
      <c r="Q6" s="59">
        <v>2.9898218829516501E-2</v>
      </c>
      <c r="R6" s="59">
        <v>0</v>
      </c>
      <c r="S6" s="59">
        <v>2.9898218829516501E-2</v>
      </c>
      <c r="T6" s="59"/>
      <c r="U6">
        <f t="shared" si="2"/>
        <v>1.4949109414758251E-2</v>
      </c>
      <c r="W6">
        <f t="shared" si="3"/>
        <v>2.8661294882668914E-2</v>
      </c>
      <c r="X6">
        <f t="shared" si="4"/>
        <v>1.7347161811354312E-4</v>
      </c>
    </row>
    <row r="7" spans="1:24" ht="15.6" x14ac:dyDescent="0.3">
      <c r="A7" s="11" t="s">
        <v>23</v>
      </c>
      <c r="B7">
        <v>4.7603901611535201E-2</v>
      </c>
      <c r="C7">
        <v>0.16486429177268899</v>
      </c>
      <c r="D7" s="59">
        <v>4.7603901611535201E-2</v>
      </c>
      <c r="E7" s="59">
        <v>0.16486429177268899</v>
      </c>
      <c r="F7" s="59"/>
      <c r="G7">
        <f t="shared" si="0"/>
        <v>0.1062340966921121</v>
      </c>
      <c r="I7" s="59">
        <v>0</v>
      </c>
      <c r="J7" s="59">
        <v>0</v>
      </c>
      <c r="K7" s="59">
        <v>0</v>
      </c>
      <c r="L7" s="59">
        <v>0</v>
      </c>
      <c r="M7" s="59"/>
      <c r="N7" s="59">
        <f t="shared" si="1"/>
        <v>0</v>
      </c>
      <c r="P7" s="59">
        <v>1.8871925360474998E-2</v>
      </c>
      <c r="Q7" s="59">
        <v>0.11577608142493601</v>
      </c>
      <c r="R7" s="59">
        <v>1.8871925360474998E-2</v>
      </c>
      <c r="S7" s="59">
        <v>0.11577608142493601</v>
      </c>
      <c r="T7" s="59"/>
      <c r="U7">
        <f t="shared" si="2"/>
        <v>6.73240033927055E-2</v>
      </c>
      <c r="W7">
        <f t="shared" si="3"/>
        <v>5.785270002827253E-2</v>
      </c>
      <c r="X7">
        <f t="shared" si="4"/>
        <v>17.172699426593798</v>
      </c>
    </row>
    <row r="8" spans="1:24" ht="15.6" x14ac:dyDescent="0.3">
      <c r="A8" s="11" t="s">
        <v>36</v>
      </c>
      <c r="B8">
        <v>7.8986429177268905E-2</v>
      </c>
      <c r="C8">
        <v>0.147794741306192</v>
      </c>
      <c r="D8" s="59">
        <v>7.8986429177268905E-2</v>
      </c>
      <c r="E8" s="59">
        <v>0.147794741306192</v>
      </c>
      <c r="F8" s="59"/>
      <c r="G8">
        <f t="shared" si="0"/>
        <v>0.11339058524173044</v>
      </c>
      <c r="I8" s="59">
        <v>9.9766751484308705E-2</v>
      </c>
      <c r="J8" s="59">
        <v>0.24120016963528401</v>
      </c>
      <c r="K8" s="59">
        <v>9.9766751484308705E-2</v>
      </c>
      <c r="L8" s="59">
        <v>0.24120016963528401</v>
      </c>
      <c r="M8" s="59"/>
      <c r="N8" s="59">
        <f t="shared" si="1"/>
        <v>0.17048346055979635</v>
      </c>
      <c r="P8" s="59">
        <v>3.6577608142493598E-2</v>
      </c>
      <c r="Q8" s="59">
        <v>0.138358778625954</v>
      </c>
      <c r="R8" s="59">
        <v>3.6577608142493598E-2</v>
      </c>
      <c r="S8" s="59">
        <v>0.138358778625954</v>
      </c>
      <c r="T8" s="59"/>
      <c r="U8">
        <f t="shared" si="2"/>
        <v>8.7468193384223791E-2</v>
      </c>
      <c r="W8">
        <f t="shared" si="3"/>
        <v>0.1237807463952502</v>
      </c>
      <c r="X8">
        <f t="shared" si="4"/>
        <v>55.956412706263457</v>
      </c>
    </row>
    <row r="9" spans="1:24" ht="15.6" x14ac:dyDescent="0.3">
      <c r="A9" s="11" t="s">
        <v>40</v>
      </c>
      <c r="B9">
        <v>0.123197625106022</v>
      </c>
      <c r="C9">
        <v>0.11683630195080601</v>
      </c>
      <c r="D9" s="59">
        <v>0.123197625106022</v>
      </c>
      <c r="E9" s="59">
        <v>0.11683630195080601</v>
      </c>
      <c r="F9" s="59"/>
      <c r="G9">
        <f t="shared" si="0"/>
        <v>0.12001696352841401</v>
      </c>
      <c r="I9" s="59">
        <v>0.11885072094995799</v>
      </c>
      <c r="J9" s="59">
        <v>0.124681933842239</v>
      </c>
      <c r="K9" s="59">
        <v>0.11885072094995799</v>
      </c>
      <c r="L9" s="59">
        <v>0.124681933842239</v>
      </c>
      <c r="M9" s="59"/>
      <c r="N9" s="59">
        <f t="shared" si="1"/>
        <v>0.12176632739609849</v>
      </c>
      <c r="P9" s="59">
        <v>9.6055979643765901E-2</v>
      </c>
      <c r="Q9" s="59">
        <v>0.11323155216285</v>
      </c>
      <c r="R9" s="59">
        <v>9.6055979643765901E-2</v>
      </c>
      <c r="S9" s="59">
        <v>0.11323155216285</v>
      </c>
      <c r="T9" s="59"/>
      <c r="U9">
        <f t="shared" si="2"/>
        <v>0.10464376590330796</v>
      </c>
      <c r="W9">
        <f t="shared" si="3"/>
        <v>0.1154756856092735</v>
      </c>
      <c r="X9">
        <f t="shared" si="4"/>
        <v>51.070766702123962</v>
      </c>
    </row>
    <row r="10" spans="1:24" ht="15.6" x14ac:dyDescent="0.3">
      <c r="A10" s="11" t="s">
        <v>41</v>
      </c>
      <c r="B10">
        <v>6.1916878710771797E-2</v>
      </c>
      <c r="C10">
        <v>5.5979643765903302E-2</v>
      </c>
      <c r="D10" s="59">
        <v>6.1916878710771797E-2</v>
      </c>
      <c r="E10" s="59">
        <v>5.5979643765903302E-2</v>
      </c>
      <c r="F10" s="59"/>
      <c r="G10">
        <f t="shared" si="0"/>
        <v>5.8948261238337546E-2</v>
      </c>
      <c r="I10" s="59">
        <v>6.2234944868532698E-2</v>
      </c>
      <c r="J10" s="59">
        <v>5.8418150975402899E-2</v>
      </c>
      <c r="K10" s="59">
        <v>6.2234944868532698E-2</v>
      </c>
      <c r="L10" s="59">
        <v>5.8418150975402899E-2</v>
      </c>
      <c r="M10" s="59"/>
      <c r="N10" s="59">
        <f t="shared" si="1"/>
        <v>6.0326547921967802E-2</v>
      </c>
      <c r="P10" s="59">
        <v>5.8418150975402899E-2</v>
      </c>
      <c r="Q10" s="59">
        <v>5.5979643765903302E-2</v>
      </c>
      <c r="R10" s="59">
        <v>5.8418150975402899E-2</v>
      </c>
      <c r="S10" s="59">
        <v>5.5979643765903302E-2</v>
      </c>
      <c r="T10" s="59"/>
      <c r="U10">
        <f t="shared" si="2"/>
        <v>5.7198897370653104E-2</v>
      </c>
      <c r="W10">
        <f t="shared" si="3"/>
        <v>5.8824568843652815E-2</v>
      </c>
      <c r="X10">
        <f t="shared" si="4"/>
        <v>17.744423958993121</v>
      </c>
    </row>
    <row r="11" spans="1:24" ht="15.6" x14ac:dyDescent="0.3">
      <c r="A11" s="11" t="s">
        <v>66</v>
      </c>
      <c r="B11">
        <v>6.4143341815097496E-2</v>
      </c>
      <c r="C11">
        <v>4.1772688719253603E-2</v>
      </c>
      <c r="D11" s="59">
        <v>6.4143341815097496E-2</v>
      </c>
      <c r="E11" s="59">
        <v>4.1772688719253603E-2</v>
      </c>
      <c r="F11" s="59"/>
      <c r="G11">
        <f t="shared" si="0"/>
        <v>5.2958015267175557E-2</v>
      </c>
      <c r="I11" s="59">
        <v>8.4393553859202705E-2</v>
      </c>
      <c r="J11" s="59">
        <v>5.7994062765055102E-2</v>
      </c>
      <c r="K11" s="59">
        <v>8.4393553859202705E-2</v>
      </c>
      <c r="L11" s="59">
        <v>5.7994062765055102E-2</v>
      </c>
      <c r="M11" s="59"/>
      <c r="N11" s="59">
        <f t="shared" si="1"/>
        <v>7.1193808312128903E-2</v>
      </c>
      <c r="P11" s="59">
        <v>6.11747243426633E-2</v>
      </c>
      <c r="Q11" s="59">
        <v>6.0538592027141597E-2</v>
      </c>
      <c r="R11" s="59">
        <v>6.11747243426633E-2</v>
      </c>
      <c r="S11" s="59">
        <v>6.0538592027141597E-2</v>
      </c>
      <c r="T11" s="59"/>
      <c r="U11">
        <f t="shared" si="2"/>
        <v>6.0856658184902448E-2</v>
      </c>
      <c r="W11">
        <f t="shared" si="3"/>
        <v>6.1669493921402307E-2</v>
      </c>
      <c r="X11">
        <f t="shared" si="4"/>
        <v>19.418017590198371</v>
      </c>
    </row>
    <row r="12" spans="1:24" ht="15.6" x14ac:dyDescent="0.3">
      <c r="A12" s="11" t="s">
        <v>81</v>
      </c>
      <c r="B12">
        <v>3.64715860899067E-2</v>
      </c>
      <c r="C12">
        <v>3.64715860899067E-2</v>
      </c>
      <c r="D12" s="11">
        <v>3.64715860899067E-2</v>
      </c>
      <c r="E12" s="11">
        <v>3.64715860899067E-2</v>
      </c>
      <c r="F12" s="58"/>
      <c r="G12">
        <f t="shared" si="0"/>
        <v>3.64715860899067E-2</v>
      </c>
      <c r="I12" s="11"/>
      <c r="N12" s="59"/>
      <c r="P12">
        <v>0.145992366412214</v>
      </c>
      <c r="Q12">
        <v>0.145992366412214</v>
      </c>
      <c r="R12">
        <v>0.145992366412214</v>
      </c>
      <c r="S12">
        <v>0.145992366412214</v>
      </c>
      <c r="T12" s="61"/>
      <c r="U12">
        <f t="shared" si="2"/>
        <v>0.145992366412214</v>
      </c>
      <c r="W12">
        <f>SUM(G12,U12)/2</f>
        <v>9.1231976251060345E-2</v>
      </c>
      <c r="X12">
        <f t="shared" si="4"/>
        <v>36.80883836663569</v>
      </c>
    </row>
    <row r="13" spans="1:24" ht="15.6" x14ac:dyDescent="0.3">
      <c r="A13" s="11" t="s">
        <v>82</v>
      </c>
      <c r="B13">
        <v>3.6577608142493598E-2</v>
      </c>
      <c r="C13">
        <v>3.6577608142493598E-2</v>
      </c>
      <c r="D13" s="11">
        <v>3.6577608142493598E-2</v>
      </c>
      <c r="E13" s="11">
        <v>3.6577608142493598E-2</v>
      </c>
      <c r="F13" s="58"/>
      <c r="G13">
        <f t="shared" si="0"/>
        <v>3.6577608142493598E-2</v>
      </c>
      <c r="I13" s="11"/>
      <c r="J13" s="11"/>
      <c r="N13" s="59"/>
      <c r="P13">
        <v>7.6123833757421502E-2</v>
      </c>
      <c r="Q13">
        <v>7.6123833757421502E-2</v>
      </c>
      <c r="R13">
        <v>7.6123833757421502E-2</v>
      </c>
      <c r="S13">
        <v>7.6123833757421502E-2</v>
      </c>
      <c r="T13" s="61"/>
      <c r="U13">
        <f t="shared" si="2"/>
        <v>7.6123833757421502E-2</v>
      </c>
      <c r="W13">
        <f>SUM(G13,U13)/2</f>
        <v>5.635072094995755E-2</v>
      </c>
      <c r="X13">
        <f t="shared" si="4"/>
        <v>16.289125149249394</v>
      </c>
    </row>
    <row r="14" spans="1:24" ht="15.6" x14ac:dyDescent="0.3">
      <c r="A14" s="11" t="s">
        <v>83</v>
      </c>
      <c r="B14">
        <v>0.15998727735369001</v>
      </c>
      <c r="C14">
        <v>0.27449109414758299</v>
      </c>
      <c r="D14" s="59">
        <v>0.15998727735369001</v>
      </c>
      <c r="E14" s="59">
        <v>0.27449109414758299</v>
      </c>
      <c r="F14" s="59"/>
      <c r="G14">
        <f t="shared" si="0"/>
        <v>0.2172391857506365</v>
      </c>
      <c r="I14" s="59">
        <v>0.15998727735369001</v>
      </c>
      <c r="J14" s="11">
        <v>0.27449109414758299</v>
      </c>
      <c r="K14">
        <v>0.15998727735369001</v>
      </c>
      <c r="L14">
        <v>0.27449109414758299</v>
      </c>
      <c r="M14" s="59"/>
      <c r="N14" s="59">
        <f t="shared" si="1"/>
        <v>0.2172391857506365</v>
      </c>
      <c r="P14" s="59">
        <v>9.7964376590330804E-2</v>
      </c>
      <c r="Q14" s="59">
        <v>0.224978795589483</v>
      </c>
      <c r="R14" s="59">
        <v>9.7964376590330804E-2</v>
      </c>
      <c r="S14" s="59">
        <v>0.224978795589483</v>
      </c>
      <c r="T14" s="59"/>
      <c r="U14">
        <f t="shared" si="2"/>
        <v>0.16147158608990692</v>
      </c>
      <c r="W14">
        <f>SUM(G14,N14,U14)/3</f>
        <v>0.19864998586372665</v>
      </c>
      <c r="X14">
        <f t="shared" si="4"/>
        <v>99.999991684007</v>
      </c>
    </row>
    <row r="18" spans="22:23" x14ac:dyDescent="0.3">
      <c r="V18" t="s">
        <v>101</v>
      </c>
      <c r="W18">
        <f>MIN(W4:W14)</f>
        <v>2.8661294882668914E-2</v>
      </c>
    </row>
    <row r="19" spans="22:23" x14ac:dyDescent="0.3">
      <c r="V19" t="s">
        <v>102</v>
      </c>
      <c r="W19">
        <f>MAX(W4:W14)</f>
        <v>0.19864998586372665</v>
      </c>
    </row>
  </sheetData>
  <mergeCells count="9">
    <mergeCell ref="B1:E1"/>
    <mergeCell ref="I1:L1"/>
    <mergeCell ref="P1:S1"/>
    <mergeCell ref="B2:C2"/>
    <mergeCell ref="D2:E2"/>
    <mergeCell ref="I2:J2"/>
    <mergeCell ref="K2:L2"/>
    <mergeCell ref="P2:Q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0FA2-B97D-43F9-B5CF-1E8DFDEE9121}">
  <dimension ref="A1:N23"/>
  <sheetViews>
    <sheetView workbookViewId="0">
      <selection activeCell="D3" sqref="D3"/>
    </sheetView>
  </sheetViews>
  <sheetFormatPr defaultColWidth="15.77734375" defaultRowHeight="14.4" x14ac:dyDescent="0.3"/>
  <sheetData>
    <row r="1" spans="1:14" s="47" customFormat="1" ht="19.2" thickTop="1" thickBot="1" x14ac:dyDescent="0.4">
      <c r="A1" s="45"/>
      <c r="B1" s="45"/>
      <c r="C1" s="45"/>
      <c r="D1" s="43" t="s">
        <v>12</v>
      </c>
      <c r="E1" s="44" t="s">
        <v>17</v>
      </c>
      <c r="F1" s="44" t="s">
        <v>21</v>
      </c>
      <c r="G1" s="43" t="s">
        <v>23</v>
      </c>
      <c r="H1" s="43" t="s">
        <v>36</v>
      </c>
      <c r="I1" s="43" t="s">
        <v>40</v>
      </c>
      <c r="J1" s="43" t="s">
        <v>41</v>
      </c>
      <c r="K1" s="43" t="s">
        <v>66</v>
      </c>
      <c r="L1" s="43" t="s">
        <v>81</v>
      </c>
      <c r="M1" s="43" t="s">
        <v>82</v>
      </c>
      <c r="N1" s="43" t="s">
        <v>83</v>
      </c>
    </row>
    <row r="2" spans="1:14" ht="18.600000000000001" thickTop="1" x14ac:dyDescent="0.3">
      <c r="A2" s="73" t="s">
        <v>67</v>
      </c>
      <c r="B2" s="73" t="s">
        <v>68</v>
      </c>
      <c r="C2" s="45" t="s">
        <v>69</v>
      </c>
      <c r="D2" s="49">
        <v>1332</v>
      </c>
      <c r="E2" s="50">
        <v>1970</v>
      </c>
      <c r="F2" s="49">
        <v>63150</v>
      </c>
      <c r="G2" s="49">
        <v>3693</v>
      </c>
      <c r="H2" s="49">
        <v>2312</v>
      </c>
      <c r="I2" s="49">
        <v>2018</v>
      </c>
      <c r="J2" s="49">
        <v>951</v>
      </c>
      <c r="K2" s="49">
        <v>249</v>
      </c>
      <c r="L2" s="77">
        <v>154</v>
      </c>
      <c r="M2" s="78">
        <v>76</v>
      </c>
      <c r="N2" s="49">
        <v>3890</v>
      </c>
    </row>
    <row r="3" spans="1:14" ht="18" x14ac:dyDescent="0.3">
      <c r="A3" s="73"/>
      <c r="B3" s="73"/>
      <c r="C3" s="45" t="s">
        <v>70</v>
      </c>
      <c r="D3" s="49">
        <v>2801</v>
      </c>
      <c r="E3" s="50">
        <v>2334</v>
      </c>
      <c r="F3" s="49">
        <v>66440</v>
      </c>
      <c r="G3" s="49">
        <v>770</v>
      </c>
      <c r="H3" s="49">
        <v>1953</v>
      </c>
      <c r="I3" s="49">
        <v>3749</v>
      </c>
      <c r="J3" s="49">
        <v>1426</v>
      </c>
      <c r="K3" s="49">
        <v>1442</v>
      </c>
      <c r="L3" s="77"/>
      <c r="M3" s="77"/>
      <c r="N3" s="49">
        <v>3302</v>
      </c>
    </row>
    <row r="4" spans="1:14" ht="18" x14ac:dyDescent="0.3">
      <c r="A4" s="73"/>
      <c r="B4" s="73" t="s">
        <v>71</v>
      </c>
      <c r="C4" s="45" t="s">
        <v>69</v>
      </c>
      <c r="D4" s="49">
        <v>962</v>
      </c>
      <c r="E4" s="50">
        <v>1284</v>
      </c>
      <c r="F4" s="49">
        <v>46812</v>
      </c>
      <c r="G4" s="49">
        <v>3175</v>
      </c>
      <c r="H4" s="49">
        <v>1705</v>
      </c>
      <c r="I4" s="49">
        <v>1570</v>
      </c>
      <c r="J4" s="49">
        <v>614</v>
      </c>
      <c r="K4" s="49">
        <v>310</v>
      </c>
      <c r="L4" s="77">
        <v>35</v>
      </c>
      <c r="M4" s="77">
        <v>62</v>
      </c>
      <c r="N4" s="49">
        <v>2367</v>
      </c>
    </row>
    <row r="5" spans="1:14" ht="18" x14ac:dyDescent="0.3">
      <c r="A5" s="73"/>
      <c r="B5" s="73"/>
      <c r="C5" s="45" t="s">
        <v>70</v>
      </c>
      <c r="D5" s="49">
        <v>1814</v>
      </c>
      <c r="E5" s="50">
        <v>1663</v>
      </c>
      <c r="F5" s="49">
        <v>50260</v>
      </c>
      <c r="G5" s="54">
        <v>952</v>
      </c>
      <c r="H5" s="49">
        <v>1633</v>
      </c>
      <c r="I5" s="49">
        <v>2490</v>
      </c>
      <c r="J5" s="49">
        <v>866</v>
      </c>
      <c r="K5" s="49">
        <v>1040</v>
      </c>
      <c r="L5" s="77"/>
      <c r="M5" s="77"/>
      <c r="N5" s="49">
        <v>1878</v>
      </c>
    </row>
    <row r="6" spans="1:14" x14ac:dyDescent="0.3"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1:14" ht="18" x14ac:dyDescent="0.3">
      <c r="A7" s="46"/>
      <c r="B7" s="45"/>
      <c r="C7" s="45"/>
      <c r="D7" s="49"/>
      <c r="E7" s="49"/>
      <c r="F7" s="49"/>
      <c r="G7" s="49"/>
      <c r="H7" s="49"/>
      <c r="I7" s="49"/>
      <c r="J7" s="49"/>
      <c r="K7" s="49"/>
      <c r="L7" s="50"/>
      <c r="M7" s="50"/>
      <c r="N7" s="50"/>
    </row>
    <row r="8" spans="1:14" ht="18" x14ac:dyDescent="0.3">
      <c r="A8" s="73" t="s">
        <v>85</v>
      </c>
      <c r="B8" s="73" t="s">
        <v>68</v>
      </c>
      <c r="C8" s="45" t="s">
        <v>69</v>
      </c>
      <c r="D8" s="49">
        <v>1503</v>
      </c>
      <c r="E8" s="50">
        <v>1471</v>
      </c>
      <c r="F8">
        <v>63150</v>
      </c>
      <c r="G8" s="49">
        <v>3678</v>
      </c>
      <c r="H8" s="49">
        <v>7607</v>
      </c>
      <c r="I8" s="49">
        <v>5844</v>
      </c>
      <c r="J8" s="49">
        <v>958</v>
      </c>
      <c r="K8" s="49">
        <v>315</v>
      </c>
      <c r="L8" s="74"/>
      <c r="M8" s="75"/>
      <c r="N8" s="49">
        <v>3890</v>
      </c>
    </row>
    <row r="9" spans="1:14" ht="18" x14ac:dyDescent="0.3">
      <c r="A9" s="73"/>
      <c r="B9" s="73"/>
      <c r="C9" s="45" t="s">
        <v>70</v>
      </c>
      <c r="D9" s="49">
        <v>3146</v>
      </c>
      <c r="E9" s="50">
        <v>1757</v>
      </c>
      <c r="F9">
        <v>66440</v>
      </c>
      <c r="G9" s="49">
        <v>769</v>
      </c>
      <c r="H9" s="49">
        <v>3867</v>
      </c>
      <c r="I9" s="49">
        <v>2809</v>
      </c>
      <c r="J9" s="49">
        <v>1414</v>
      </c>
      <c r="K9" s="49">
        <v>747</v>
      </c>
      <c r="L9" s="74"/>
      <c r="M9" s="75"/>
      <c r="N9" s="49">
        <v>3302</v>
      </c>
    </row>
    <row r="10" spans="1:14" ht="18" x14ac:dyDescent="0.3">
      <c r="A10" s="73"/>
      <c r="B10" s="73" t="s">
        <v>71</v>
      </c>
      <c r="C10" s="45" t="s">
        <v>69</v>
      </c>
      <c r="D10" s="49">
        <v>1077</v>
      </c>
      <c r="E10" s="50">
        <v>1071</v>
      </c>
      <c r="F10">
        <v>46812</v>
      </c>
      <c r="G10" s="49">
        <v>3165</v>
      </c>
      <c r="H10" s="49">
        <v>2668</v>
      </c>
      <c r="I10" s="49">
        <v>3900</v>
      </c>
      <c r="J10" s="49">
        <v>625</v>
      </c>
      <c r="K10" s="49">
        <v>413</v>
      </c>
      <c r="L10" s="74"/>
      <c r="M10" s="75"/>
      <c r="N10" s="49">
        <v>2367</v>
      </c>
    </row>
    <row r="11" spans="1:14" ht="18" x14ac:dyDescent="0.3">
      <c r="A11" s="73"/>
      <c r="B11" s="73"/>
      <c r="C11" s="45" t="s">
        <v>70</v>
      </c>
      <c r="D11" s="49">
        <v>2095</v>
      </c>
      <c r="E11" s="50">
        <v>1319</v>
      </c>
      <c r="F11">
        <v>50260</v>
      </c>
      <c r="G11" s="49">
        <v>951</v>
      </c>
      <c r="H11" s="49">
        <v>1027</v>
      </c>
      <c r="I11" s="49">
        <v>1946</v>
      </c>
      <c r="J11" s="49">
        <v>888</v>
      </c>
      <c r="K11" s="49">
        <v>589</v>
      </c>
      <c r="L11" s="74"/>
      <c r="M11" s="75"/>
      <c r="N11" s="49">
        <v>1878</v>
      </c>
    </row>
    <row r="12" spans="1:14" x14ac:dyDescent="0.3"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1:14" x14ac:dyDescent="0.3"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</row>
    <row r="14" spans="1:14" ht="18" x14ac:dyDescent="0.3">
      <c r="A14" s="73" t="s">
        <v>73</v>
      </c>
      <c r="B14" s="73" t="s">
        <v>68</v>
      </c>
      <c r="C14" s="45" t="s">
        <v>69</v>
      </c>
      <c r="D14" s="49">
        <v>1543</v>
      </c>
      <c r="E14" s="50">
        <v>1732</v>
      </c>
      <c r="F14">
        <v>50638</v>
      </c>
      <c r="G14" s="49">
        <v>1864</v>
      </c>
      <c r="H14" s="49">
        <v>2638</v>
      </c>
      <c r="I14" s="49">
        <v>4805</v>
      </c>
      <c r="J14" s="49">
        <v>928</v>
      </c>
      <c r="K14" s="49">
        <v>361</v>
      </c>
      <c r="L14" s="74">
        <v>1658</v>
      </c>
      <c r="M14" s="74">
        <v>2492</v>
      </c>
      <c r="N14" s="49">
        <v>2930</v>
      </c>
    </row>
    <row r="15" spans="1:14" ht="18" x14ac:dyDescent="0.3">
      <c r="A15" s="73"/>
      <c r="B15" s="73"/>
      <c r="C15" s="45" t="s">
        <v>70</v>
      </c>
      <c r="D15" s="49">
        <v>3249</v>
      </c>
      <c r="E15" s="50">
        <v>1923</v>
      </c>
      <c r="F15">
        <v>67576</v>
      </c>
      <c r="G15" s="49">
        <v>225</v>
      </c>
      <c r="H15" s="49">
        <v>905</v>
      </c>
      <c r="I15" s="49">
        <v>2237</v>
      </c>
      <c r="J15" s="49">
        <v>1184</v>
      </c>
      <c r="K15" s="49">
        <v>608</v>
      </c>
      <c r="L15" s="74"/>
      <c r="M15" s="74"/>
      <c r="N15" s="49">
        <v>1945</v>
      </c>
    </row>
    <row r="16" spans="1:14" ht="18" x14ac:dyDescent="0.3">
      <c r="A16" s="73"/>
      <c r="B16" s="73" t="s">
        <v>71</v>
      </c>
      <c r="C16" s="45" t="s">
        <v>69</v>
      </c>
      <c r="D16" s="49">
        <v>1045</v>
      </c>
      <c r="E16" s="50">
        <v>1119</v>
      </c>
      <c r="F16">
        <v>36962</v>
      </c>
      <c r="G16" s="49">
        <v>1669</v>
      </c>
      <c r="H16" s="49">
        <v>855</v>
      </c>
      <c r="I16" s="49">
        <v>3393</v>
      </c>
      <c r="J16" s="49">
        <v>607</v>
      </c>
      <c r="K16" s="49">
        <v>421</v>
      </c>
      <c r="L16" s="74">
        <v>1140</v>
      </c>
      <c r="M16" s="74">
        <v>1696</v>
      </c>
      <c r="N16" s="49">
        <v>1586</v>
      </c>
    </row>
    <row r="17" spans="1:14" ht="18" x14ac:dyDescent="0.3">
      <c r="A17" s="73"/>
      <c r="B17" s="73"/>
      <c r="C17" s="45" t="s">
        <v>70</v>
      </c>
      <c r="D17" s="49">
        <v>2197</v>
      </c>
      <c r="E17" s="50">
        <v>1344</v>
      </c>
      <c r="F17">
        <v>53178</v>
      </c>
      <c r="G17" s="49">
        <v>380</v>
      </c>
      <c r="H17" s="49">
        <v>281</v>
      </c>
      <c r="I17" s="49">
        <v>1563</v>
      </c>
      <c r="J17" s="49">
        <v>788</v>
      </c>
      <c r="K17" s="49">
        <v>403</v>
      </c>
      <c r="L17" s="74"/>
      <c r="M17" s="74"/>
      <c r="N17" s="49">
        <v>952</v>
      </c>
    </row>
    <row r="19" spans="1:14" s="52" customFormat="1" x14ac:dyDescent="0.3">
      <c r="D19" s="52">
        <f t="shared" ref="D19:K19" si="0">SUM(D2,D3,D4,D5,D8,D9,D10,D11,D14,D15,D16,D17)/12</f>
        <v>1897</v>
      </c>
      <c r="E19" s="52">
        <f t="shared" si="0"/>
        <v>1582.25</v>
      </c>
      <c r="F19" s="52">
        <f t="shared" si="0"/>
        <v>55139.833333333336</v>
      </c>
      <c r="G19" s="52">
        <f t="shared" si="0"/>
        <v>1774.25</v>
      </c>
      <c r="H19" s="52">
        <f t="shared" si="0"/>
        <v>2287.5833333333335</v>
      </c>
      <c r="I19" s="52">
        <f t="shared" si="0"/>
        <v>3027</v>
      </c>
      <c r="J19" s="52">
        <f t="shared" si="0"/>
        <v>937.41666666666663</v>
      </c>
      <c r="K19" s="52">
        <f t="shared" si="0"/>
        <v>574.83333333333337</v>
      </c>
      <c r="L19" s="52">
        <f>SUM(L2,L4,L14,L16)/4</f>
        <v>746.75</v>
      </c>
      <c r="M19" s="52">
        <f>SUM(M2,M4,M14,M16)/4</f>
        <v>1081.5</v>
      </c>
      <c r="N19" s="52">
        <f>SUM(N2,N3,N4,N5,N8,N9,N10,N11,N14,N15,N16,N17)/12</f>
        <v>2523.9166666666665</v>
      </c>
    </row>
    <row r="21" spans="1:14" x14ac:dyDescent="0.3"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3" spans="1:14" x14ac:dyDescent="0.3"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</row>
  </sheetData>
  <mergeCells count="21">
    <mergeCell ref="M2:M3"/>
    <mergeCell ref="M8:M9"/>
    <mergeCell ref="M10:M11"/>
    <mergeCell ref="M16:M17"/>
    <mergeCell ref="M14:M15"/>
    <mergeCell ref="M4:M5"/>
    <mergeCell ref="A14:A17"/>
    <mergeCell ref="B14:B15"/>
    <mergeCell ref="L14:L15"/>
    <mergeCell ref="B16:B17"/>
    <mergeCell ref="L16:L17"/>
    <mergeCell ref="A8:A11"/>
    <mergeCell ref="B8:B9"/>
    <mergeCell ref="L8:L9"/>
    <mergeCell ref="B10:B11"/>
    <mergeCell ref="L10:L11"/>
    <mergeCell ref="A2:A5"/>
    <mergeCell ref="B2:B3"/>
    <mergeCell ref="B4:B5"/>
    <mergeCell ref="L2:L3"/>
    <mergeCell ref="L4:L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50B6-F310-4F59-9A12-E8D5FE64B404}">
  <dimension ref="A1:H45"/>
  <sheetViews>
    <sheetView topLeftCell="A17" workbookViewId="0">
      <selection activeCell="M16" sqref="M16"/>
    </sheetView>
  </sheetViews>
  <sheetFormatPr defaultRowHeight="14.4" x14ac:dyDescent="0.3"/>
  <cols>
    <col min="1" max="1" width="15.5546875" bestFit="1" customWidth="1"/>
    <col min="2" max="2" width="12.88671875" bestFit="1" customWidth="1"/>
    <col min="3" max="3" width="13.5546875" bestFit="1" customWidth="1"/>
    <col min="4" max="4" width="11" bestFit="1" customWidth="1"/>
    <col min="5" max="5" width="8.77734375" bestFit="1" customWidth="1"/>
    <col min="6" max="6" width="12" bestFit="1" customWidth="1"/>
    <col min="7" max="7" width="22.5546875" bestFit="1" customWidth="1"/>
    <col min="8" max="8" width="26" bestFit="1" customWidth="1"/>
  </cols>
  <sheetData>
    <row r="1" spans="1:8" ht="15.6" x14ac:dyDescent="0.3">
      <c r="A1" s="60" t="s">
        <v>1</v>
      </c>
      <c r="B1" s="11" t="s">
        <v>2</v>
      </c>
      <c r="C1" s="11" t="s">
        <v>90</v>
      </c>
      <c r="D1" s="11" t="s">
        <v>89</v>
      </c>
      <c r="E1" s="11" t="s">
        <v>91</v>
      </c>
      <c r="F1" s="60" t="s">
        <v>92</v>
      </c>
      <c r="G1" s="11" t="s">
        <v>97</v>
      </c>
      <c r="H1" s="11" t="s">
        <v>98</v>
      </c>
    </row>
    <row r="2" spans="1:8" ht="15.6" x14ac:dyDescent="0.3">
      <c r="A2" t="s">
        <v>93</v>
      </c>
      <c r="B2" s="11" t="s">
        <v>12</v>
      </c>
      <c r="C2" s="11" t="s">
        <v>68</v>
      </c>
      <c r="D2" s="11" t="s">
        <v>87</v>
      </c>
      <c r="E2" s="59">
        <v>87317</v>
      </c>
      <c r="F2" s="59">
        <v>17</v>
      </c>
      <c r="G2">
        <f>(E13-E2)/5000</f>
        <v>14.716799999999999</v>
      </c>
      <c r="H2">
        <f>(F13-F2)/5000</f>
        <v>-2.0000000000000001E-4</v>
      </c>
    </row>
    <row r="3" spans="1:8" ht="15.6" x14ac:dyDescent="0.3">
      <c r="A3" t="s">
        <v>94</v>
      </c>
      <c r="B3" s="11" t="s">
        <v>17</v>
      </c>
      <c r="C3" s="11" t="s">
        <v>68</v>
      </c>
      <c r="D3" s="11" t="s">
        <v>87</v>
      </c>
      <c r="E3" s="59">
        <v>326665</v>
      </c>
      <c r="F3" s="59">
        <v>65</v>
      </c>
      <c r="G3">
        <f t="shared" ref="G3:G12" si="0">(E14-E3)/5000</f>
        <v>81.956400000000002</v>
      </c>
      <c r="H3">
        <f t="shared" ref="H3:H12" si="1">(F14-F3)/5000</f>
        <v>1.8E-3</v>
      </c>
    </row>
    <row r="4" spans="1:8" ht="15.6" x14ac:dyDescent="0.3">
      <c r="A4" t="s">
        <v>94</v>
      </c>
      <c r="B4" s="11" t="s">
        <v>21</v>
      </c>
      <c r="C4" s="11" t="s">
        <v>68</v>
      </c>
      <c r="D4" s="11" t="s">
        <v>87</v>
      </c>
      <c r="E4" s="59">
        <v>1351696</v>
      </c>
      <c r="F4" s="59">
        <v>270</v>
      </c>
      <c r="G4">
        <f t="shared" si="0"/>
        <v>-47.440800000000003</v>
      </c>
      <c r="H4">
        <f t="shared" si="1"/>
        <v>-3.1800000000000002E-2</v>
      </c>
    </row>
    <row r="5" spans="1:8" ht="15.6" x14ac:dyDescent="0.3">
      <c r="A5" t="s">
        <v>94</v>
      </c>
      <c r="B5" s="11" t="s">
        <v>23</v>
      </c>
      <c r="C5" s="11" t="s">
        <v>68</v>
      </c>
      <c r="D5" s="11" t="s">
        <v>87</v>
      </c>
      <c r="E5" s="59">
        <v>226494</v>
      </c>
      <c r="F5" s="59">
        <v>45</v>
      </c>
      <c r="G5">
        <f t="shared" si="0"/>
        <v>12.268000000000001</v>
      </c>
      <c r="H5">
        <f t="shared" si="1"/>
        <v>-3.2000000000000002E-3</v>
      </c>
    </row>
    <row r="6" spans="1:8" ht="15.6" x14ac:dyDescent="0.3">
      <c r="A6" t="s">
        <v>95</v>
      </c>
      <c r="B6" s="11" t="s">
        <v>36</v>
      </c>
      <c r="C6" s="11" t="s">
        <v>68</v>
      </c>
      <c r="D6" s="11" t="s">
        <v>87</v>
      </c>
      <c r="E6" s="59">
        <v>72711</v>
      </c>
      <c r="F6" s="59">
        <v>15</v>
      </c>
      <c r="G6">
        <f t="shared" si="0"/>
        <v>12.449199999999999</v>
      </c>
      <c r="H6">
        <f t="shared" si="1"/>
        <v>-4.0000000000000002E-4</v>
      </c>
    </row>
    <row r="7" spans="1:8" ht="15.6" x14ac:dyDescent="0.3">
      <c r="A7" t="s">
        <v>96</v>
      </c>
      <c r="B7" s="11" t="s">
        <v>40</v>
      </c>
      <c r="C7" s="11" t="s">
        <v>68</v>
      </c>
      <c r="D7" s="11" t="s">
        <v>87</v>
      </c>
      <c r="E7" s="59">
        <v>356814</v>
      </c>
      <c r="F7" s="59">
        <v>71</v>
      </c>
      <c r="G7">
        <f t="shared" si="0"/>
        <v>31.342199999999998</v>
      </c>
      <c r="H7">
        <f t="shared" si="1"/>
        <v>-4.0000000000000001E-3</v>
      </c>
    </row>
    <row r="8" spans="1:8" ht="15.6" x14ac:dyDescent="0.3">
      <c r="A8" t="s">
        <v>96</v>
      </c>
      <c r="B8" s="11" t="s">
        <v>41</v>
      </c>
      <c r="C8" s="11" t="s">
        <v>68</v>
      </c>
      <c r="D8" s="11" t="s">
        <v>87</v>
      </c>
      <c r="E8" s="59">
        <v>102752</v>
      </c>
      <c r="F8" s="59">
        <v>21</v>
      </c>
      <c r="G8">
        <f t="shared" si="0"/>
        <v>4.1268000000000002</v>
      </c>
      <c r="H8">
        <f t="shared" si="1"/>
        <v>-1.8E-3</v>
      </c>
    </row>
    <row r="9" spans="1:8" ht="15.6" x14ac:dyDescent="0.3">
      <c r="A9" t="s">
        <v>96</v>
      </c>
      <c r="B9" s="11" t="s">
        <v>66</v>
      </c>
      <c r="C9" s="11" t="s">
        <v>68</v>
      </c>
      <c r="D9" s="11" t="s">
        <v>87</v>
      </c>
      <c r="E9" s="59">
        <v>352191</v>
      </c>
      <c r="F9" s="59">
        <v>70</v>
      </c>
      <c r="G9">
        <f t="shared" si="0"/>
        <v>16.597999999999999</v>
      </c>
      <c r="H9">
        <f t="shared" si="1"/>
        <v>-5.1999999999999998E-3</v>
      </c>
    </row>
    <row r="10" spans="1:8" ht="15.6" x14ac:dyDescent="0.3">
      <c r="A10" t="s">
        <v>93</v>
      </c>
      <c r="B10" s="11" t="s">
        <v>81</v>
      </c>
      <c r="C10" s="11" t="s">
        <v>68</v>
      </c>
      <c r="D10" s="11" t="s">
        <v>87</v>
      </c>
      <c r="E10" s="59">
        <v>78584</v>
      </c>
      <c r="F10" s="59">
        <v>16</v>
      </c>
      <c r="G10">
        <f t="shared" si="0"/>
        <v>0</v>
      </c>
      <c r="H10">
        <f t="shared" si="1"/>
        <v>-1.6000000000000001E-3</v>
      </c>
    </row>
    <row r="11" spans="1:8" ht="15.6" x14ac:dyDescent="0.3">
      <c r="A11" t="s">
        <v>93</v>
      </c>
      <c r="B11" s="11" t="s">
        <v>82</v>
      </c>
      <c r="C11" s="11" t="s">
        <v>68</v>
      </c>
      <c r="D11" s="11" t="s">
        <v>87</v>
      </c>
      <c r="E11" s="59">
        <v>308986</v>
      </c>
      <c r="F11" s="59">
        <v>62</v>
      </c>
      <c r="G11">
        <f t="shared" si="0"/>
        <v>0</v>
      </c>
      <c r="H11">
        <f t="shared" si="1"/>
        <v>-6.1999999999999998E-3</v>
      </c>
    </row>
    <row r="12" spans="1:8" ht="15.6" x14ac:dyDescent="0.3">
      <c r="A12" t="s">
        <v>93</v>
      </c>
      <c r="B12" s="11" t="s">
        <v>83</v>
      </c>
      <c r="C12" s="11" t="s">
        <v>68</v>
      </c>
      <c r="D12" s="11" t="s">
        <v>87</v>
      </c>
      <c r="E12" s="59">
        <v>146645</v>
      </c>
      <c r="F12" s="59">
        <v>29</v>
      </c>
      <c r="G12">
        <f t="shared" si="0"/>
        <v>14.5588</v>
      </c>
      <c r="H12">
        <f t="shared" si="1"/>
        <v>-1.4E-3</v>
      </c>
    </row>
    <row r="13" spans="1:8" ht="15.6" x14ac:dyDescent="0.3">
      <c r="A13" t="s">
        <v>93</v>
      </c>
      <c r="B13" s="11" t="s">
        <v>12</v>
      </c>
      <c r="C13" s="11" t="s">
        <v>68</v>
      </c>
      <c r="D13" s="11" t="s">
        <v>88</v>
      </c>
      <c r="E13" s="59">
        <v>160901</v>
      </c>
      <c r="F13" s="59">
        <v>16</v>
      </c>
    </row>
    <row r="14" spans="1:8" ht="15.6" x14ac:dyDescent="0.3">
      <c r="A14" t="s">
        <v>94</v>
      </c>
      <c r="B14" s="11" t="s">
        <v>17</v>
      </c>
      <c r="C14" s="11" t="s">
        <v>68</v>
      </c>
      <c r="D14" s="11" t="s">
        <v>88</v>
      </c>
      <c r="E14" s="59">
        <v>736447</v>
      </c>
      <c r="F14" s="59">
        <v>74</v>
      </c>
    </row>
    <row r="15" spans="1:8" ht="15.6" x14ac:dyDescent="0.3">
      <c r="A15" t="s">
        <v>94</v>
      </c>
      <c r="B15" s="11" t="s">
        <v>21</v>
      </c>
      <c r="C15" s="11" t="s">
        <v>68</v>
      </c>
      <c r="D15" s="11" t="s">
        <v>88</v>
      </c>
      <c r="E15" s="59">
        <v>1114492</v>
      </c>
      <c r="F15" s="59">
        <v>111</v>
      </c>
    </row>
    <row r="16" spans="1:8" ht="15.6" x14ac:dyDescent="0.3">
      <c r="A16" t="s">
        <v>94</v>
      </c>
      <c r="B16" s="11" t="s">
        <v>23</v>
      </c>
      <c r="C16" s="11" t="s">
        <v>68</v>
      </c>
      <c r="D16" s="11" t="s">
        <v>88</v>
      </c>
      <c r="E16" s="59">
        <v>287834</v>
      </c>
      <c r="F16" s="59">
        <v>29</v>
      </c>
    </row>
    <row r="17" spans="1:8" ht="15.6" x14ac:dyDescent="0.3">
      <c r="A17" t="s">
        <v>95</v>
      </c>
      <c r="B17" s="11" t="s">
        <v>36</v>
      </c>
      <c r="C17" s="11" t="s">
        <v>68</v>
      </c>
      <c r="D17" s="11" t="s">
        <v>88</v>
      </c>
      <c r="E17" s="59">
        <v>134957</v>
      </c>
      <c r="F17" s="59">
        <v>13</v>
      </c>
    </row>
    <row r="18" spans="1:8" ht="15.6" x14ac:dyDescent="0.3">
      <c r="A18" t="s">
        <v>96</v>
      </c>
      <c r="B18" s="11" t="s">
        <v>40</v>
      </c>
      <c r="C18" s="11" t="s">
        <v>68</v>
      </c>
      <c r="D18" s="11" t="s">
        <v>88</v>
      </c>
      <c r="E18" s="59">
        <v>513525</v>
      </c>
      <c r="F18" s="59">
        <v>51</v>
      </c>
    </row>
    <row r="19" spans="1:8" ht="15.6" x14ac:dyDescent="0.3">
      <c r="A19" t="s">
        <v>96</v>
      </c>
      <c r="B19" s="11" t="s">
        <v>41</v>
      </c>
      <c r="C19" s="11" t="s">
        <v>68</v>
      </c>
      <c r="D19" s="11" t="s">
        <v>88</v>
      </c>
      <c r="E19" s="59">
        <v>123386</v>
      </c>
      <c r="F19" s="59">
        <v>12</v>
      </c>
    </row>
    <row r="20" spans="1:8" ht="15.6" x14ac:dyDescent="0.3">
      <c r="A20" t="s">
        <v>96</v>
      </c>
      <c r="B20" s="11" t="s">
        <v>66</v>
      </c>
      <c r="C20" s="11" t="s">
        <v>68</v>
      </c>
      <c r="D20" s="11" t="s">
        <v>88</v>
      </c>
      <c r="E20" s="59">
        <v>435181</v>
      </c>
      <c r="F20" s="59">
        <v>44</v>
      </c>
    </row>
    <row r="21" spans="1:8" ht="15.6" x14ac:dyDescent="0.3">
      <c r="A21" t="s">
        <v>93</v>
      </c>
      <c r="B21" s="11" t="s">
        <v>81</v>
      </c>
      <c r="C21" s="11" t="s">
        <v>68</v>
      </c>
      <c r="D21" s="11" t="s">
        <v>88</v>
      </c>
      <c r="E21" s="59">
        <v>78584</v>
      </c>
      <c r="F21" s="59">
        <v>8</v>
      </c>
    </row>
    <row r="22" spans="1:8" ht="15.6" x14ac:dyDescent="0.3">
      <c r="A22" t="s">
        <v>93</v>
      </c>
      <c r="B22" s="11" t="s">
        <v>82</v>
      </c>
      <c r="C22" s="11" t="s">
        <v>68</v>
      </c>
      <c r="D22" s="11" t="s">
        <v>88</v>
      </c>
      <c r="E22" s="59">
        <v>308986</v>
      </c>
      <c r="F22" s="59">
        <v>31</v>
      </c>
    </row>
    <row r="23" spans="1:8" ht="15.6" x14ac:dyDescent="0.3">
      <c r="A23" t="s">
        <v>93</v>
      </c>
      <c r="B23" s="11" t="s">
        <v>83</v>
      </c>
      <c r="C23" s="11" t="s">
        <v>68</v>
      </c>
      <c r="D23" s="11" t="s">
        <v>88</v>
      </c>
      <c r="E23" s="59">
        <v>219439</v>
      </c>
      <c r="F23" s="59">
        <v>22</v>
      </c>
    </row>
    <row r="24" spans="1:8" ht="15.6" x14ac:dyDescent="0.3">
      <c r="A24" t="s">
        <v>93</v>
      </c>
      <c r="B24" s="11" t="s">
        <v>12</v>
      </c>
      <c r="C24" s="11" t="s">
        <v>71</v>
      </c>
      <c r="D24" s="11" t="s">
        <v>87</v>
      </c>
      <c r="E24" s="59">
        <v>88294</v>
      </c>
      <c r="F24" s="59">
        <v>18</v>
      </c>
      <c r="G24">
        <f>(E35-E24)/5000</f>
        <v>16.208200000000001</v>
      </c>
      <c r="H24">
        <f>(F35-F24)/5000</f>
        <v>-2.0000000000000001E-4</v>
      </c>
    </row>
    <row r="25" spans="1:8" ht="15.6" x14ac:dyDescent="0.3">
      <c r="A25" t="s">
        <v>94</v>
      </c>
      <c r="B25" s="11" t="s">
        <v>17</v>
      </c>
      <c r="C25" s="11" t="s">
        <v>71</v>
      </c>
      <c r="D25" s="11" t="s">
        <v>87</v>
      </c>
      <c r="E25" s="59">
        <v>329744</v>
      </c>
      <c r="F25" s="59">
        <v>66</v>
      </c>
      <c r="G25">
        <f t="shared" ref="G25:G34" si="2">(E36-E25)/5000</f>
        <v>86.214799999999997</v>
      </c>
      <c r="H25">
        <f t="shared" ref="H25:H34" si="3">(F36-F25)/5000</f>
        <v>2E-3</v>
      </c>
    </row>
    <row r="26" spans="1:8" ht="15.6" x14ac:dyDescent="0.3">
      <c r="A26" t="s">
        <v>94</v>
      </c>
      <c r="B26" s="11" t="s">
        <v>21</v>
      </c>
      <c r="C26" s="11" t="s">
        <v>71</v>
      </c>
      <c r="D26" s="11" t="s">
        <v>87</v>
      </c>
      <c r="E26" s="59">
        <v>131833</v>
      </c>
      <c r="F26" s="59">
        <v>26</v>
      </c>
      <c r="G26">
        <f t="shared" si="2"/>
        <v>-11.0442</v>
      </c>
      <c r="H26">
        <f t="shared" si="3"/>
        <v>-3.5999999999999999E-3</v>
      </c>
    </row>
    <row r="27" spans="1:8" ht="15.6" x14ac:dyDescent="0.3">
      <c r="A27" t="s">
        <v>94</v>
      </c>
      <c r="B27" s="11" t="s">
        <v>23</v>
      </c>
      <c r="C27" s="11" t="s">
        <v>71</v>
      </c>
      <c r="D27" s="11" t="s">
        <v>87</v>
      </c>
      <c r="E27" s="59">
        <v>461077</v>
      </c>
      <c r="F27" s="59">
        <v>92</v>
      </c>
      <c r="G27">
        <f t="shared" si="2"/>
        <v>-10.795</v>
      </c>
      <c r="H27">
        <f t="shared" si="3"/>
        <v>-1.0200000000000001E-2</v>
      </c>
    </row>
    <row r="28" spans="1:8" ht="15.6" x14ac:dyDescent="0.3">
      <c r="A28" t="s">
        <v>95</v>
      </c>
      <c r="B28" s="11" t="s">
        <v>36</v>
      </c>
      <c r="C28" s="11" t="s">
        <v>71</v>
      </c>
      <c r="D28" s="11" t="s">
        <v>87</v>
      </c>
      <c r="E28" s="59">
        <v>80184</v>
      </c>
      <c r="F28" s="59">
        <v>16</v>
      </c>
      <c r="G28">
        <f t="shared" si="2"/>
        <v>19.283999999999999</v>
      </c>
      <c r="H28">
        <f t="shared" si="3"/>
        <v>4.0000000000000002E-4</v>
      </c>
    </row>
    <row r="29" spans="1:8" ht="15.6" x14ac:dyDescent="0.3">
      <c r="A29" t="s">
        <v>96</v>
      </c>
      <c r="B29" s="11" t="s">
        <v>40</v>
      </c>
      <c r="C29" s="11" t="s">
        <v>71</v>
      </c>
      <c r="D29" s="11" t="s">
        <v>87</v>
      </c>
      <c r="E29" s="59">
        <v>392389</v>
      </c>
      <c r="F29" s="59">
        <v>78</v>
      </c>
      <c r="G29">
        <f t="shared" si="2"/>
        <v>32.849200000000003</v>
      </c>
      <c r="H29">
        <f t="shared" si="3"/>
        <v>-4.4000000000000003E-3</v>
      </c>
    </row>
    <row r="30" spans="1:8" ht="15.6" x14ac:dyDescent="0.3">
      <c r="A30" t="s">
        <v>96</v>
      </c>
      <c r="B30" s="11" t="s">
        <v>41</v>
      </c>
      <c r="C30" s="11" t="s">
        <v>71</v>
      </c>
      <c r="D30" s="11" t="s">
        <v>87</v>
      </c>
      <c r="E30" s="59">
        <v>101524</v>
      </c>
      <c r="F30" s="59">
        <v>20</v>
      </c>
      <c r="G30">
        <f t="shared" si="2"/>
        <v>4.9362000000000004</v>
      </c>
      <c r="H30">
        <f t="shared" si="3"/>
        <v>-1.4E-3</v>
      </c>
    </row>
    <row r="31" spans="1:8" ht="15.6" x14ac:dyDescent="0.3">
      <c r="A31" t="s">
        <v>96</v>
      </c>
      <c r="B31" s="11" t="s">
        <v>66</v>
      </c>
      <c r="C31" s="11" t="s">
        <v>71</v>
      </c>
      <c r="D31" s="11" t="s">
        <v>87</v>
      </c>
      <c r="E31" s="59">
        <v>425981</v>
      </c>
      <c r="F31" s="59">
        <v>85</v>
      </c>
      <c r="G31">
        <f t="shared" si="2"/>
        <v>22.061800000000002</v>
      </c>
      <c r="H31">
        <f t="shared" si="3"/>
        <v>-6.1999999999999998E-3</v>
      </c>
    </row>
    <row r="32" spans="1:8" ht="15.6" x14ac:dyDescent="0.3">
      <c r="A32" t="s">
        <v>93</v>
      </c>
      <c r="B32" s="11" t="s">
        <v>81</v>
      </c>
      <c r="C32" s="11" t="s">
        <v>71</v>
      </c>
      <c r="D32" s="11" t="s">
        <v>87</v>
      </c>
      <c r="E32" s="59">
        <v>182691</v>
      </c>
      <c r="F32" s="59">
        <v>37</v>
      </c>
      <c r="G32">
        <f t="shared" si="2"/>
        <v>0</v>
      </c>
      <c r="H32">
        <f t="shared" si="3"/>
        <v>-3.5999999999999999E-3</v>
      </c>
    </row>
    <row r="33" spans="1:8" ht="15.6" x14ac:dyDescent="0.3">
      <c r="A33" t="s">
        <v>93</v>
      </c>
      <c r="B33" s="11" t="s">
        <v>82</v>
      </c>
      <c r="C33" s="11" t="s">
        <v>71</v>
      </c>
      <c r="D33" s="11" t="s">
        <v>87</v>
      </c>
      <c r="E33" s="59">
        <v>338860</v>
      </c>
      <c r="F33" s="59">
        <v>68</v>
      </c>
      <c r="G33">
        <f t="shared" si="2"/>
        <v>0</v>
      </c>
      <c r="H33">
        <f t="shared" si="3"/>
        <v>-6.7999999999999996E-3</v>
      </c>
    </row>
    <row r="34" spans="1:8" ht="15.6" x14ac:dyDescent="0.3">
      <c r="A34" t="s">
        <v>93</v>
      </c>
      <c r="B34" s="11" t="s">
        <v>83</v>
      </c>
      <c r="C34" s="11" t="s">
        <v>71</v>
      </c>
      <c r="D34" s="11" t="s">
        <v>87</v>
      </c>
      <c r="E34" s="59">
        <v>168374</v>
      </c>
      <c r="F34" s="59">
        <v>34</v>
      </c>
      <c r="G34">
        <f t="shared" si="2"/>
        <v>17.935400000000001</v>
      </c>
      <c r="H34">
        <f t="shared" si="3"/>
        <v>-1.6000000000000001E-3</v>
      </c>
    </row>
    <row r="35" spans="1:8" ht="15.6" x14ac:dyDescent="0.3">
      <c r="A35" t="s">
        <v>93</v>
      </c>
      <c r="B35" s="11" t="s">
        <v>12</v>
      </c>
      <c r="C35" s="11" t="s">
        <v>71</v>
      </c>
      <c r="D35" s="11" t="s">
        <v>88</v>
      </c>
      <c r="E35" s="59">
        <v>169335</v>
      </c>
      <c r="F35" s="59">
        <v>17</v>
      </c>
    </row>
    <row r="36" spans="1:8" ht="15.6" x14ac:dyDescent="0.3">
      <c r="A36" t="s">
        <v>94</v>
      </c>
      <c r="B36" s="11" t="s">
        <v>17</v>
      </c>
      <c r="C36" s="11" t="s">
        <v>71</v>
      </c>
      <c r="D36" s="11" t="s">
        <v>88</v>
      </c>
      <c r="E36" s="59">
        <v>760818</v>
      </c>
      <c r="F36" s="59">
        <v>76</v>
      </c>
    </row>
    <row r="37" spans="1:8" ht="15.6" x14ac:dyDescent="0.3">
      <c r="A37" t="s">
        <v>94</v>
      </c>
      <c r="B37" s="11" t="s">
        <v>21</v>
      </c>
      <c r="C37" s="11" t="s">
        <v>71</v>
      </c>
      <c r="D37" s="11" t="s">
        <v>88</v>
      </c>
      <c r="E37" s="59">
        <v>76612</v>
      </c>
      <c r="F37" s="59">
        <v>8</v>
      </c>
    </row>
    <row r="38" spans="1:8" ht="15.6" x14ac:dyDescent="0.3">
      <c r="A38" t="s">
        <v>94</v>
      </c>
      <c r="B38" s="11" t="s">
        <v>23</v>
      </c>
      <c r="C38" s="11" t="s">
        <v>71</v>
      </c>
      <c r="D38" s="11" t="s">
        <v>88</v>
      </c>
      <c r="E38" s="59">
        <v>407102</v>
      </c>
      <c r="F38" s="59">
        <v>41</v>
      </c>
    </row>
    <row r="39" spans="1:8" ht="15.6" x14ac:dyDescent="0.3">
      <c r="A39" t="s">
        <v>95</v>
      </c>
      <c r="B39" s="11" t="s">
        <v>36</v>
      </c>
      <c r="C39" s="11" t="s">
        <v>71</v>
      </c>
      <c r="D39" s="11" t="s">
        <v>88</v>
      </c>
      <c r="E39" s="59">
        <v>176604</v>
      </c>
      <c r="F39" s="59">
        <v>18</v>
      </c>
    </row>
    <row r="40" spans="1:8" ht="15.6" x14ac:dyDescent="0.3">
      <c r="A40" t="s">
        <v>96</v>
      </c>
      <c r="B40" s="11" t="s">
        <v>40</v>
      </c>
      <c r="C40" s="11" t="s">
        <v>71</v>
      </c>
      <c r="D40" s="11" t="s">
        <v>88</v>
      </c>
      <c r="E40" s="59">
        <v>556635</v>
      </c>
      <c r="F40" s="59">
        <v>56</v>
      </c>
    </row>
    <row r="41" spans="1:8" ht="15.6" x14ac:dyDescent="0.3">
      <c r="A41" t="s">
        <v>96</v>
      </c>
      <c r="B41" s="11" t="s">
        <v>41</v>
      </c>
      <c r="C41" s="11" t="s">
        <v>71</v>
      </c>
      <c r="D41" s="11" t="s">
        <v>88</v>
      </c>
      <c r="E41" s="59">
        <v>126205</v>
      </c>
      <c r="F41" s="59">
        <v>13</v>
      </c>
    </row>
    <row r="42" spans="1:8" ht="15.6" x14ac:dyDescent="0.3">
      <c r="A42" t="s">
        <v>96</v>
      </c>
      <c r="B42" s="11" t="s">
        <v>66</v>
      </c>
      <c r="C42" s="11" t="s">
        <v>71</v>
      </c>
      <c r="D42" s="11" t="s">
        <v>88</v>
      </c>
      <c r="E42" s="59">
        <v>536290</v>
      </c>
      <c r="F42" s="59">
        <v>54</v>
      </c>
    </row>
    <row r="43" spans="1:8" ht="15.6" x14ac:dyDescent="0.3">
      <c r="A43" t="s">
        <v>93</v>
      </c>
      <c r="B43" s="11" t="s">
        <v>81</v>
      </c>
      <c r="C43" s="11" t="s">
        <v>71</v>
      </c>
      <c r="D43" s="11" t="s">
        <v>88</v>
      </c>
      <c r="E43" s="59">
        <v>182691</v>
      </c>
      <c r="F43" s="59">
        <v>19</v>
      </c>
    </row>
    <row r="44" spans="1:8" ht="15.6" x14ac:dyDescent="0.3">
      <c r="A44" t="s">
        <v>93</v>
      </c>
      <c r="B44" s="11" t="s">
        <v>82</v>
      </c>
      <c r="C44" s="11" t="s">
        <v>71</v>
      </c>
      <c r="D44" s="11" t="s">
        <v>88</v>
      </c>
      <c r="E44" s="59">
        <v>338860</v>
      </c>
      <c r="F44" s="59">
        <v>34</v>
      </c>
    </row>
    <row r="45" spans="1:8" ht="15.6" x14ac:dyDescent="0.3">
      <c r="A45" t="s">
        <v>93</v>
      </c>
      <c r="B45" s="11" t="s">
        <v>83</v>
      </c>
      <c r="C45" s="11" t="s">
        <v>71</v>
      </c>
      <c r="D45" s="11" t="s">
        <v>88</v>
      </c>
      <c r="E45" s="59">
        <v>258051</v>
      </c>
      <c r="F45" s="59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D5FE-6C97-4CFF-8525-30D42321DBF7}">
  <dimension ref="A1:M45"/>
  <sheetViews>
    <sheetView workbookViewId="0">
      <selection activeCell="G15" sqref="G15"/>
    </sheetView>
  </sheetViews>
  <sheetFormatPr defaultRowHeight="14.4" x14ac:dyDescent="0.3"/>
  <cols>
    <col min="1" max="1" width="14.5546875" bestFit="1" customWidth="1"/>
    <col min="2" max="2" width="14.21875" bestFit="1" customWidth="1"/>
    <col min="3" max="3" width="11" bestFit="1" customWidth="1"/>
    <col min="4" max="4" width="9.88671875" style="52" bestFit="1" customWidth="1"/>
    <col min="5" max="5" width="12" bestFit="1" customWidth="1"/>
    <col min="6" max="6" width="22.6640625" bestFit="1" customWidth="1"/>
    <col min="7" max="7" width="26" bestFit="1" customWidth="1"/>
    <col min="9" max="9" width="14.21875" bestFit="1" customWidth="1"/>
    <col min="10" max="11" width="7.6640625" bestFit="1" customWidth="1"/>
    <col min="12" max="13" width="9.88671875" bestFit="1" customWidth="1"/>
  </cols>
  <sheetData>
    <row r="1" spans="1:13" s="50" customFormat="1" ht="15.6" x14ac:dyDescent="0.3">
      <c r="A1" s="65" t="s">
        <v>1</v>
      </c>
      <c r="B1" s="49" t="s">
        <v>2</v>
      </c>
      <c r="C1" s="49" t="s">
        <v>89</v>
      </c>
      <c r="D1" s="66" t="s">
        <v>129</v>
      </c>
      <c r="E1" s="65" t="s">
        <v>92</v>
      </c>
      <c r="F1" s="49" t="s">
        <v>130</v>
      </c>
      <c r="G1" s="49" t="s">
        <v>98</v>
      </c>
    </row>
    <row r="2" spans="1:13" ht="15.6" x14ac:dyDescent="0.3">
      <c r="A2" t="s">
        <v>93</v>
      </c>
      <c r="B2" s="57" t="s">
        <v>41</v>
      </c>
      <c r="C2" s="11" t="s">
        <v>120</v>
      </c>
      <c r="D2" s="64">
        <v>103348.15921044</v>
      </c>
      <c r="E2" s="59">
        <v>21</v>
      </c>
      <c r="F2">
        <f>(SUM(D2,D13,D24,D35)/4)/5000</f>
        <v>50.810428905305749</v>
      </c>
      <c r="G2">
        <f>(SUM(E2,E13,E24,E35)/4)/5000</f>
        <v>1.9499999999999999E-3</v>
      </c>
      <c r="I2" s="57"/>
      <c r="J2" s="59"/>
      <c r="K2" s="59"/>
      <c r="L2" s="59"/>
      <c r="M2" s="59"/>
    </row>
    <row r="3" spans="1:13" ht="15.6" x14ac:dyDescent="0.3">
      <c r="A3" t="s">
        <v>94</v>
      </c>
      <c r="B3" s="57" t="s">
        <v>13</v>
      </c>
      <c r="C3" s="11" t="s">
        <v>120</v>
      </c>
      <c r="D3" s="64">
        <v>108674.22047244001</v>
      </c>
      <c r="E3" s="59">
        <v>22</v>
      </c>
      <c r="F3">
        <f t="shared" ref="F3:F11" si="0">(SUM(D3,D14,D25,D36)/4)/5000</f>
        <v>21.734844094488</v>
      </c>
      <c r="G3">
        <f t="shared" ref="G3:G12" si="1">(SUM(E3,E14,E25,E36)/4)/5000</f>
        <v>1.6999999999999999E-3</v>
      </c>
      <c r="I3" s="57"/>
      <c r="J3" s="59"/>
      <c r="K3" s="59"/>
      <c r="L3" s="59"/>
      <c r="M3" s="59"/>
    </row>
    <row r="4" spans="1:13" ht="15.6" x14ac:dyDescent="0.3">
      <c r="A4" t="s">
        <v>94</v>
      </c>
      <c r="B4" s="57" t="s">
        <v>14</v>
      </c>
      <c r="C4" s="11" t="s">
        <v>120</v>
      </c>
      <c r="D4" s="64">
        <v>206953.06252347899</v>
      </c>
      <c r="E4" s="59">
        <v>41</v>
      </c>
      <c r="F4">
        <f t="shared" si="0"/>
        <v>2878.5890973119967</v>
      </c>
      <c r="G4">
        <f t="shared" si="1"/>
        <v>2.0250000000000001E-2</v>
      </c>
      <c r="I4" s="57"/>
      <c r="J4" s="59"/>
      <c r="K4" s="59"/>
      <c r="L4" s="59"/>
      <c r="M4" s="59"/>
    </row>
    <row r="5" spans="1:13" ht="15.6" x14ac:dyDescent="0.3">
      <c r="A5" t="s">
        <v>94</v>
      </c>
      <c r="B5" s="57" t="s">
        <v>22</v>
      </c>
      <c r="C5" s="11" t="s">
        <v>120</v>
      </c>
      <c r="D5" s="64">
        <v>677861.51251005696</v>
      </c>
      <c r="E5" s="59">
        <v>136</v>
      </c>
      <c r="F5">
        <f t="shared" si="0"/>
        <v>540.63581411394387</v>
      </c>
      <c r="G5">
        <f t="shared" si="1"/>
        <v>1.1350000000000001E-2</v>
      </c>
      <c r="I5" s="57"/>
      <c r="J5" s="59"/>
      <c r="K5" s="59"/>
      <c r="L5" s="59"/>
      <c r="M5" s="59"/>
    </row>
    <row r="6" spans="1:13" ht="15.6" x14ac:dyDescent="0.3">
      <c r="A6" t="s">
        <v>95</v>
      </c>
      <c r="B6" s="57" t="s">
        <v>23</v>
      </c>
      <c r="C6" s="11" t="s">
        <v>120</v>
      </c>
      <c r="D6" s="64">
        <v>262689.38508300198</v>
      </c>
      <c r="E6" s="59">
        <v>53</v>
      </c>
      <c r="F6">
        <f t="shared" si="0"/>
        <v>143.2958649615606</v>
      </c>
      <c r="G6">
        <f t="shared" si="1"/>
        <v>4.8999999999999998E-3</v>
      </c>
      <c r="I6" s="57"/>
      <c r="J6" s="59"/>
      <c r="K6" s="59"/>
      <c r="L6" s="59"/>
      <c r="M6" s="59"/>
    </row>
    <row r="7" spans="1:13" ht="15.6" x14ac:dyDescent="0.3">
      <c r="A7" t="s">
        <v>96</v>
      </c>
      <c r="B7" s="57" t="s">
        <v>132</v>
      </c>
      <c r="C7" s="11" t="s">
        <v>120</v>
      </c>
      <c r="D7" s="64">
        <v>178082.635416039</v>
      </c>
      <c r="E7" s="59">
        <v>36</v>
      </c>
      <c r="F7">
        <f t="shared" si="0"/>
        <v>46.777624146024301</v>
      </c>
      <c r="G7">
        <f t="shared" si="1"/>
        <v>4.1000000000000003E-3</v>
      </c>
      <c r="I7" s="57"/>
      <c r="J7" s="59"/>
      <c r="K7" s="59"/>
      <c r="L7" s="59"/>
      <c r="M7" s="59"/>
    </row>
    <row r="8" spans="1:13" ht="15.6" x14ac:dyDescent="0.3">
      <c r="A8" t="s">
        <v>96</v>
      </c>
      <c r="B8" s="57" t="s">
        <v>131</v>
      </c>
      <c r="C8" s="11" t="s">
        <v>120</v>
      </c>
      <c r="D8" s="64">
        <v>319408.99795500998</v>
      </c>
      <c r="E8" s="59">
        <v>64</v>
      </c>
      <c r="F8">
        <f t="shared" si="0"/>
        <v>51.986885362165445</v>
      </c>
      <c r="G8">
        <f t="shared" si="1"/>
        <v>6.7999999999999996E-3</v>
      </c>
      <c r="I8" s="57"/>
      <c r="J8" s="59"/>
      <c r="K8" s="59"/>
      <c r="L8" s="59"/>
      <c r="M8" s="59"/>
    </row>
    <row r="9" spans="1:13" ht="15.6" x14ac:dyDescent="0.3">
      <c r="A9" t="s">
        <v>96</v>
      </c>
      <c r="B9" s="57" t="s">
        <v>12</v>
      </c>
      <c r="C9" s="11" t="s">
        <v>120</v>
      </c>
      <c r="D9" s="64">
        <v>86697.345132743299</v>
      </c>
      <c r="E9" s="59">
        <v>17</v>
      </c>
      <c r="F9">
        <f t="shared" si="0"/>
        <v>311.12617905964851</v>
      </c>
      <c r="G9">
        <f t="shared" si="1"/>
        <v>3.2499999999999999E-3</v>
      </c>
      <c r="I9" s="57"/>
      <c r="J9" s="59"/>
      <c r="K9" s="59"/>
      <c r="L9" s="59"/>
      <c r="M9" s="59"/>
    </row>
    <row r="10" spans="1:13" ht="15.6" x14ac:dyDescent="0.3">
      <c r="A10" t="s">
        <v>93</v>
      </c>
      <c r="B10" s="57" t="s">
        <v>117</v>
      </c>
      <c r="C10" s="11" t="s">
        <v>120</v>
      </c>
      <c r="D10" s="64">
        <v>449501.56615124497</v>
      </c>
      <c r="E10" s="59">
        <v>90</v>
      </c>
      <c r="F10">
        <f t="shared" si="0"/>
        <v>253.15820938468528</v>
      </c>
      <c r="G10">
        <f t="shared" si="1"/>
        <v>1.0200000000000001E-2</v>
      </c>
      <c r="I10" s="57"/>
      <c r="J10" s="59"/>
      <c r="K10" s="59"/>
      <c r="L10" s="59"/>
      <c r="M10" s="59"/>
    </row>
    <row r="11" spans="1:13" ht="15.6" x14ac:dyDescent="0.3">
      <c r="A11" t="s">
        <v>93</v>
      </c>
      <c r="B11" s="57" t="s">
        <v>36</v>
      </c>
      <c r="C11" s="11" t="s">
        <v>120</v>
      </c>
      <c r="D11" s="64">
        <v>318777.381815253</v>
      </c>
      <c r="E11" s="59">
        <v>64</v>
      </c>
      <c r="F11">
        <f t="shared" si="0"/>
        <v>534.00116941641932</v>
      </c>
      <c r="G11">
        <f t="shared" si="1"/>
        <v>8.5500000000000003E-3</v>
      </c>
      <c r="I11" s="57"/>
      <c r="J11" s="59"/>
      <c r="K11" s="59"/>
      <c r="L11" s="59"/>
      <c r="M11" s="59"/>
    </row>
    <row r="12" spans="1:13" ht="15.6" x14ac:dyDescent="0.3">
      <c r="A12" t="s">
        <v>93</v>
      </c>
      <c r="B12" s="57" t="s">
        <v>66</v>
      </c>
      <c r="C12" s="11" t="s">
        <v>120</v>
      </c>
      <c r="D12" s="64">
        <v>421692.52709640597</v>
      </c>
      <c r="E12" s="59">
        <v>84</v>
      </c>
      <c r="F12">
        <f>(SUM(D12,D23,D34,D45)/4)/5000</f>
        <v>3158.7615984735257</v>
      </c>
      <c r="G12">
        <f t="shared" si="1"/>
        <v>2.2749999999999999E-2</v>
      </c>
      <c r="I12" s="57"/>
      <c r="J12" s="59"/>
      <c r="K12" s="59"/>
      <c r="L12" s="59"/>
      <c r="M12" s="59"/>
    </row>
    <row r="13" spans="1:13" ht="15.6" x14ac:dyDescent="0.3">
      <c r="A13" t="s">
        <v>93</v>
      </c>
      <c r="B13" s="57" t="s">
        <v>41</v>
      </c>
      <c r="C13" s="11" t="s">
        <v>121</v>
      </c>
      <c r="D13" s="64">
        <v>126942.415330613</v>
      </c>
      <c r="E13" s="59">
        <v>13</v>
      </c>
    </row>
    <row r="14" spans="1:13" ht="15.6" x14ac:dyDescent="0.3">
      <c r="A14" t="s">
        <v>94</v>
      </c>
      <c r="B14" s="57" t="s">
        <v>13</v>
      </c>
      <c r="C14" s="11" t="s">
        <v>121</v>
      </c>
      <c r="D14" s="64">
        <v>108674.22047244001</v>
      </c>
      <c r="E14" s="59">
        <v>11</v>
      </c>
    </row>
    <row r="15" spans="1:13" ht="15.6" x14ac:dyDescent="0.3">
      <c r="A15" t="s">
        <v>94</v>
      </c>
      <c r="B15" s="57" t="s">
        <v>14</v>
      </c>
      <c r="C15" s="11" t="s">
        <v>121</v>
      </c>
      <c r="D15" s="64">
        <v>463641.31432145002</v>
      </c>
      <c r="E15" s="59">
        <v>46</v>
      </c>
    </row>
    <row r="16" spans="1:13" ht="15.6" x14ac:dyDescent="0.3">
      <c r="A16" t="s">
        <v>94</v>
      </c>
      <c r="B16" s="57" t="s">
        <v>22</v>
      </c>
      <c r="C16" s="11" t="s">
        <v>121</v>
      </c>
      <c r="D16" s="64">
        <v>446898.64922114997</v>
      </c>
      <c r="E16" s="59">
        <v>45</v>
      </c>
    </row>
    <row r="17" spans="1:5" ht="15.6" x14ac:dyDescent="0.3">
      <c r="A17" t="s">
        <v>95</v>
      </c>
      <c r="B17" s="57" t="s">
        <v>23</v>
      </c>
      <c r="C17" s="11" t="s">
        <v>121</v>
      </c>
      <c r="D17" s="64">
        <v>299648.05423175899</v>
      </c>
      <c r="E17" s="59">
        <v>30</v>
      </c>
    </row>
    <row r="18" spans="1:5" ht="15.6" x14ac:dyDescent="0.3">
      <c r="A18" t="s">
        <v>96</v>
      </c>
      <c r="B18" s="57" t="s">
        <v>132</v>
      </c>
      <c r="C18" s="11" t="s">
        <v>121</v>
      </c>
      <c r="D18" s="64">
        <v>270293.95452024398</v>
      </c>
      <c r="E18" s="59">
        <v>27</v>
      </c>
    </row>
    <row r="19" spans="1:5" ht="15.6" x14ac:dyDescent="0.3">
      <c r="A19" t="s">
        <v>96</v>
      </c>
      <c r="B19" s="57" t="s">
        <v>131</v>
      </c>
      <c r="C19" s="11" t="s">
        <v>121</v>
      </c>
      <c r="D19" s="64">
        <v>720328.70928829897</v>
      </c>
      <c r="E19" s="59">
        <v>72</v>
      </c>
    </row>
    <row r="20" spans="1:5" ht="15.6" x14ac:dyDescent="0.3">
      <c r="A20" t="s">
        <v>96</v>
      </c>
      <c r="B20" s="57" t="s">
        <v>12</v>
      </c>
      <c r="C20" s="11" t="s">
        <v>121</v>
      </c>
      <c r="D20" s="64">
        <v>157328.76712328699</v>
      </c>
      <c r="E20" s="59">
        <v>16</v>
      </c>
    </row>
    <row r="21" spans="1:5" ht="15.6" x14ac:dyDescent="0.3">
      <c r="A21" t="s">
        <v>93</v>
      </c>
      <c r="B21" s="57" t="s">
        <v>117</v>
      </c>
      <c r="C21" s="11" t="s">
        <v>121</v>
      </c>
      <c r="D21" s="64">
        <v>901353.50712486997</v>
      </c>
      <c r="E21" s="59">
        <v>90</v>
      </c>
    </row>
    <row r="22" spans="1:5" ht="15.6" x14ac:dyDescent="0.3">
      <c r="A22" t="s">
        <v>93</v>
      </c>
      <c r="B22" s="57" t="s">
        <v>36</v>
      </c>
      <c r="C22" s="11" t="s">
        <v>121</v>
      </c>
      <c r="D22" s="64">
        <v>503825.081938933</v>
      </c>
      <c r="E22" s="59">
        <v>50</v>
      </c>
    </row>
    <row r="23" spans="1:5" ht="15.6" x14ac:dyDescent="0.3">
      <c r="A23" t="s">
        <v>93</v>
      </c>
      <c r="B23" s="57" t="s">
        <v>66</v>
      </c>
      <c r="C23" s="11" t="s">
        <v>121</v>
      </c>
      <c r="D23" s="64">
        <v>565831.30772970302</v>
      </c>
      <c r="E23" s="59">
        <v>57</v>
      </c>
    </row>
    <row r="24" spans="1:5" ht="15.6" x14ac:dyDescent="0.3">
      <c r="A24" t="s">
        <v>93</v>
      </c>
      <c r="B24" s="57" t="s">
        <v>41</v>
      </c>
      <c r="C24" s="11" t="s">
        <v>122</v>
      </c>
      <c r="D24" s="64">
        <v>285918.00356506201</v>
      </c>
      <c r="E24" s="59">
        <v>3</v>
      </c>
    </row>
    <row r="25" spans="1:5" ht="15.6" x14ac:dyDescent="0.3">
      <c r="A25" t="s">
        <v>94</v>
      </c>
      <c r="B25" s="57" t="s">
        <v>13</v>
      </c>
      <c r="C25" s="11" t="s">
        <v>122</v>
      </c>
      <c r="D25" s="64">
        <v>108674.22047244001</v>
      </c>
      <c r="E25" s="59">
        <v>1</v>
      </c>
    </row>
    <row r="26" spans="1:5" ht="15.6" x14ac:dyDescent="0.3">
      <c r="A26" t="s">
        <v>94</v>
      </c>
      <c r="B26" s="57" t="s">
        <v>14</v>
      </c>
      <c r="C26" s="11" t="s">
        <v>122</v>
      </c>
      <c r="D26" s="64">
        <v>15084928.569395</v>
      </c>
      <c r="E26" s="59">
        <v>151</v>
      </c>
    </row>
    <row r="27" spans="1:5" ht="15.6" x14ac:dyDescent="0.3">
      <c r="A27" t="s">
        <v>94</v>
      </c>
      <c r="B27" s="57" t="s">
        <v>22</v>
      </c>
      <c r="C27" s="11" t="s">
        <v>122</v>
      </c>
      <c r="D27" s="64">
        <v>1236817.2808158901</v>
      </c>
      <c r="E27" s="59">
        <v>12</v>
      </c>
    </row>
    <row r="28" spans="1:5" ht="15.6" x14ac:dyDescent="0.3">
      <c r="A28" t="s">
        <v>95</v>
      </c>
      <c r="B28" s="57" t="s">
        <v>23</v>
      </c>
      <c r="C28" s="11" t="s">
        <v>122</v>
      </c>
      <c r="D28" s="64">
        <v>979301.54963688098</v>
      </c>
      <c r="E28" s="59">
        <v>10</v>
      </c>
    </row>
    <row r="29" spans="1:5" ht="15.6" x14ac:dyDescent="0.3">
      <c r="A29" t="s">
        <v>96</v>
      </c>
      <c r="B29" s="57" t="s">
        <v>132</v>
      </c>
      <c r="C29" s="11" t="s">
        <v>122</v>
      </c>
      <c r="D29" s="64">
        <v>487175.892984203</v>
      </c>
      <c r="E29" s="59">
        <v>19</v>
      </c>
    </row>
    <row r="30" spans="1:5" ht="15.6" x14ac:dyDescent="0.3">
      <c r="A30" t="s">
        <v>96</v>
      </c>
      <c r="B30" s="57" t="s">
        <v>131</v>
      </c>
      <c r="C30" s="11" t="s">
        <v>122</v>
      </c>
      <c r="D30" s="64">
        <v>0</v>
      </c>
      <c r="E30" s="59">
        <v>0</v>
      </c>
    </row>
    <row r="31" spans="1:5" ht="15.6" x14ac:dyDescent="0.3">
      <c r="A31" t="s">
        <v>96</v>
      </c>
      <c r="B31" s="57" t="s">
        <v>12</v>
      </c>
      <c r="C31" s="11" t="s">
        <v>122</v>
      </c>
      <c r="D31" s="64">
        <v>1429716.9811320701</v>
      </c>
      <c r="E31" s="59">
        <v>14</v>
      </c>
    </row>
    <row r="32" spans="1:5" ht="15.6" x14ac:dyDescent="0.3">
      <c r="A32" t="s">
        <v>93</v>
      </c>
      <c r="B32" s="57" t="s">
        <v>117</v>
      </c>
      <c r="C32" s="11" t="s">
        <v>122</v>
      </c>
      <c r="D32" s="64">
        <v>1471707.6106582</v>
      </c>
      <c r="E32" s="59">
        <v>15</v>
      </c>
    </row>
    <row r="33" spans="1:5" ht="15.6" x14ac:dyDescent="0.3">
      <c r="A33" t="s">
        <v>93</v>
      </c>
      <c r="B33" s="57" t="s">
        <v>36</v>
      </c>
      <c r="C33" s="11" t="s">
        <v>122</v>
      </c>
      <c r="D33" s="64">
        <v>3024087.5912408698</v>
      </c>
      <c r="E33" s="59">
        <v>30</v>
      </c>
    </row>
    <row r="34" spans="1:5" ht="15.6" x14ac:dyDescent="0.3">
      <c r="A34" t="s">
        <v>93</v>
      </c>
      <c r="B34" s="57" t="s">
        <v>66</v>
      </c>
      <c r="C34" s="11" t="s">
        <v>122</v>
      </c>
      <c r="D34" s="64">
        <v>10916167.6646706</v>
      </c>
      <c r="E34" s="59">
        <v>109</v>
      </c>
    </row>
    <row r="35" spans="1:5" ht="15.6" x14ac:dyDescent="0.3">
      <c r="A35" t="s">
        <v>93</v>
      </c>
      <c r="B35" s="57" t="s">
        <v>41</v>
      </c>
      <c r="C35" s="11" t="s">
        <v>123</v>
      </c>
      <c r="D35" s="64">
        <v>500000</v>
      </c>
      <c r="E35" s="59">
        <v>2</v>
      </c>
    </row>
    <row r="36" spans="1:5" ht="15.6" x14ac:dyDescent="0.3">
      <c r="A36" t="s">
        <v>94</v>
      </c>
      <c r="B36" s="57" t="s">
        <v>13</v>
      </c>
      <c r="C36" s="11" t="s">
        <v>123</v>
      </c>
      <c r="D36" s="64">
        <v>108674.22047244001</v>
      </c>
      <c r="E36" s="59">
        <v>0</v>
      </c>
    </row>
    <row r="37" spans="1:5" ht="15.6" x14ac:dyDescent="0.3">
      <c r="A37" t="s">
        <v>94</v>
      </c>
      <c r="B37" s="57" t="s">
        <v>14</v>
      </c>
      <c r="C37" s="11" t="s">
        <v>123</v>
      </c>
      <c r="D37" s="64">
        <v>41816259</v>
      </c>
      <c r="E37" s="59">
        <v>167</v>
      </c>
    </row>
    <row r="38" spans="1:5" ht="15.6" x14ac:dyDescent="0.3">
      <c r="A38" t="s">
        <v>94</v>
      </c>
      <c r="B38" s="57" t="s">
        <v>22</v>
      </c>
      <c r="C38" s="11" t="s">
        <v>123</v>
      </c>
      <c r="D38" s="64">
        <v>8451138.8397317808</v>
      </c>
      <c r="E38" s="59">
        <v>34</v>
      </c>
    </row>
    <row r="39" spans="1:5" ht="15.6" x14ac:dyDescent="0.3">
      <c r="A39" t="s">
        <v>95</v>
      </c>
      <c r="B39" s="57" t="s">
        <v>23</v>
      </c>
      <c r="C39" s="11" t="s">
        <v>123</v>
      </c>
      <c r="D39" s="64">
        <v>1324278.3102795701</v>
      </c>
      <c r="E39" s="59">
        <v>5</v>
      </c>
    </row>
    <row r="40" spans="1:5" ht="15.6" x14ac:dyDescent="0.3">
      <c r="A40" t="s">
        <v>96</v>
      </c>
      <c r="B40" s="57" t="s">
        <v>132</v>
      </c>
      <c r="C40" s="11" t="s">
        <v>123</v>
      </c>
      <c r="D40" s="64">
        <v>0</v>
      </c>
      <c r="E40" s="59">
        <v>0</v>
      </c>
    </row>
    <row r="41" spans="1:5" ht="15.6" x14ac:dyDescent="0.3">
      <c r="A41" t="s">
        <v>96</v>
      </c>
      <c r="B41" s="57" t="s">
        <v>131</v>
      </c>
      <c r="C41" s="11" t="s">
        <v>123</v>
      </c>
      <c r="D41" s="64">
        <v>0</v>
      </c>
      <c r="E41" s="59">
        <v>0</v>
      </c>
    </row>
    <row r="42" spans="1:5" ht="15.6" x14ac:dyDescent="0.3">
      <c r="A42" t="s">
        <v>96</v>
      </c>
      <c r="B42" s="57" t="s">
        <v>12</v>
      </c>
      <c r="C42" s="11" t="s">
        <v>123</v>
      </c>
      <c r="D42" s="64">
        <v>4548780.4878048701</v>
      </c>
      <c r="E42" s="59">
        <v>18</v>
      </c>
    </row>
    <row r="43" spans="1:5" ht="15.6" x14ac:dyDescent="0.3">
      <c r="A43" t="s">
        <v>93</v>
      </c>
      <c r="B43" s="57" t="s">
        <v>117</v>
      </c>
      <c r="C43" s="11" t="s">
        <v>123</v>
      </c>
      <c r="D43" s="64">
        <v>2240601.5037593902</v>
      </c>
      <c r="E43" s="59">
        <v>9</v>
      </c>
    </row>
    <row r="44" spans="1:5" ht="15.6" x14ac:dyDescent="0.3">
      <c r="A44" t="s">
        <v>93</v>
      </c>
      <c r="B44" s="57" t="s">
        <v>36</v>
      </c>
      <c r="C44" s="11" t="s">
        <v>123</v>
      </c>
      <c r="D44" s="64">
        <v>6833333.3333333302</v>
      </c>
      <c r="E44" s="59">
        <v>27</v>
      </c>
    </row>
    <row r="45" spans="1:5" ht="15.6" x14ac:dyDescent="0.3">
      <c r="A45" t="s">
        <v>93</v>
      </c>
      <c r="B45" s="57" t="s">
        <v>66</v>
      </c>
      <c r="C45" s="11" t="s">
        <v>123</v>
      </c>
      <c r="D45" s="64">
        <v>51271540.469973803</v>
      </c>
      <c r="E45" s="59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Status</vt:lpstr>
      <vt:lpstr>Running Time</vt:lpstr>
      <vt:lpstr>Overall</vt:lpstr>
      <vt:lpstr>H3K27ac</vt:lpstr>
      <vt:lpstr>RNAPII</vt:lpstr>
      <vt:lpstr>CTCF</vt:lpstr>
      <vt:lpstr>Number of Loops</vt:lpstr>
      <vt:lpstr>line_graph</vt:lpstr>
      <vt:lpstr>new_line_graph</vt:lpstr>
      <vt:lpstr>new_ctcf</vt:lpstr>
      <vt:lpstr>ctcf seq dpt</vt:lpstr>
      <vt:lpstr>new_h3k27ac</vt:lpstr>
      <vt:lpstr>h3k27ac_seq_depth</vt:lpstr>
      <vt:lpstr>new_rnapii</vt:lpstr>
      <vt:lpstr>rnapii_seq_depth</vt:lpstr>
      <vt:lpstr>loop count</vt:lpstr>
      <vt:lpstr>REM (2)</vt:lpstr>
      <vt:lpstr>REM</vt:lpstr>
      <vt:lpstr>Sheet1</vt:lpstr>
      <vt:lpstr>new overall score</vt:lpstr>
      <vt:lpstr>Sheet2</vt:lpstr>
      <vt:lpstr>new running time</vt:lpstr>
      <vt:lpstr>ApaScore</vt:lpstr>
      <vt:lpstr>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2024-02-26T21:24:14Z</dcterms:modified>
</cp:coreProperties>
</file>