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mgai\Desktop\P1 dataset &amp; files\"/>
    </mc:Choice>
  </mc:AlternateContent>
  <xr:revisionPtr revIDLastSave="0" documentId="13_ncr:9_{C4B77422-2A27-43B9-8575-3334609CED66}" xr6:coauthVersionLast="47" xr6:coauthVersionMax="47" xr10:uidLastSave="{00000000-0000-0000-0000-000000000000}"/>
  <bookViews>
    <workbookView xWindow="-120" yWindow="-120" windowWidth="29040" windowHeight="15720" xr2:uid="{D3063AF9-2497-48A2-952C-3E58D744CAC1}"/>
  </bookViews>
  <sheets>
    <sheet name="ETL GM#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20" i="1"/>
  <c r="A5" i="1"/>
  <c r="A11" i="1"/>
  <c r="A29" i="1"/>
  <c r="BI3" i="2"/>
  <c r="BH3" i="2"/>
  <c r="BG3" i="2"/>
  <c r="BF3" i="2"/>
  <c r="BE3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48" i="1"/>
  <c r="A40" i="1"/>
  <c r="A4" i="1"/>
  <c r="A12" i="1"/>
  <c r="A30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7" i="1"/>
  <c r="A46" i="1"/>
  <c r="A45" i="1"/>
  <c r="A44" i="1"/>
  <c r="A43" i="1"/>
  <c r="A42" i="1"/>
  <c r="A41" i="1"/>
  <c r="A39" i="1"/>
  <c r="A38" i="1"/>
  <c r="A37" i="1"/>
  <c r="A36" i="1"/>
  <c r="A35" i="1"/>
  <c r="A34" i="1"/>
  <c r="A33" i="1"/>
  <c r="A32" i="1"/>
  <c r="A31" i="1"/>
  <c r="A28" i="1"/>
  <c r="A27" i="1"/>
  <c r="A26" i="1"/>
  <c r="A25" i="1"/>
  <c r="A24" i="1"/>
  <c r="A22" i="1"/>
  <c r="A21" i="1"/>
  <c r="A19" i="1"/>
  <c r="A18" i="1"/>
  <c r="A17" i="1"/>
  <c r="A16" i="1"/>
  <c r="A15" i="1"/>
  <c r="A14" i="1"/>
  <c r="A13" i="1"/>
  <c r="A10" i="1"/>
  <c r="A9" i="1"/>
  <c r="A8" i="1"/>
  <c r="A7" i="1"/>
  <c r="A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 Gaikhe</author>
  </authors>
  <commentList>
    <comment ref="A4" authorId="0" shapeId="0" xr:uid="{5D9B95A1-8B96-4719-BF51-E6CA438169B9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Line graph of revenue 
mix with bar diagram of gross profit/loss and net inncome/loss
 </t>
        </r>
      </text>
    </comment>
    <comment ref="A16" authorId="0" shapeId="0" xr:uid="{9FDF87FA-B979-4D9F-9D61-19C24671561C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pie chart of latest year 
or 
requested year 
</t>
        </r>
      </text>
    </comment>
    <comment ref="A29" authorId="0" shapeId="0" xr:uid="{ED8EAF0F-A385-49FE-891F-366AEB2378A9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total netcashflow 
add op cash, investing (sub in case negative), Fin activities
- bar diagram </t>
        </r>
      </text>
    </comment>
    <comment ref="A48" authorId="0" shapeId="0" xr:uid="{67DD6770-CDE2-4965-B90A-C2000A703907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show efficiency of maangmwnt 
</t>
        </r>
      </text>
    </comment>
    <comment ref="A64" authorId="0" shapeId="0" xr:uid="{F59B7B1B-5F1F-495E-AED9-6CA21BEC035C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pie chart of this of the latest year 
</t>
        </r>
      </text>
    </comment>
    <comment ref="A67" authorId="0" shapeId="0" xr:uid="{EA51F0DB-91CA-44B2-B318-0C3E94E2B9E1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histogram chart of Net sales and revenue comparing us and non-us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Om Gaikhe</author>
  </authors>
  <commentList>
    <comment ref="B3" authorId="0" shapeId="0" xr:uid="{A21A21AA-6B64-4506-8868-A19D4D9290DE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Line graph of revenue 
mix with bar diagram of gross profit/loss and net inncome/loss
 </t>
        </r>
      </text>
    </comment>
    <comment ref="N3" authorId="0" shapeId="0" xr:uid="{2EC4B418-3B93-4944-BF46-090205117929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pie chart of latest year 
or 
requested year 
</t>
        </r>
      </text>
    </comment>
    <comment ref="AA3" authorId="0" shapeId="0" xr:uid="{493287C1-46EA-4BAA-8152-70CD6E9BB991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total netcashflow 
add op cash, investing (sub in case negative), Fin activities
- bar diagram </t>
        </r>
      </text>
    </comment>
    <comment ref="AT3" authorId="0" shapeId="0" xr:uid="{1631ACF3-726F-48C6-9B69-15B0553FB800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show efficiency of maangmwnt 
</t>
        </r>
      </text>
    </comment>
    <comment ref="BJ3" authorId="0" shapeId="0" xr:uid="{CB19A20A-71F2-43CB-88C8-D0940D002E85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pie chart of this of the latest year 
</t>
        </r>
      </text>
    </comment>
    <comment ref="BM3" authorId="0" shapeId="0" xr:uid="{6F4B1665-F712-437F-BFF3-E48BC7C3309C}">
      <text>
        <r>
          <rPr>
            <b/>
            <sz val="11"/>
            <color indexed="81"/>
            <rFont val="Tahoma"/>
            <family val="2"/>
          </rPr>
          <t>Om Gaikhe:</t>
        </r>
        <r>
          <rPr>
            <sz val="11"/>
            <color indexed="81"/>
            <rFont val="Tahoma"/>
            <family val="2"/>
          </rPr>
          <t xml:space="preserve">
heat map of us - non us  operations 
</t>
        </r>
      </text>
    </comment>
  </commentList>
</comments>
</file>

<file path=xl/sharedStrings.xml><?xml version="1.0" encoding="utf-8"?>
<sst xmlns="http://schemas.openxmlformats.org/spreadsheetml/2006/main" count="328" uniqueCount="25">
  <si>
    <t/>
  </si>
  <si>
    <t>Company: General Motors (NYS: GM)</t>
  </si>
  <si>
    <t>FY 2021</t>
  </si>
  <si>
    <t>FY 2020</t>
  </si>
  <si>
    <t>FY 2019</t>
  </si>
  <si>
    <t>FY 2018</t>
  </si>
  <si>
    <t>FY 2017</t>
  </si>
  <si>
    <t>FY 2016</t>
  </si>
  <si>
    <t>FY 2015</t>
  </si>
  <si>
    <t>FY 2014</t>
  </si>
  <si>
    <t>FY 2013</t>
  </si>
  <si>
    <t>FY 2012</t>
  </si>
  <si>
    <t>FY 2011</t>
  </si>
  <si>
    <t>FY 2010</t>
  </si>
  <si>
    <t>FY 2009</t>
  </si>
  <si>
    <t>FY 2008</t>
  </si>
  <si>
    <t>U.S.</t>
  </si>
  <si>
    <t>Non-U.S.</t>
  </si>
  <si>
    <t xml:space="preserve">US; Area Asset turnover </t>
  </si>
  <si>
    <t>Net sales and revenue</t>
  </si>
  <si>
    <t>Long-lived assets</t>
  </si>
  <si>
    <t>Asset turnover by geographic area (Turnover ratio)</t>
  </si>
  <si>
    <t>Non-US. Area asset turnover</t>
  </si>
  <si>
    <t xml:space="preserve">Fisacal year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</si>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</sst>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5" formatCode="#,##0;[Red]\(#,##0\)"/>
    <numFmt numFmtId="166" formatCode="#,##0.00;[Red]\(#,##0.00\)"/>
    <numFmt numFmtId="167" formatCode="[$-409]#,##0.00_);[Red]\(#,##0.00\)"/>
    <numFmt numFmtId="168" formatCode="#,##0.00%;[Red]\-#,##0.00%"/>
    <numFmt numFmtId="172" formatCode="#,##0.00;\-#,##0.00;&quot;—&quot;"/>
    <numFmt numFmtId="173" formatCode="#,##0_);\(#,##0\);&quot;—&quot;"/>
  </numFmts>
  <fonts count="13" x14ac:knownFonts="1">
    <font>
      <sz val="11"/>
      <color theme="1"/>
      <name val="Calibri"/>
      <family val="2"/>
      <scheme val="minor"/>
    </font>
    <font>
      <sz val="11"/>
      <color rgb="FF010000"/>
      <name val="Calibri"/>
      <family val="2"/>
      <charset val="1"/>
    </font>
    <font>
      <b/>
      <sz val="10"/>
      <color rgb="FF010000"/>
      <name val="Calibri"/>
      <family val="2"/>
      <charset val="204"/>
    </font>
    <font>
      <sz val="10"/>
      <color rgb="FF010000"/>
      <name val="Calibri"/>
      <family val="2"/>
      <charset val="1"/>
    </font>
    <font>
      <b/>
      <u/>
      <sz val="16"/>
      <color rgb="FF010000"/>
      <name val="Calibri"/>
      <family val="2"/>
      <scheme val="minor"/>
    </font>
    <font>
      <b/>
      <sz val="11"/>
      <color theme="1"/>
      <name val="Consolas"/>
      <family val="3"/>
    </font>
    <font>
      <b/>
      <sz val="12"/>
      <color rgb="FF010000"/>
      <name val="Calibri"/>
      <family val="2"/>
      <charset val="204"/>
    </font>
    <font>
      <b/>
      <sz val="12"/>
      <color rgb="FF010000"/>
      <name val="Calibri"/>
      <family val="2"/>
    </font>
    <font>
      <sz val="11"/>
      <color indexed="81"/>
      <name val="Tahoma"/>
      <family val="2"/>
    </font>
    <font>
      <b/>
      <sz val="11"/>
      <color indexed="81"/>
      <name val="Tahoma"/>
      <family val="2"/>
    </font>
    <font>
      <b/>
      <sz val="12"/>
      <color rgb="FF252525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D8D8D8"/>
        <bgColor rgb="FFBFBFBF"/>
      </patternFill>
    </fill>
    <fill>
      <patternFill patternType="solid">
        <fgColor rgb="FFFFFF00"/>
        <bgColor rgb="FFF2F2F2"/>
      </patternFill>
    </fill>
    <fill>
      <patternFill patternType="solid">
        <fgColor theme="0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rgb="FF252525"/>
      </bottom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0" fillId="3" borderId="0" xfId="0" applyFill="1"/>
    <xf numFmtId="0" fontId="5" fillId="0" borderId="0" xfId="0" applyFont="1"/>
    <xf numFmtId="0" fontId="4" fillId="0" borderId="3" xfId="0" applyFont="1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166" fontId="2" fillId="7" borderId="0" xfId="0" applyNumberFormat="1" applyFont="1" applyFill="1" applyBorder="1" applyAlignment="1">
      <alignment horizontal="right" vertical="top"/>
    </xf>
    <xf numFmtId="166" fontId="2" fillId="7" borderId="6" xfId="0" applyNumberFormat="1" applyFont="1" applyFill="1" applyBorder="1" applyAlignment="1">
      <alignment horizontal="right" vertical="top"/>
    </xf>
    <xf numFmtId="0" fontId="3" fillId="4" borderId="5" xfId="0" applyFont="1" applyFill="1" applyBorder="1" applyAlignment="1">
      <alignment horizontal="left" vertical="top"/>
    </xf>
    <xf numFmtId="165" fontId="3" fillId="2" borderId="0" xfId="0" applyNumberFormat="1" applyFont="1" applyFill="1" applyBorder="1" applyAlignment="1">
      <alignment horizontal="right" vertical="top"/>
    </xf>
    <xf numFmtId="165" fontId="3" fillId="2" borderId="6" xfId="0" applyNumberFormat="1" applyFont="1" applyFill="1" applyBorder="1" applyAlignment="1">
      <alignment horizontal="right" vertical="top"/>
    </xf>
    <xf numFmtId="0" fontId="3" fillId="5" borderId="5" xfId="0" applyFont="1" applyFill="1" applyBorder="1" applyAlignment="1">
      <alignment horizontal="left" vertical="top"/>
    </xf>
    <xf numFmtId="166" fontId="3" fillId="2" borderId="0" xfId="0" applyNumberFormat="1" applyFont="1" applyFill="1" applyBorder="1" applyAlignment="1">
      <alignment horizontal="right" vertical="top"/>
    </xf>
    <xf numFmtId="166" fontId="3" fillId="2" borderId="6" xfId="0" applyNumberFormat="1" applyFont="1" applyFill="1" applyBorder="1" applyAlignment="1">
      <alignment horizontal="right" vertical="top"/>
    </xf>
    <xf numFmtId="0" fontId="3" fillId="2" borderId="5" xfId="0" applyFont="1" applyFill="1" applyBorder="1" applyAlignment="1">
      <alignment horizontal="left" vertical="top"/>
    </xf>
    <xf numFmtId="0" fontId="6" fillId="7" borderId="7" xfId="0" applyFont="1" applyFill="1" applyBorder="1" applyAlignment="1">
      <alignment horizontal="left" vertical="top" wrapText="1"/>
    </xf>
    <xf numFmtId="168" fontId="3" fillId="2" borderId="0" xfId="0" applyNumberFormat="1" applyFont="1" applyFill="1" applyBorder="1" applyAlignment="1">
      <alignment horizontal="right" vertical="top"/>
    </xf>
    <xf numFmtId="168" fontId="3" fillId="2" borderId="6" xfId="0" applyNumberFormat="1" applyFont="1" applyFill="1" applyBorder="1" applyAlignment="1">
      <alignment horizontal="right" vertical="top"/>
    </xf>
    <xf numFmtId="167" fontId="3" fillId="2" borderId="0" xfId="0" applyNumberFormat="1" applyFont="1" applyFill="1" applyBorder="1" applyAlignment="1">
      <alignment horizontal="right" vertical="top"/>
    </xf>
    <xf numFmtId="167" fontId="3" fillId="2" borderId="6" xfId="0" applyNumberFormat="1" applyFont="1" applyFill="1" applyBorder="1" applyAlignment="1">
      <alignment horizontal="right" vertical="top"/>
    </xf>
    <xf numFmtId="0" fontId="3" fillId="2" borderId="8" xfId="0" applyFont="1" applyFill="1" applyBorder="1" applyAlignment="1">
      <alignment horizontal="left" vertical="top"/>
    </xf>
    <xf numFmtId="0" fontId="5" fillId="3" borderId="2" xfId="0" applyFont="1" applyFill="1" applyBorder="1"/>
    <xf numFmtId="0" fontId="7" fillId="6" borderId="2" xfId="0" applyFont="1" applyFill="1" applyBorder="1" applyAlignment="1">
      <alignment horizontal="left" vertical="top" wrapText="1"/>
    </xf>
    <xf numFmtId="166" fontId="2" fillId="7" borderId="2" xfId="0" applyNumberFormat="1" applyFont="1" applyFill="1" applyBorder="1" applyAlignment="1">
      <alignment horizontal="right" vertical="top"/>
    </xf>
    <xf numFmtId="0" fontId="6" fillId="6" borderId="2" xfId="0" applyFont="1" applyFill="1" applyBorder="1" applyAlignment="1">
      <alignment horizontal="left" vertical="top" wrapText="1"/>
    </xf>
    <xf numFmtId="0" fontId="5" fillId="3" borderId="11" xfId="0" applyFont="1" applyFill="1" applyBorder="1"/>
    <xf numFmtId="166" fontId="2" fillId="7" borderId="11" xfId="0" applyNumberFormat="1" applyFont="1" applyFill="1" applyBorder="1" applyAlignment="1">
      <alignment horizontal="right" vertical="top"/>
    </xf>
    <xf numFmtId="165" fontId="3" fillId="2" borderId="12" xfId="0" applyNumberFormat="1" applyFont="1" applyFill="1" applyBorder="1" applyAlignment="1">
      <alignment horizontal="right" vertical="top"/>
    </xf>
    <xf numFmtId="166" fontId="3" fillId="2" borderId="12" xfId="0" applyNumberFormat="1" applyFont="1" applyFill="1" applyBorder="1" applyAlignment="1">
      <alignment horizontal="right" vertical="top"/>
    </xf>
    <xf numFmtId="166" fontId="2" fillId="7" borderId="12" xfId="0" applyNumberFormat="1" applyFont="1" applyFill="1" applyBorder="1" applyAlignment="1">
      <alignment horizontal="right" vertical="top"/>
    </xf>
    <xf numFmtId="168" fontId="3" fillId="2" borderId="12" xfId="0" applyNumberFormat="1" applyFont="1" applyFill="1" applyBorder="1" applyAlignment="1">
      <alignment horizontal="right" vertical="top"/>
    </xf>
    <xf numFmtId="167" fontId="3" fillId="2" borderId="12" xfId="0" applyNumberFormat="1" applyFont="1" applyFill="1" applyBorder="1" applyAlignment="1">
      <alignment horizontal="right" vertical="top"/>
    </xf>
    <xf numFmtId="167" fontId="3" fillId="5" borderId="12" xfId="0" applyNumberFormat="1" applyFont="1" applyFill="1" applyBorder="1" applyAlignment="1">
      <alignment horizontal="right" vertical="top"/>
    </xf>
    <xf numFmtId="166" fontId="3" fillId="4" borderId="12" xfId="0" applyNumberFormat="1" applyFont="1" applyFill="1" applyBorder="1" applyAlignment="1">
      <alignment horizontal="right" vertical="top"/>
    </xf>
    <xf numFmtId="167" fontId="3" fillId="2" borderId="13" xfId="0" applyNumberFormat="1" applyFont="1" applyFill="1" applyBorder="1" applyAlignment="1">
      <alignment horizontal="right" vertical="top"/>
    </xf>
    <xf numFmtId="0" fontId="0" fillId="6" borderId="0" xfId="0" applyFill="1" applyBorder="1"/>
    <xf numFmtId="172" fontId="0" fillId="0" borderId="0" xfId="0" applyNumberFormat="1" applyBorder="1" applyAlignment="1">
      <alignment horizontal="right"/>
    </xf>
    <xf numFmtId="173" fontId="0" fillId="0" borderId="0" xfId="0" applyNumberFormat="1" applyBorder="1" applyAlignment="1">
      <alignment horizontal="right"/>
    </xf>
    <xf numFmtId="165" fontId="3" fillId="2" borderId="5" xfId="0" applyNumberFormat="1" applyFont="1" applyFill="1" applyBorder="1" applyAlignment="1">
      <alignment horizontal="right" vertical="top"/>
    </xf>
    <xf numFmtId="166" fontId="3" fillId="2" borderId="5" xfId="0" applyNumberFormat="1" applyFont="1" applyFill="1" applyBorder="1" applyAlignment="1">
      <alignment horizontal="right" vertical="top"/>
    </xf>
    <xf numFmtId="166" fontId="2" fillId="7" borderId="5" xfId="0" applyNumberFormat="1" applyFont="1" applyFill="1" applyBorder="1" applyAlignment="1">
      <alignment horizontal="right" vertical="top"/>
    </xf>
    <xf numFmtId="168" fontId="3" fillId="2" borderId="5" xfId="0" applyNumberFormat="1" applyFont="1" applyFill="1" applyBorder="1" applyAlignment="1">
      <alignment horizontal="right" vertical="top"/>
    </xf>
    <xf numFmtId="167" fontId="3" fillId="2" borderId="5" xfId="0" applyNumberFormat="1" applyFont="1" applyFill="1" applyBorder="1" applyAlignment="1">
      <alignment horizontal="right" vertical="top"/>
    </xf>
    <xf numFmtId="167" fontId="3" fillId="5" borderId="5" xfId="0" applyNumberFormat="1" applyFont="1" applyFill="1" applyBorder="1" applyAlignment="1">
      <alignment horizontal="right" vertical="top"/>
    </xf>
    <xf numFmtId="166" fontId="3" fillId="4" borderId="5" xfId="0" applyNumberFormat="1" applyFont="1" applyFill="1" applyBorder="1" applyAlignment="1">
      <alignment horizontal="right" vertical="top"/>
    </xf>
    <xf numFmtId="167" fontId="3" fillId="2" borderId="8" xfId="0" applyNumberFormat="1" applyFont="1" applyFill="1" applyBorder="1" applyAlignment="1">
      <alignment horizontal="right" vertical="top"/>
    </xf>
    <xf numFmtId="166" fontId="3" fillId="5" borderId="5" xfId="0" applyNumberFormat="1" applyFont="1" applyFill="1" applyBorder="1" applyAlignment="1">
      <alignment horizontal="right" vertical="top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0" fillId="6" borderId="14" xfId="0" applyFont="1" applyFill="1" applyBorder="1" applyAlignment="1">
      <alignment horizontal="left" vertical="top"/>
    </xf>
    <xf numFmtId="0" fontId="0" fillId="6" borderId="1" xfId="0" applyFill="1" applyBorder="1"/>
    <xf numFmtId="0" fontId="0" fillId="6" borderId="4" xfId="0" applyFill="1" applyBorder="1"/>
    <xf numFmtId="0" fontId="0" fillId="8" borderId="0" xfId="0" applyFill="1" applyBorder="1" applyAlignment="1">
      <alignment horizontal="left" wrapText="1" indent="1"/>
    </xf>
    <xf numFmtId="172" fontId="0" fillId="0" borderId="6" xfId="0" applyNumberFormat="1" applyBorder="1" applyAlignment="1">
      <alignment horizontal="right"/>
    </xf>
    <xf numFmtId="0" fontId="11" fillId="6" borderId="0" xfId="0" applyFont="1" applyFill="1" applyBorder="1" applyAlignment="1">
      <alignment vertical="top"/>
    </xf>
    <xf numFmtId="0" fontId="0" fillId="6" borderId="6" xfId="0" applyFill="1" applyBorder="1"/>
    <xf numFmtId="0" fontId="0" fillId="8" borderId="0" xfId="0" applyFill="1" applyBorder="1" applyAlignment="1">
      <alignment horizontal="left" wrapText="1" indent="2"/>
    </xf>
    <xf numFmtId="173" fontId="0" fillId="0" borderId="6" xfId="0" applyNumberFormat="1" applyBorder="1" applyAlignment="1">
      <alignment horizontal="right"/>
    </xf>
    <xf numFmtId="0" fontId="0" fillId="0" borderId="0" xfId="0" applyBorder="1" applyAlignment="1">
      <alignment horizontal="left" wrapText="1" indent="2"/>
    </xf>
    <xf numFmtId="0" fontId="0" fillId="0" borderId="9" xfId="0" applyBorder="1" applyAlignment="1">
      <alignment horizontal="left" wrapText="1" indent="2"/>
    </xf>
    <xf numFmtId="173" fontId="0" fillId="0" borderId="9" xfId="0" applyNumberFormat="1" applyBorder="1" applyAlignment="1">
      <alignment horizontal="right"/>
    </xf>
    <xf numFmtId="173" fontId="0" fillId="0" borderId="10" xfId="0" applyNumberFormat="1" applyBorder="1" applyAlignment="1">
      <alignment horizontal="right"/>
    </xf>
    <xf numFmtId="0" fontId="3" fillId="4" borderId="2" xfId="0" applyFont="1" applyFill="1" applyBorder="1" applyAlignment="1">
      <alignment horizontal="left" vertical="top"/>
    </xf>
    <xf numFmtId="0" fontId="3" fillId="5" borderId="2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6" fillId="7" borderId="2" xfId="0" applyFont="1" applyFill="1" applyBorder="1" applyAlignment="1">
      <alignment horizontal="left" vertical="top" wrapText="1"/>
    </xf>
    <xf numFmtId="0" fontId="10" fillId="6" borderId="2" xfId="0" applyFont="1" applyFill="1" applyBorder="1" applyAlignment="1">
      <alignment horizontal="left" vertical="top"/>
    </xf>
    <xf numFmtId="0" fontId="0" fillId="8" borderId="2" xfId="0" applyFill="1" applyBorder="1" applyAlignment="1">
      <alignment horizontal="left" wrapText="1" indent="1"/>
    </xf>
    <xf numFmtId="0" fontId="11" fillId="6" borderId="2" xfId="0" applyFont="1" applyFill="1" applyBorder="1" applyAlignment="1">
      <alignment vertical="top"/>
    </xf>
    <xf numFmtId="0" fontId="0" fillId="8" borderId="2" xfId="0" applyFill="1" applyBorder="1" applyAlignment="1">
      <alignment horizontal="left" wrapText="1" indent="2"/>
    </xf>
    <xf numFmtId="0" fontId="0" fillId="0" borderId="2" xfId="0" applyBorder="1" applyAlignment="1">
      <alignment horizontal="left" wrapText="1" indent="2"/>
    </xf>
    <xf numFmtId="0" fontId="0" fillId="0" borderId="2" xfId="0" applyBorder="1"/>
    <xf numFmtId="165" fontId="3" fillId="2" borderId="2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168" fontId="3" fillId="2" borderId="2" xfId="0" applyNumberFormat="1" applyFont="1" applyFill="1" applyBorder="1" applyAlignment="1">
      <alignment horizontal="right" vertical="top"/>
    </xf>
    <xf numFmtId="167" fontId="3" fillId="2" borderId="2" xfId="0" applyNumberFormat="1" applyFont="1" applyFill="1" applyBorder="1" applyAlignment="1">
      <alignment horizontal="right" vertical="top"/>
    </xf>
    <xf numFmtId="167" fontId="3" fillId="5" borderId="2" xfId="0" applyNumberFormat="1" applyFont="1" applyFill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0" fillId="6" borderId="2" xfId="0" applyFill="1" applyBorder="1"/>
    <xf numFmtId="172" fontId="0" fillId="0" borderId="2" xfId="0" applyNumberFormat="1" applyBorder="1" applyAlignment="1">
      <alignment horizontal="right"/>
    </xf>
    <xf numFmtId="173" fontId="0" fillId="0" borderId="2" xfId="0" applyNumberFormat="1" applyBorder="1" applyAlignment="1">
      <alignment horizontal="right"/>
    </xf>
    <xf numFmtId="166" fontId="3" fillId="5" borderId="2" xfId="0" applyNumberFormat="1" applyFont="1" applyFill="1" applyBorder="1" applyAlignment="1">
      <alignment horizontal="right" vertical="top"/>
    </xf>
  </cellXfs>
  <cellStyles count="2">
    <cellStyle name="Normal" xfId="0" builtinId="0"/>
    <cellStyle name="Normal 2" xfId="1" xr:uid="{FD7241FC-1A9D-4735-936B-954FD0110751}"/>
  </cellStyles>
  <dxfs count="4"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  <dxf>
      <border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1E160-A43E-4B57-BE6B-62A8540FF497}">
  <dimension ref="A1:AD72"/>
  <sheetViews>
    <sheetView tabSelected="1" zoomScale="105" zoomScaleNormal="96" workbookViewId="0">
      <selection activeCell="F22" sqref="F22"/>
    </sheetView>
  </sheetViews>
  <sheetFormatPr defaultRowHeight="15" x14ac:dyDescent="0.25"/>
  <cols>
    <col min="1" max="1" width="51.140625" customWidth="1"/>
    <col min="2" max="2" width="17" customWidth="1"/>
    <col min="3" max="3" width="18.85546875" customWidth="1"/>
    <col min="4" max="4" width="17" customWidth="1"/>
    <col min="5" max="5" width="13.7109375" customWidth="1"/>
    <col min="6" max="6" width="15" customWidth="1"/>
    <col min="7" max="13" width="12.85546875" bestFit="1" customWidth="1"/>
    <col min="14" max="15" width="11.42578125" bestFit="1" customWidth="1"/>
  </cols>
  <sheetData>
    <row r="1" spans="1:30" ht="31.5" customHeight="1" x14ac:dyDescent="0.35">
      <c r="A1" s="3" t="s">
        <v>1</v>
      </c>
      <c r="B1" s="4"/>
      <c r="C1" s="4"/>
      <c r="D1" s="4"/>
      <c r="E1" s="4"/>
      <c r="F1" s="4"/>
    </row>
    <row r="2" spans="1:30" x14ac:dyDescent="0.25">
      <c r="A2" s="5"/>
      <c r="B2" s="6" t="s">
        <v>24</v>
      </c>
      <c r="C2" s="6"/>
      <c r="D2" s="6"/>
      <c r="E2" s="6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s="2" customFormat="1" x14ac:dyDescent="0.25">
      <c r="A3" s="23" t="s">
        <v>23</v>
      </c>
      <c r="B3" s="23" t="s">
        <v>2</v>
      </c>
      <c r="C3" s="23" t="s">
        <v>3</v>
      </c>
      <c r="D3" s="23" t="s">
        <v>4</v>
      </c>
      <c r="E3" s="23" t="s">
        <v>5</v>
      </c>
      <c r="F3" s="27" t="s">
        <v>6</v>
      </c>
      <c r="G3" s="27" t="s">
        <v>7</v>
      </c>
      <c r="H3" s="23" t="s">
        <v>8</v>
      </c>
      <c r="I3" s="23" t="s">
        <v>9</v>
      </c>
      <c r="J3" s="23" t="s">
        <v>10</v>
      </c>
      <c r="K3" s="23" t="s">
        <v>11</v>
      </c>
      <c r="L3" s="23" t="s">
        <v>12</v>
      </c>
      <c r="M3" s="23" t="s">
        <v>13</v>
      </c>
      <c r="N3" s="23" t="s">
        <v>14</v>
      </c>
      <c r="O3" s="23" t="s">
        <v>15</v>
      </c>
    </row>
    <row r="4" spans="1:30" ht="34.5" customHeight="1" x14ac:dyDescent="0.25">
      <c r="A4" s="24" t="str">
        <f>"Income Statement"</f>
        <v>Income Statement</v>
      </c>
      <c r="B4" s="25" t="s">
        <v>0</v>
      </c>
      <c r="C4" s="25" t="s">
        <v>0</v>
      </c>
      <c r="D4" s="25" t="s">
        <v>0</v>
      </c>
      <c r="E4" s="25" t="s">
        <v>0</v>
      </c>
      <c r="F4" s="28" t="s">
        <v>0</v>
      </c>
      <c r="G4" s="42" t="s">
        <v>0</v>
      </c>
      <c r="H4" s="42" t="s">
        <v>0</v>
      </c>
      <c r="I4" s="8" t="s">
        <v>0</v>
      </c>
      <c r="J4" s="8" t="s">
        <v>0</v>
      </c>
      <c r="K4" s="8" t="s">
        <v>0</v>
      </c>
      <c r="L4" s="8" t="s">
        <v>0</v>
      </c>
      <c r="M4" s="8" t="s">
        <v>0</v>
      </c>
      <c r="N4" s="8" t="s">
        <v>0</v>
      </c>
      <c r="O4" s="9" t="s">
        <v>0</v>
      </c>
    </row>
    <row r="5" spans="1:30" x14ac:dyDescent="0.25">
      <c r="A5" s="10" t="str">
        <f>"    Total Revenue"</f>
        <v xml:space="preserve">    Total Revenue</v>
      </c>
      <c r="B5" s="29">
        <v>127004000</v>
      </c>
      <c r="C5" s="29">
        <v>122485000</v>
      </c>
      <c r="D5" s="29">
        <v>137237000</v>
      </c>
      <c r="E5" s="29">
        <v>147049000</v>
      </c>
      <c r="F5" s="40">
        <v>145588000</v>
      </c>
      <c r="G5" s="40">
        <v>149184000</v>
      </c>
      <c r="H5" s="40">
        <v>135725000</v>
      </c>
      <c r="I5" s="11">
        <v>155929000</v>
      </c>
      <c r="J5" s="11">
        <v>155427000</v>
      </c>
      <c r="K5" s="11">
        <v>152256000</v>
      </c>
      <c r="L5" s="11">
        <v>150276000</v>
      </c>
      <c r="M5" s="11">
        <v>135592000</v>
      </c>
      <c r="N5" s="11">
        <v>104589000</v>
      </c>
      <c r="O5" s="12">
        <v>148979000</v>
      </c>
    </row>
    <row r="6" spans="1:30" x14ac:dyDescent="0.25">
      <c r="A6" s="10" t="str">
        <f>"    Gross Profit"</f>
        <v xml:space="preserve">    Gross Profit</v>
      </c>
      <c r="B6" s="29">
        <v>17878000</v>
      </c>
      <c r="C6" s="29">
        <v>13672000</v>
      </c>
      <c r="D6" s="29">
        <v>13972000</v>
      </c>
      <c r="E6" s="29">
        <v>14095000</v>
      </c>
      <c r="F6" s="40">
        <v>18231000</v>
      </c>
      <c r="G6" s="40">
        <v>19031000</v>
      </c>
      <c r="H6" s="40">
        <v>17426000</v>
      </c>
      <c r="I6" s="11">
        <v>13808000</v>
      </c>
      <c r="J6" s="11">
        <v>18054000</v>
      </c>
      <c r="K6" s="11">
        <v>10813000</v>
      </c>
      <c r="L6" s="11">
        <v>19105000</v>
      </c>
      <c r="M6" s="11">
        <v>16672000</v>
      </c>
      <c r="N6" s="11">
        <v>-7606000</v>
      </c>
      <c r="O6" s="12">
        <v>-278000</v>
      </c>
    </row>
    <row r="7" spans="1:30" x14ac:dyDescent="0.25">
      <c r="A7" s="13" t="str">
        <f>"    Total Operating Profit/(Loss)"</f>
        <v xml:space="preserve">    Total Operating Profit/(Loss)</v>
      </c>
      <c r="B7" s="29">
        <v>9324000</v>
      </c>
      <c r="C7" s="29">
        <v>6634000</v>
      </c>
      <c r="D7" s="29">
        <v>5481000</v>
      </c>
      <c r="E7" s="29">
        <v>4445000</v>
      </c>
      <c r="F7" s="40">
        <v>8661000</v>
      </c>
      <c r="G7" s="40">
        <v>8686000</v>
      </c>
      <c r="H7" s="40">
        <v>5538000</v>
      </c>
      <c r="I7" s="11">
        <v>1650000</v>
      </c>
      <c r="J7" s="11">
        <v>5672000</v>
      </c>
      <c r="K7" s="11">
        <v>-3218000</v>
      </c>
      <c r="L7" s="11">
        <v>6942000</v>
      </c>
      <c r="M7" s="11">
        <v>5108000</v>
      </c>
      <c r="N7" s="11">
        <v>-21023000</v>
      </c>
      <c r="O7" s="12">
        <v>-20620000</v>
      </c>
    </row>
    <row r="8" spans="1:30" x14ac:dyDescent="0.25">
      <c r="A8" s="13" t="str">
        <f>"    EBITDA (Analyst Normalized)"</f>
        <v xml:space="preserve">    EBITDA (Analyst Normalized)</v>
      </c>
      <c r="B8" s="29">
        <v>26097000</v>
      </c>
      <c r="C8" s="29">
        <v>21791620.25316456</v>
      </c>
      <c r="D8" s="29">
        <v>23731000</v>
      </c>
      <c r="E8" s="29">
        <v>17375500</v>
      </c>
      <c r="F8" s="40">
        <v>25087000</v>
      </c>
      <c r="G8" s="40">
        <v>22504923.076923076</v>
      </c>
      <c r="H8" s="40">
        <v>19160538.461538464</v>
      </c>
      <c r="I8" s="11">
        <v>15118615.384615386</v>
      </c>
      <c r="J8" s="11">
        <v>16137692.307692308</v>
      </c>
      <c r="K8" s="11">
        <v>10866000</v>
      </c>
      <c r="L8" s="11">
        <v>15703692.307692308</v>
      </c>
      <c r="M8" s="11">
        <v>14041000</v>
      </c>
      <c r="N8" s="11" t="s">
        <v>0</v>
      </c>
      <c r="O8" s="12" t="s">
        <v>0</v>
      </c>
    </row>
    <row r="9" spans="1:30" x14ac:dyDescent="0.25">
      <c r="A9" s="13" t="str">
        <f>"    EBIT (Analyst Normalized)"</f>
        <v xml:space="preserve">    EBIT (Analyst Normalized)</v>
      </c>
      <c r="B9" s="29">
        <v>14027000</v>
      </c>
      <c r="C9" s="29">
        <v>9093620.2531645559</v>
      </c>
      <c r="D9" s="29">
        <v>9688000</v>
      </c>
      <c r="E9" s="29">
        <v>11774000</v>
      </c>
      <c r="F9" s="40">
        <v>12826000</v>
      </c>
      <c r="G9" s="40">
        <v>12685923.076923076</v>
      </c>
      <c r="H9" s="40">
        <v>11673538.461538462</v>
      </c>
      <c r="I9" s="11">
        <v>7880615.384615385</v>
      </c>
      <c r="J9" s="11">
        <v>8096692.307692308</v>
      </c>
      <c r="K9" s="11">
        <v>-27896000</v>
      </c>
      <c r="L9" s="11">
        <v>8276692.307692308</v>
      </c>
      <c r="M9" s="11">
        <v>7111000</v>
      </c>
      <c r="N9" s="11" t="s">
        <v>0</v>
      </c>
      <c r="O9" s="12" t="s">
        <v>0</v>
      </c>
    </row>
    <row r="10" spans="1:30" x14ac:dyDescent="0.25">
      <c r="A10" s="13" t="str">
        <f>"    Net Income from Continuing Operations"</f>
        <v xml:space="preserve">    Net Income from Continuing Operations</v>
      </c>
      <c r="B10" s="29">
        <v>9945000</v>
      </c>
      <c r="C10" s="29">
        <v>6321000</v>
      </c>
      <c r="D10" s="29">
        <v>6667000</v>
      </c>
      <c r="E10" s="29">
        <v>8075000</v>
      </c>
      <c r="F10" s="40">
        <v>330000</v>
      </c>
      <c r="G10" s="40">
        <v>9269000</v>
      </c>
      <c r="H10" s="40">
        <v>9590000</v>
      </c>
      <c r="I10" s="11">
        <v>4018000</v>
      </c>
      <c r="J10" s="11">
        <v>5331000</v>
      </c>
      <c r="K10" s="11">
        <v>6136000</v>
      </c>
      <c r="L10" s="11">
        <v>9287000</v>
      </c>
      <c r="M10" s="11">
        <v>6503000</v>
      </c>
      <c r="N10" s="11">
        <v>105217000</v>
      </c>
      <c r="O10" s="12">
        <v>-31051000</v>
      </c>
    </row>
    <row r="11" spans="1:30" x14ac:dyDescent="0.25">
      <c r="A11" s="10" t="str">
        <f>"    Net Income (Analyst Normalized)"</f>
        <v xml:space="preserve">    Net Income (Analyst Normalized)</v>
      </c>
      <c r="B11" s="29">
        <v>10389000</v>
      </c>
      <c r="C11" s="29">
        <v>6681215.1898734178</v>
      </c>
      <c r="D11" s="29">
        <v>6932000</v>
      </c>
      <c r="E11" s="29">
        <v>9364000</v>
      </c>
      <c r="F11" s="40">
        <v>9879000</v>
      </c>
      <c r="G11" s="40">
        <v>9628250</v>
      </c>
      <c r="H11" s="40">
        <v>8421500</v>
      </c>
      <c r="I11" s="11">
        <v>5505500</v>
      </c>
      <c r="J11" s="11">
        <v>5566640</v>
      </c>
      <c r="K11" s="11" t="s">
        <v>0</v>
      </c>
      <c r="L11" s="11" t="s">
        <v>0</v>
      </c>
      <c r="M11" s="11" t="s">
        <v>0</v>
      </c>
      <c r="N11" s="11" t="s">
        <v>0</v>
      </c>
      <c r="O11" s="12" t="s">
        <v>0</v>
      </c>
    </row>
    <row r="12" spans="1:30" x14ac:dyDescent="0.25">
      <c r="A12" s="13" t="str">
        <f>"    Diluted EPS from Continuing operations"</f>
        <v xml:space="preserve">    Diluted EPS from Continuing operations</v>
      </c>
      <c r="B12" s="30">
        <v>6.7</v>
      </c>
      <c r="C12" s="30">
        <v>4.33</v>
      </c>
      <c r="D12" s="30">
        <v>4.57</v>
      </c>
      <c r="E12" s="30">
        <v>5.58</v>
      </c>
      <c r="F12" s="41">
        <v>0.22</v>
      </c>
      <c r="G12" s="41">
        <v>6</v>
      </c>
      <c r="H12" s="41">
        <v>5.89</v>
      </c>
      <c r="I12" s="14">
        <v>1.65</v>
      </c>
      <c r="J12" s="14">
        <v>2.38</v>
      </c>
      <c r="K12" s="14">
        <v>2.92</v>
      </c>
      <c r="L12" s="14">
        <v>4.58</v>
      </c>
      <c r="M12" s="14">
        <v>2.89</v>
      </c>
      <c r="N12" s="14">
        <v>113.18</v>
      </c>
      <c r="O12" s="15">
        <v>-53.47</v>
      </c>
    </row>
    <row r="13" spans="1:30" x14ac:dyDescent="0.25">
      <c r="A13" s="13" t="str">
        <f>"    EPS (Analyst Normalized)"</f>
        <v xml:space="preserve">    EPS (Analyst Normalized)</v>
      </c>
      <c r="B13" s="30">
        <v>7.0893429999999995</v>
      </c>
      <c r="C13" s="30">
        <v>4.5995540000000004</v>
      </c>
      <c r="D13" s="30">
        <v>4.8197939999999999</v>
      </c>
      <c r="E13" s="30">
        <v>6.54</v>
      </c>
      <c r="F13" s="41">
        <v>6.61</v>
      </c>
      <c r="G13" s="41">
        <v>6.1305999999999994</v>
      </c>
      <c r="H13" s="41">
        <v>5.04</v>
      </c>
      <c r="I13" s="14">
        <v>3.0301130000000001</v>
      </c>
      <c r="J13" s="14">
        <v>3.1483560000000002</v>
      </c>
      <c r="K13" s="14">
        <v>3.2865640000000003</v>
      </c>
      <c r="L13" s="14">
        <v>3.4523359999999998</v>
      </c>
      <c r="M13" s="14">
        <v>3.1381490000000003</v>
      </c>
      <c r="N13" s="14" t="s">
        <v>0</v>
      </c>
      <c r="O13" s="15" t="s">
        <v>0</v>
      </c>
    </row>
    <row r="14" spans="1:30" x14ac:dyDescent="0.25">
      <c r="A14" s="13" t="str">
        <f>"    Diluted Weighted Average Shares Outstanding"</f>
        <v xml:space="preserve">    Diluted Weighted Average Shares Outstanding</v>
      </c>
      <c r="B14" s="29">
        <v>1468000000</v>
      </c>
      <c r="C14" s="29">
        <v>1442000000</v>
      </c>
      <c r="D14" s="29">
        <v>1439000000</v>
      </c>
      <c r="E14" s="29">
        <v>1431000000</v>
      </c>
      <c r="F14" s="40">
        <v>1492000000</v>
      </c>
      <c r="G14" s="40">
        <v>1570000000</v>
      </c>
      <c r="H14" s="40">
        <v>1640000000</v>
      </c>
      <c r="I14" s="11">
        <v>1687000000</v>
      </c>
      <c r="J14" s="11">
        <v>1676000000</v>
      </c>
      <c r="K14" s="11">
        <v>1675000000</v>
      </c>
      <c r="L14" s="11">
        <v>1668000000</v>
      </c>
      <c r="M14" s="11">
        <v>1624000000</v>
      </c>
      <c r="N14" s="11">
        <v>925000000</v>
      </c>
      <c r="O14" s="12">
        <v>579000000</v>
      </c>
    </row>
    <row r="15" spans="1:30" x14ac:dyDescent="0.25">
      <c r="A15" s="13" t="str">
        <f>"    Common Dividend per Share (Ex-date)"</f>
        <v xml:space="preserve">    Common Dividend per Share (Ex-date)</v>
      </c>
      <c r="B15" s="30" t="s">
        <v>0</v>
      </c>
      <c r="C15" s="30">
        <v>0.38</v>
      </c>
      <c r="D15" s="30">
        <v>1.52</v>
      </c>
      <c r="E15" s="30">
        <v>1.52</v>
      </c>
      <c r="F15" s="41">
        <v>1.52</v>
      </c>
      <c r="G15" s="41">
        <v>1.52</v>
      </c>
      <c r="H15" s="41">
        <v>1.38</v>
      </c>
      <c r="I15" s="14">
        <v>1.2</v>
      </c>
      <c r="J15" s="14">
        <v>0</v>
      </c>
      <c r="K15" s="14" t="s">
        <v>0</v>
      </c>
      <c r="L15" s="14" t="s">
        <v>0</v>
      </c>
      <c r="M15" s="14" t="s">
        <v>0</v>
      </c>
      <c r="N15" s="14" t="s">
        <v>0</v>
      </c>
      <c r="O15" s="15" t="s">
        <v>0</v>
      </c>
    </row>
    <row r="16" spans="1:30" ht="38.25" customHeight="1" x14ac:dyDescent="0.25">
      <c r="A16" s="26" t="str">
        <f>"Balance Sheet"</f>
        <v>Balance Sheet</v>
      </c>
      <c r="B16" s="25" t="s">
        <v>0</v>
      </c>
      <c r="C16" s="25" t="s">
        <v>0</v>
      </c>
      <c r="D16" s="25" t="s">
        <v>0</v>
      </c>
      <c r="E16" s="25" t="s">
        <v>0</v>
      </c>
      <c r="F16" s="28" t="s">
        <v>0</v>
      </c>
      <c r="G16" s="42" t="s">
        <v>0</v>
      </c>
      <c r="H16" s="42" t="s">
        <v>0</v>
      </c>
      <c r="I16" s="8" t="s">
        <v>0</v>
      </c>
      <c r="J16" s="8" t="s">
        <v>0</v>
      </c>
      <c r="K16" s="8" t="s">
        <v>0</v>
      </c>
      <c r="L16" s="8" t="s">
        <v>0</v>
      </c>
      <c r="M16" s="8" t="s">
        <v>0</v>
      </c>
      <c r="N16" s="8" t="s">
        <v>0</v>
      </c>
      <c r="O16" s="9" t="s">
        <v>0</v>
      </c>
    </row>
    <row r="17" spans="1:15" x14ac:dyDescent="0.25">
      <c r="A17" s="10" t="str">
        <f>"    Total Current Assets"</f>
        <v xml:space="preserve">    Total Current Assets</v>
      </c>
      <c r="B17" s="29">
        <v>82103000</v>
      </c>
      <c r="C17" s="29">
        <v>80924000</v>
      </c>
      <c r="D17" s="29">
        <v>74992000</v>
      </c>
      <c r="E17" s="29">
        <v>75293000</v>
      </c>
      <c r="F17" s="40">
        <v>68744000</v>
      </c>
      <c r="G17" s="40">
        <v>76203000</v>
      </c>
      <c r="H17" s="40">
        <v>69408000</v>
      </c>
      <c r="I17" s="11">
        <v>83626000</v>
      </c>
      <c r="J17" s="11">
        <v>81501000</v>
      </c>
      <c r="K17" s="11">
        <v>69996000</v>
      </c>
      <c r="L17" s="11">
        <v>64923000</v>
      </c>
      <c r="M17" s="11">
        <v>53053000</v>
      </c>
      <c r="N17" s="11">
        <v>59247000</v>
      </c>
      <c r="O17" s="12">
        <v>44267000</v>
      </c>
    </row>
    <row r="18" spans="1:15" x14ac:dyDescent="0.25">
      <c r="A18" s="10" t="str">
        <f>"    Net Property, Plant and Equipment"</f>
        <v xml:space="preserve">    Net Property, Plant and Equipment</v>
      </c>
      <c r="B18" s="29">
        <v>79044000</v>
      </c>
      <c r="C18" s="29">
        <v>77451000</v>
      </c>
      <c r="D18" s="29">
        <v>80805000</v>
      </c>
      <c r="E18" s="29">
        <v>82317000</v>
      </c>
      <c r="F18" s="40">
        <v>79135000</v>
      </c>
      <c r="G18" s="40">
        <v>66945000</v>
      </c>
      <c r="H18" s="40">
        <v>51401000</v>
      </c>
      <c r="I18" s="11">
        <v>34803000</v>
      </c>
      <c r="J18" s="11">
        <v>29250000</v>
      </c>
      <c r="K18" s="11">
        <v>25845000</v>
      </c>
      <c r="L18" s="11">
        <v>23790000</v>
      </c>
      <c r="M18" s="11">
        <v>19235000</v>
      </c>
      <c r="N18" s="11">
        <v>18687000</v>
      </c>
      <c r="O18" s="12">
        <v>39665000</v>
      </c>
    </row>
    <row r="19" spans="1:15" x14ac:dyDescent="0.25">
      <c r="A19" s="10" t="str">
        <f>"    Total Non-Current Assets"</f>
        <v xml:space="preserve">    Total Non-Current Assets</v>
      </c>
      <c r="B19" s="29">
        <v>162615000</v>
      </c>
      <c r="C19" s="29">
        <v>154270000</v>
      </c>
      <c r="D19" s="29">
        <v>153045000</v>
      </c>
      <c r="E19" s="29">
        <v>152046000</v>
      </c>
      <c r="F19" s="40">
        <v>143738000</v>
      </c>
      <c r="G19" s="40">
        <v>145487000</v>
      </c>
      <c r="H19" s="40">
        <v>124930000</v>
      </c>
      <c r="I19" s="11">
        <v>93875000</v>
      </c>
      <c r="J19" s="11">
        <v>84843000</v>
      </c>
      <c r="K19" s="11">
        <v>79426000</v>
      </c>
      <c r="L19" s="11">
        <v>79680000</v>
      </c>
      <c r="M19" s="11">
        <v>85845000</v>
      </c>
      <c r="N19" s="11">
        <v>77048000</v>
      </c>
      <c r="O19" s="12">
        <v>46772000</v>
      </c>
    </row>
    <row r="20" spans="1:15" x14ac:dyDescent="0.25">
      <c r="A20" s="10" t="str">
        <f>"    Total Assets"</f>
        <v xml:space="preserve">    Total Assets</v>
      </c>
      <c r="B20" s="29">
        <v>244718000</v>
      </c>
      <c r="C20" s="29">
        <v>235194000</v>
      </c>
      <c r="D20" s="29">
        <v>228037000</v>
      </c>
      <c r="E20" s="29">
        <v>227339000</v>
      </c>
      <c r="F20" s="40">
        <v>212482000</v>
      </c>
      <c r="G20" s="40">
        <v>221690000</v>
      </c>
      <c r="H20" s="40">
        <v>194338000</v>
      </c>
      <c r="I20" s="11">
        <v>177501000</v>
      </c>
      <c r="J20" s="11">
        <v>166344000</v>
      </c>
      <c r="K20" s="11">
        <v>149422000</v>
      </c>
      <c r="L20" s="11">
        <v>144603000</v>
      </c>
      <c r="M20" s="11">
        <v>138898000</v>
      </c>
      <c r="N20" s="11">
        <v>136295000</v>
      </c>
      <c r="O20" s="12">
        <v>91039000</v>
      </c>
    </row>
    <row r="21" spans="1:15" x14ac:dyDescent="0.25">
      <c r="A21" s="10" t="str">
        <f>"    Total Current Liabilities"</f>
        <v xml:space="preserve">    Total Current Liabilities</v>
      </c>
      <c r="B21" s="29">
        <v>74408000</v>
      </c>
      <c r="C21" s="29">
        <v>79910000</v>
      </c>
      <c r="D21" s="29">
        <v>84905000</v>
      </c>
      <c r="E21" s="29">
        <v>82237000</v>
      </c>
      <c r="F21" s="40">
        <v>76890000</v>
      </c>
      <c r="G21" s="40">
        <v>85181000</v>
      </c>
      <c r="H21" s="40">
        <v>71217000</v>
      </c>
      <c r="I21" s="11">
        <v>65657000</v>
      </c>
      <c r="J21" s="11">
        <v>62412000</v>
      </c>
      <c r="K21" s="11">
        <v>53992000</v>
      </c>
      <c r="L21" s="11">
        <v>53226000</v>
      </c>
      <c r="M21" s="11">
        <v>47157000</v>
      </c>
      <c r="N21" s="11">
        <v>52435000</v>
      </c>
      <c r="O21" s="12">
        <v>75608000</v>
      </c>
    </row>
    <row r="22" spans="1:15" x14ac:dyDescent="0.25">
      <c r="A22" s="10" t="str">
        <f>"    Total Non-Current Liabilities"</f>
        <v xml:space="preserve">    Total Non-Current Liabilities</v>
      </c>
      <c r="B22" s="29">
        <v>104495000</v>
      </c>
      <c r="C22" s="29">
        <v>105607000</v>
      </c>
      <c r="D22" s="29">
        <v>97175000</v>
      </c>
      <c r="E22" s="29">
        <v>102325000</v>
      </c>
      <c r="F22" s="40">
        <v>99392000</v>
      </c>
      <c r="G22" s="40">
        <v>92434000</v>
      </c>
      <c r="H22" s="40">
        <v>82798000</v>
      </c>
      <c r="I22" s="11">
        <v>75820000</v>
      </c>
      <c r="J22" s="11">
        <v>60758000</v>
      </c>
      <c r="K22" s="11">
        <v>58430000</v>
      </c>
      <c r="L22" s="11">
        <v>52386000</v>
      </c>
      <c r="M22" s="11">
        <v>54582000</v>
      </c>
      <c r="N22" s="11">
        <v>61903000</v>
      </c>
      <c r="O22" s="12">
        <v>100507000</v>
      </c>
    </row>
    <row r="23" spans="1:15" x14ac:dyDescent="0.25">
      <c r="A23" s="10" t="str">
        <f>"    Total Liabilities"</f>
        <v xml:space="preserve">    Total Liabilities</v>
      </c>
      <c r="B23" s="29">
        <v>178903000</v>
      </c>
      <c r="C23" s="29">
        <v>185517000</v>
      </c>
      <c r="D23" s="29">
        <v>182080000</v>
      </c>
      <c r="E23" s="29">
        <v>184562000</v>
      </c>
      <c r="F23" s="40">
        <v>176282000</v>
      </c>
      <c r="G23" s="40">
        <v>177615000</v>
      </c>
      <c r="H23" s="40">
        <v>154015000</v>
      </c>
      <c r="I23" s="11">
        <v>141477000</v>
      </c>
      <c r="J23" s="11">
        <v>123170000</v>
      </c>
      <c r="K23" s="11">
        <v>112422000</v>
      </c>
      <c r="L23" s="11">
        <v>105612000</v>
      </c>
      <c r="M23" s="11">
        <v>101739000</v>
      </c>
      <c r="N23" s="11">
        <v>114338000</v>
      </c>
      <c r="O23" s="12">
        <v>176115000</v>
      </c>
    </row>
    <row r="24" spans="1:15" x14ac:dyDescent="0.25">
      <c r="A24" s="10" t="str">
        <f>"    Total Equity"</f>
        <v xml:space="preserve">    Total Equity</v>
      </c>
      <c r="B24" s="29">
        <v>65815000</v>
      </c>
      <c r="C24" s="29">
        <v>49677000</v>
      </c>
      <c r="D24" s="29">
        <v>45957000</v>
      </c>
      <c r="E24" s="29">
        <v>42777000</v>
      </c>
      <c r="F24" s="40">
        <v>36200000</v>
      </c>
      <c r="G24" s="40">
        <v>44075000</v>
      </c>
      <c r="H24" s="40">
        <v>40323000</v>
      </c>
      <c r="I24" s="11">
        <v>36024000</v>
      </c>
      <c r="J24" s="11">
        <v>43174000</v>
      </c>
      <c r="K24" s="11">
        <v>37000000</v>
      </c>
      <c r="L24" s="11">
        <v>38991000</v>
      </c>
      <c r="M24" s="11">
        <v>37159000</v>
      </c>
      <c r="N24" s="11">
        <v>21957000</v>
      </c>
      <c r="O24" s="12">
        <v>-85076000</v>
      </c>
    </row>
    <row r="25" spans="1:15" x14ac:dyDescent="0.25">
      <c r="A25" s="10" t="str">
        <f>"    Equity Attributable to Parent Stockholders"</f>
        <v xml:space="preserve">    Equity Attributable to Parent Stockholders</v>
      </c>
      <c r="B25" s="29">
        <v>59744000</v>
      </c>
      <c r="C25" s="29">
        <v>45030000</v>
      </c>
      <c r="D25" s="29">
        <v>41792000</v>
      </c>
      <c r="E25" s="29">
        <v>38860000</v>
      </c>
      <c r="F25" s="40">
        <v>35001000</v>
      </c>
      <c r="G25" s="40">
        <v>43836000</v>
      </c>
      <c r="H25" s="40">
        <v>39871000</v>
      </c>
      <c r="I25" s="11">
        <v>35457000</v>
      </c>
      <c r="J25" s="11">
        <v>42607000</v>
      </c>
      <c r="K25" s="11">
        <v>36244000</v>
      </c>
      <c r="L25" s="11">
        <v>38120000</v>
      </c>
      <c r="M25" s="11">
        <v>36180000</v>
      </c>
      <c r="N25" s="11">
        <v>21249000</v>
      </c>
      <c r="O25" s="12">
        <v>-85560000</v>
      </c>
    </row>
    <row r="26" spans="1:15" x14ac:dyDescent="0.25">
      <c r="A26" s="10" t="str">
        <f>"    Total Debt"</f>
        <v xml:space="preserve">    Total Debt</v>
      </c>
      <c r="B26" s="29">
        <v>110391000</v>
      </c>
      <c r="C26" s="29">
        <v>110863000</v>
      </c>
      <c r="D26" s="29">
        <v>104334000</v>
      </c>
      <c r="E26" s="29">
        <v>104951000</v>
      </c>
      <c r="F26" s="40">
        <v>94219000</v>
      </c>
      <c r="G26" s="40">
        <v>75123000</v>
      </c>
      <c r="H26" s="40">
        <v>63111000</v>
      </c>
      <c r="I26" s="11">
        <v>46665000</v>
      </c>
      <c r="J26" s="11">
        <v>36183000</v>
      </c>
      <c r="K26" s="11">
        <v>16050000</v>
      </c>
      <c r="L26" s="11">
        <v>12855000</v>
      </c>
      <c r="M26" s="11">
        <v>10758000</v>
      </c>
      <c r="N26" s="11">
        <v>15783000</v>
      </c>
      <c r="O26" s="12">
        <v>45938000</v>
      </c>
    </row>
    <row r="27" spans="1:15" x14ac:dyDescent="0.25">
      <c r="A27" s="10" t="str">
        <f>"    Total Shares Outstanding (TSO)"</f>
        <v xml:space="preserve">    Total Shares Outstanding (TSO)</v>
      </c>
      <c r="B27" s="29">
        <v>1500000000</v>
      </c>
      <c r="C27" s="29">
        <v>1400000000</v>
      </c>
      <c r="D27" s="29">
        <v>1400000000</v>
      </c>
      <c r="E27" s="29">
        <v>1400000000</v>
      </c>
      <c r="F27" s="40">
        <v>1420407560</v>
      </c>
      <c r="G27" s="40">
        <v>1524343989</v>
      </c>
      <c r="H27" s="40">
        <v>1500000000</v>
      </c>
      <c r="I27" s="11">
        <v>1600000000</v>
      </c>
      <c r="J27" s="11">
        <v>1500000000</v>
      </c>
      <c r="K27" s="11">
        <v>1366373526</v>
      </c>
      <c r="L27" s="11">
        <v>1564561877</v>
      </c>
      <c r="M27" s="11">
        <v>1500136998</v>
      </c>
      <c r="N27" s="11" t="s">
        <v>0</v>
      </c>
      <c r="O27" s="12" t="s">
        <v>0</v>
      </c>
    </row>
    <row r="28" spans="1:15" x14ac:dyDescent="0.25">
      <c r="A28" s="10" t="str">
        <f>"    Working Capital"</f>
        <v xml:space="preserve">    Working Capital</v>
      </c>
      <c r="B28" s="29">
        <v>7695000</v>
      </c>
      <c r="C28" s="29">
        <v>1014000</v>
      </c>
      <c r="D28" s="29">
        <v>-9913000</v>
      </c>
      <c r="E28" s="29">
        <v>-6944000</v>
      </c>
      <c r="F28" s="40">
        <v>-8146000</v>
      </c>
      <c r="G28" s="40">
        <v>-8978000</v>
      </c>
      <c r="H28" s="40">
        <v>-1809000</v>
      </c>
      <c r="I28" s="11">
        <v>17969000</v>
      </c>
      <c r="J28" s="11">
        <v>19089000</v>
      </c>
      <c r="K28" s="11">
        <v>16004000</v>
      </c>
      <c r="L28" s="11">
        <v>11697000</v>
      </c>
      <c r="M28" s="11">
        <v>5896000</v>
      </c>
      <c r="N28" s="11">
        <v>6812000</v>
      </c>
      <c r="O28" s="12">
        <v>-31341000</v>
      </c>
    </row>
    <row r="29" spans="1:15" ht="29.25" customHeight="1" x14ac:dyDescent="0.25">
      <c r="A29" s="26" t="str">
        <f>"Cash Flow"</f>
        <v>Cash Flow</v>
      </c>
      <c r="B29" s="25" t="s">
        <v>0</v>
      </c>
      <c r="C29" s="25" t="s">
        <v>0</v>
      </c>
      <c r="D29" s="25" t="s">
        <v>0</v>
      </c>
      <c r="E29" s="25" t="s">
        <v>0</v>
      </c>
      <c r="F29" s="28" t="s">
        <v>0</v>
      </c>
      <c r="G29" s="42" t="s">
        <v>0</v>
      </c>
      <c r="H29" s="42" t="s">
        <v>0</v>
      </c>
      <c r="I29" s="8" t="s">
        <v>0</v>
      </c>
      <c r="J29" s="8" t="s">
        <v>0</v>
      </c>
      <c r="K29" s="8" t="s">
        <v>0</v>
      </c>
      <c r="L29" s="8" t="s">
        <v>0</v>
      </c>
      <c r="M29" s="8" t="s">
        <v>0</v>
      </c>
      <c r="N29" s="8" t="s">
        <v>0</v>
      </c>
      <c r="O29" s="9" t="s">
        <v>0</v>
      </c>
    </row>
    <row r="30" spans="1:15" x14ac:dyDescent="0.25">
      <c r="A30" s="10" t="str">
        <f>"    Cash Flow from Operating Activities, Indirect"</f>
        <v xml:space="preserve">    Cash Flow from Operating Activities, Indirect</v>
      </c>
      <c r="B30" s="29">
        <v>15188000</v>
      </c>
      <c r="C30" s="29">
        <v>16670000</v>
      </c>
      <c r="D30" s="29">
        <v>15021000</v>
      </c>
      <c r="E30" s="29">
        <v>15256000</v>
      </c>
      <c r="F30" s="40">
        <v>17328000</v>
      </c>
      <c r="G30" s="40">
        <v>16607000</v>
      </c>
      <c r="H30" s="40">
        <v>11769000</v>
      </c>
      <c r="I30" s="11">
        <v>10061000</v>
      </c>
      <c r="J30" s="11">
        <v>12630000</v>
      </c>
      <c r="K30" s="11">
        <v>10605000</v>
      </c>
      <c r="L30" s="11">
        <v>8166000</v>
      </c>
      <c r="M30" s="11">
        <v>6780000</v>
      </c>
      <c r="N30" s="11">
        <v>-17239000</v>
      </c>
      <c r="O30" s="12">
        <v>-12065000</v>
      </c>
    </row>
    <row r="31" spans="1:15" x14ac:dyDescent="0.25">
      <c r="A31" s="10" t="str">
        <f>"    Cash Flow from Investing Activities"</f>
        <v xml:space="preserve">    Cash Flow from Investing Activities</v>
      </c>
      <c r="B31" s="29">
        <v>-16355000</v>
      </c>
      <c r="C31" s="29">
        <v>-21826000</v>
      </c>
      <c r="D31" s="29">
        <v>-10899000</v>
      </c>
      <c r="E31" s="29">
        <v>-20763000</v>
      </c>
      <c r="F31" s="40">
        <v>-27572000</v>
      </c>
      <c r="G31" s="40">
        <v>-35643000</v>
      </c>
      <c r="H31" s="40">
        <v>-27710000</v>
      </c>
      <c r="I31" s="11">
        <v>-15359000</v>
      </c>
      <c r="J31" s="11">
        <v>-14362000</v>
      </c>
      <c r="K31" s="11">
        <v>-3505000</v>
      </c>
      <c r="L31" s="11">
        <v>-12740000</v>
      </c>
      <c r="M31" s="11">
        <v>1233000</v>
      </c>
      <c r="N31" s="11">
        <v>-18978000</v>
      </c>
      <c r="O31" s="12">
        <v>-1764000</v>
      </c>
    </row>
    <row r="32" spans="1:15" x14ac:dyDescent="0.25">
      <c r="A32" s="10" t="str">
        <f>"    Cash Flow from Financing Activities"</f>
        <v xml:space="preserve">    Cash Flow from Financing Activities</v>
      </c>
      <c r="B32" s="29">
        <v>1744000</v>
      </c>
      <c r="C32" s="29">
        <v>5552000</v>
      </c>
      <c r="D32" s="29">
        <v>-4677000</v>
      </c>
      <c r="E32" s="29">
        <v>11454000</v>
      </c>
      <c r="F32" s="40">
        <v>12584000</v>
      </c>
      <c r="G32" s="40">
        <v>17077000</v>
      </c>
      <c r="H32" s="40">
        <v>13608000</v>
      </c>
      <c r="I32" s="11">
        <v>5675000</v>
      </c>
      <c r="J32" s="11">
        <v>3731000</v>
      </c>
      <c r="K32" s="11">
        <v>-4741000</v>
      </c>
      <c r="L32" s="11">
        <v>-358000</v>
      </c>
      <c r="M32" s="11">
        <v>-9770000</v>
      </c>
      <c r="N32" s="11">
        <v>44574000</v>
      </c>
      <c r="O32" s="12">
        <v>3843000</v>
      </c>
    </row>
    <row r="33" spans="1:15" x14ac:dyDescent="0.25">
      <c r="A33" s="16" t="str">
        <f>"    Change in Cash"</f>
        <v xml:space="preserve">    Change in Cash</v>
      </c>
      <c r="B33" s="29">
        <v>577000</v>
      </c>
      <c r="C33" s="29">
        <v>396000</v>
      </c>
      <c r="D33" s="29">
        <v>-555000</v>
      </c>
      <c r="E33" s="29">
        <v>5947000</v>
      </c>
      <c r="F33" s="40">
        <v>2340000</v>
      </c>
      <c r="G33" s="40">
        <v>-1959000</v>
      </c>
      <c r="H33" s="40">
        <v>-2333000</v>
      </c>
      <c r="I33" s="11">
        <v>377000</v>
      </c>
      <c r="J33" s="11">
        <v>1999000</v>
      </c>
      <c r="K33" s="11">
        <v>2359000</v>
      </c>
      <c r="L33" s="11">
        <v>-4932000</v>
      </c>
      <c r="M33" s="11">
        <v>-1757000</v>
      </c>
      <c r="N33" s="11">
        <v>8357000</v>
      </c>
      <c r="O33" s="12">
        <v>-9986000</v>
      </c>
    </row>
    <row r="34" spans="1:15" x14ac:dyDescent="0.25">
      <c r="A34" s="13" t="str">
        <f>"    Capital Expenditure (Calc)"</f>
        <v xml:space="preserve">    Capital Expenditure (Calc)</v>
      </c>
      <c r="B34" s="29">
        <v>22111000</v>
      </c>
      <c r="C34" s="29">
        <v>20533000</v>
      </c>
      <c r="D34" s="29">
        <v>23996000</v>
      </c>
      <c r="E34" s="29">
        <v>25497000</v>
      </c>
      <c r="F34" s="40">
        <v>27633000</v>
      </c>
      <c r="G34" s="40">
        <v>27879000</v>
      </c>
      <c r="H34" s="40">
        <v>21909000</v>
      </c>
      <c r="I34" s="11">
        <v>11867000</v>
      </c>
      <c r="J34" s="11">
        <v>9819000</v>
      </c>
      <c r="K34" s="11">
        <v>9118000</v>
      </c>
      <c r="L34" s="11">
        <v>7086000</v>
      </c>
      <c r="M34" s="11">
        <v>4213000</v>
      </c>
      <c r="N34" s="11">
        <v>5379000</v>
      </c>
      <c r="O34" s="12">
        <v>7530000</v>
      </c>
    </row>
    <row r="35" spans="1:15" x14ac:dyDescent="0.25">
      <c r="A35" s="13" t="str">
        <f>"    Issuance of/(Payments for) Common Stock, Net"</f>
        <v xml:space="preserve">    Issuance of/(Payments for) Common Stock, Net</v>
      </c>
      <c r="B35" s="29" t="s">
        <v>0</v>
      </c>
      <c r="C35" s="29" t="s">
        <v>0</v>
      </c>
      <c r="D35" s="29" t="s">
        <v>0</v>
      </c>
      <c r="E35" s="29" t="s">
        <v>0</v>
      </c>
      <c r="F35" s="40">
        <v>-4492000</v>
      </c>
      <c r="G35" s="40">
        <v>-2500000</v>
      </c>
      <c r="H35" s="40">
        <v>-3520000</v>
      </c>
      <c r="I35" s="11">
        <v>-3277000</v>
      </c>
      <c r="J35" s="11">
        <v>-2438000</v>
      </c>
      <c r="K35" s="11">
        <v>-5098000</v>
      </c>
      <c r="L35" s="11">
        <v>0</v>
      </c>
      <c r="M35" s="11">
        <v>3395000</v>
      </c>
      <c r="N35" s="11">
        <v>0</v>
      </c>
      <c r="O35" s="12" t="s">
        <v>0</v>
      </c>
    </row>
    <row r="36" spans="1:15" x14ac:dyDescent="0.25">
      <c r="A36" s="13" t="str">
        <f>"    Cash Dividends Paid"</f>
        <v xml:space="preserve">    Cash Dividends Paid</v>
      </c>
      <c r="B36" s="29">
        <v>-186000</v>
      </c>
      <c r="C36" s="29">
        <v>-669000</v>
      </c>
      <c r="D36" s="29">
        <v>-2350000</v>
      </c>
      <c r="E36" s="29">
        <v>-2242000</v>
      </c>
      <c r="F36" s="40">
        <v>-2233000</v>
      </c>
      <c r="G36" s="40">
        <v>-2368000</v>
      </c>
      <c r="H36" s="40">
        <v>-2242000</v>
      </c>
      <c r="I36" s="11">
        <v>-3165000</v>
      </c>
      <c r="J36" s="11">
        <v>-1687000</v>
      </c>
      <c r="K36" s="11">
        <v>-939000</v>
      </c>
      <c r="L36" s="11">
        <v>-916000</v>
      </c>
      <c r="M36" s="11">
        <v>-1572000</v>
      </c>
      <c r="N36" s="11">
        <v>-97000</v>
      </c>
      <c r="O36" s="12">
        <v>-283000</v>
      </c>
    </row>
    <row r="37" spans="1:15" x14ac:dyDescent="0.25">
      <c r="A37" s="13" t="str">
        <f>"    Cash and Cash Equivalents, Beginning of Period"</f>
        <v xml:space="preserve">    Cash and Cash Equivalents, Beginning of Period</v>
      </c>
      <c r="B37" s="29">
        <v>23117000</v>
      </c>
      <c r="C37" s="29">
        <v>22943000</v>
      </c>
      <c r="D37" s="29">
        <v>23496000</v>
      </c>
      <c r="E37" s="29">
        <v>17848000</v>
      </c>
      <c r="F37" s="40">
        <v>15160000</v>
      </c>
      <c r="G37" s="40">
        <v>17332000</v>
      </c>
      <c r="H37" s="40">
        <v>21189000</v>
      </c>
      <c r="I37" s="11">
        <v>22042000</v>
      </c>
      <c r="J37" s="11">
        <v>18422000</v>
      </c>
      <c r="K37" s="11">
        <v>16071000</v>
      </c>
      <c r="L37" s="11">
        <v>21256000</v>
      </c>
      <c r="M37" s="11">
        <v>22679000</v>
      </c>
      <c r="N37" s="11">
        <v>32675000</v>
      </c>
      <c r="O37" s="12">
        <v>24817000</v>
      </c>
    </row>
    <row r="38" spans="1:15" x14ac:dyDescent="0.25">
      <c r="A38" s="13" t="str">
        <f>"    Cash and Cash Equivalents, End of Period"</f>
        <v xml:space="preserve">    Cash and Cash Equivalents, End of Period</v>
      </c>
      <c r="B38" s="29">
        <v>23542000</v>
      </c>
      <c r="C38" s="29">
        <v>23117000</v>
      </c>
      <c r="D38" s="29">
        <v>22943000</v>
      </c>
      <c r="E38" s="29">
        <v>23496000</v>
      </c>
      <c r="F38" s="40">
        <v>17848000</v>
      </c>
      <c r="G38" s="40">
        <v>15160000</v>
      </c>
      <c r="H38" s="40">
        <v>17332000</v>
      </c>
      <c r="I38" s="11">
        <v>21189000</v>
      </c>
      <c r="J38" s="11">
        <v>20021000</v>
      </c>
      <c r="K38" s="11">
        <v>18422000</v>
      </c>
      <c r="L38" s="11">
        <v>16071000</v>
      </c>
      <c r="M38" s="11">
        <v>21256000</v>
      </c>
      <c r="N38" s="11">
        <v>41692000</v>
      </c>
      <c r="O38" s="12">
        <v>14053000</v>
      </c>
    </row>
    <row r="39" spans="1:15" ht="29.25" customHeight="1" x14ac:dyDescent="0.25">
      <c r="A39" s="17" t="str">
        <f>"Ratios"</f>
        <v>Ratios</v>
      </c>
      <c r="B39" s="31" t="s">
        <v>0</v>
      </c>
      <c r="C39" s="31" t="s">
        <v>0</v>
      </c>
      <c r="D39" s="31" t="s">
        <v>0</v>
      </c>
      <c r="E39" s="31" t="s">
        <v>0</v>
      </c>
      <c r="F39" s="42" t="s">
        <v>0</v>
      </c>
      <c r="G39" s="42" t="s">
        <v>0</v>
      </c>
      <c r="H39" s="42" t="s">
        <v>0</v>
      </c>
      <c r="I39" s="8" t="s">
        <v>0</v>
      </c>
      <c r="J39" s="8" t="s">
        <v>0</v>
      </c>
      <c r="K39" s="8" t="s">
        <v>0</v>
      </c>
      <c r="L39" s="8" t="s">
        <v>0</v>
      </c>
      <c r="M39" s="8" t="s">
        <v>0</v>
      </c>
      <c r="N39" s="8" t="s">
        <v>0</v>
      </c>
      <c r="O39" s="9" t="s">
        <v>0</v>
      </c>
    </row>
    <row r="40" spans="1:15" x14ac:dyDescent="0.25">
      <c r="A40" s="10" t="str">
        <f>"    EBITDA Margin"</f>
        <v xml:space="preserve">    EBITDA Margin</v>
      </c>
      <c r="B40" s="32">
        <v>0.20148971685931152</v>
      </c>
      <c r="C40" s="32">
        <v>0.17675633751071559</v>
      </c>
      <c r="D40" s="32">
        <v>0.15908246318412672</v>
      </c>
      <c r="E40" s="32">
        <v>9.8405973519031076E-2</v>
      </c>
      <c r="F40" s="43">
        <v>0.16782289749155149</v>
      </c>
      <c r="G40" s="43">
        <v>0.14886314886314886</v>
      </c>
      <c r="H40" s="43">
        <v>0.11543193958371707</v>
      </c>
      <c r="I40" s="18">
        <v>7.4880233952632283E-2</v>
      </c>
      <c r="J40" s="18">
        <v>0.10028502126400175</v>
      </c>
      <c r="K40" s="18">
        <v>6.7077816309373692E-2</v>
      </c>
      <c r="L40" s="18">
        <v>0.11105565759003434</v>
      </c>
      <c r="M40" s="18">
        <v>9.8088382795445156E-2</v>
      </c>
      <c r="N40" s="18">
        <v>1.1349855147290824</v>
      </c>
      <c r="O40" s="19">
        <v>-0.11523100571221448</v>
      </c>
    </row>
    <row r="41" spans="1:15" x14ac:dyDescent="0.25">
      <c r="A41" s="13" t="str">
        <f>"    Revenue % Growth"</f>
        <v xml:space="preserve">    Revenue % Growth</v>
      </c>
      <c r="B41" s="32">
        <v>3.6894313589419081E-2</v>
      </c>
      <c r="C41" s="32">
        <v>-0.10749287728528023</v>
      </c>
      <c r="D41" s="32">
        <v>-6.6726057300627639E-2</v>
      </c>
      <c r="E41" s="32">
        <v>1.0035167733604355E-2</v>
      </c>
      <c r="F41" s="43">
        <v>-2.4104461604461558E-2</v>
      </c>
      <c r="G41" s="43">
        <v>9.9163750230244929E-2</v>
      </c>
      <c r="H41" s="43">
        <v>-0.12957179229008076</v>
      </c>
      <c r="I41" s="18">
        <v>3.2298120661147234E-3</v>
      </c>
      <c r="J41" s="18">
        <v>2.0826765447667039E-2</v>
      </c>
      <c r="K41" s="18">
        <v>1.3175756607841649E-2</v>
      </c>
      <c r="L41" s="18">
        <v>0.10829547465927192</v>
      </c>
      <c r="M41" s="18">
        <v>0.29642696650699407</v>
      </c>
      <c r="N41" s="18">
        <v>-0.29796145765510573</v>
      </c>
      <c r="O41" s="19" t="s">
        <v>0</v>
      </c>
    </row>
    <row r="42" spans="1:15" x14ac:dyDescent="0.25">
      <c r="A42" s="13" t="str">
        <f>"    EBITDA % Growth"</f>
        <v xml:space="preserve">    EBITDA % Growth</v>
      </c>
      <c r="B42" s="32">
        <v>0.18198614318706707</v>
      </c>
      <c r="C42" s="32">
        <v>-8.3363869549285541E-3</v>
      </c>
      <c r="D42" s="32">
        <v>0.50872464669500017</v>
      </c>
      <c r="E42" s="32">
        <v>-0.40774771824990796</v>
      </c>
      <c r="F42" s="43">
        <v>0.10018912103746391</v>
      </c>
      <c r="G42" s="43">
        <v>0.41750175528180256</v>
      </c>
      <c r="H42" s="43">
        <v>0.34181226447413504</v>
      </c>
      <c r="I42" s="18">
        <v>-0.25091422339128766</v>
      </c>
      <c r="J42" s="18">
        <v>0.5261921080975227</v>
      </c>
      <c r="K42" s="18">
        <v>-0.38804002636467139</v>
      </c>
      <c r="L42" s="18">
        <v>0.25481203007518793</v>
      </c>
      <c r="M42" s="18">
        <v>-0.88795942951974194</v>
      </c>
      <c r="N42" s="18" t="s">
        <v>0</v>
      </c>
      <c r="O42" s="19" t="s">
        <v>0</v>
      </c>
    </row>
    <row r="43" spans="1:15" x14ac:dyDescent="0.25">
      <c r="A43" s="13" t="str">
        <f>"    EBIT % Growth"</f>
        <v xml:space="preserve">    EBIT % Growth</v>
      </c>
      <c r="B43" s="32">
        <v>0.51027703306523686</v>
      </c>
      <c r="C43" s="32">
        <v>0.14931313390679168</v>
      </c>
      <c r="D43" s="32">
        <v>-0.12177246589243429</v>
      </c>
      <c r="E43" s="32">
        <v>-0.27136049950706542</v>
      </c>
      <c r="F43" s="43">
        <v>-1.7515537977237927E-2</v>
      </c>
      <c r="G43" s="43">
        <v>0.51454767726161377</v>
      </c>
      <c r="H43" s="43">
        <v>0.84317260027039209</v>
      </c>
      <c r="I43" s="18">
        <v>-0.41187384044526898</v>
      </c>
      <c r="J43" s="18" t="s">
        <v>0</v>
      </c>
      <c r="K43" s="18" t="s">
        <v>0</v>
      </c>
      <c r="L43" s="18">
        <v>0.45400313971742534</v>
      </c>
      <c r="M43" s="18">
        <v>-0.94064645975233641</v>
      </c>
      <c r="N43" s="18" t="s">
        <v>0</v>
      </c>
      <c r="O43" s="19" t="s">
        <v>0</v>
      </c>
    </row>
    <row r="44" spans="1:15" x14ac:dyDescent="0.25">
      <c r="A44" s="13" t="str">
        <f>"    Current Ratio"</f>
        <v xml:space="preserve">    Current Ratio</v>
      </c>
      <c r="B44" s="33">
        <v>1.1034162993226535</v>
      </c>
      <c r="C44" s="33">
        <v>1.0126892754348642</v>
      </c>
      <c r="D44" s="33">
        <v>0.88324598080207295</v>
      </c>
      <c r="E44" s="33">
        <v>0.91556112212264551</v>
      </c>
      <c r="F44" s="44">
        <v>0.89405644427103659</v>
      </c>
      <c r="G44" s="44">
        <v>0.89460090865333819</v>
      </c>
      <c r="H44" s="44">
        <v>0.97459876153165681</v>
      </c>
      <c r="I44" s="20">
        <v>1.2736798818100126</v>
      </c>
      <c r="J44" s="20">
        <v>1.3058546433378198</v>
      </c>
      <c r="K44" s="20">
        <v>1.29641428359757</v>
      </c>
      <c r="L44" s="20">
        <v>1.2197610190508399</v>
      </c>
      <c r="M44" s="20">
        <v>1.1250291579192908</v>
      </c>
      <c r="N44" s="20">
        <v>1.1299132258987317</v>
      </c>
      <c r="O44" s="21">
        <v>0.58548037244736006</v>
      </c>
    </row>
    <row r="45" spans="1:15" x14ac:dyDescent="0.25">
      <c r="A45" s="13" t="str">
        <f>"    Quick Ratio"</f>
        <v xml:space="preserve">    Quick Ratio</v>
      </c>
      <c r="B45" s="33">
        <v>0.84290667670142994</v>
      </c>
      <c r="C45" s="33">
        <v>0.79191590539356771</v>
      </c>
      <c r="D45" s="33">
        <v>0.66711029974677583</v>
      </c>
      <c r="E45" s="33">
        <v>0.73214003429113417</v>
      </c>
      <c r="F45" s="44">
        <v>0.68292365717258419</v>
      </c>
      <c r="G45" s="44">
        <v>0.57808666251863683</v>
      </c>
      <c r="H45" s="44">
        <v>0.69911678391395315</v>
      </c>
      <c r="I45" s="20">
        <v>0.81913581187078299</v>
      </c>
      <c r="J45" s="20">
        <v>0.83006473114144719</v>
      </c>
      <c r="K45" s="20">
        <v>0.7750963105645281</v>
      </c>
      <c r="L45" s="20">
        <v>0.85360538082891824</v>
      </c>
      <c r="M45" s="20">
        <v>0.7488813961872044</v>
      </c>
      <c r="N45" s="20">
        <v>0.57844950891580049</v>
      </c>
      <c r="O45" s="21">
        <v>0.29245582478044652</v>
      </c>
    </row>
    <row r="46" spans="1:15" x14ac:dyDescent="0.25">
      <c r="A46" s="13" t="str">
        <f>"    Debt to Equity"</f>
        <v xml:space="preserve">    Debt to Equity</v>
      </c>
      <c r="B46" s="33">
        <v>1.1649472004862114</v>
      </c>
      <c r="C46" s="33">
        <v>1.4886164623467601</v>
      </c>
      <c r="D46" s="33">
        <v>1.4564484191744458</v>
      </c>
      <c r="E46" s="33">
        <v>1.7079271571171424</v>
      </c>
      <c r="F46" s="44">
        <v>1.8578453038674032</v>
      </c>
      <c r="G46" s="44">
        <v>1.1645150311968235</v>
      </c>
      <c r="H46" s="44">
        <v>1.0800039679587332</v>
      </c>
      <c r="I46" s="20">
        <v>0.88055185431934269</v>
      </c>
      <c r="J46" s="20">
        <v>0.51014499467271968</v>
      </c>
      <c r="K46" s="20">
        <v>0.28464864864864864</v>
      </c>
      <c r="L46" s="20">
        <v>0.18894103767536097</v>
      </c>
      <c r="M46" s="20">
        <v>0.24602384348340914</v>
      </c>
      <c r="N46" s="20">
        <v>0.25331329416586967</v>
      </c>
      <c r="O46" s="21" t="s">
        <v>0</v>
      </c>
    </row>
    <row r="47" spans="1:15" x14ac:dyDescent="0.25">
      <c r="A47" s="13" t="str">
        <f>"    Total Debt to Equity"</f>
        <v xml:space="preserve">    Total Debt to Equity</v>
      </c>
      <c r="B47" s="34">
        <v>1.6772924105447087</v>
      </c>
      <c r="C47" s="34">
        <v>2.2316766310364957</v>
      </c>
      <c r="D47" s="34">
        <v>2.2702526274561001</v>
      </c>
      <c r="E47" s="34">
        <v>2.4534446080837835</v>
      </c>
      <c r="F47" s="45">
        <v>2.6027348066298344</v>
      </c>
      <c r="G47" s="45">
        <v>1.704435621100397</v>
      </c>
      <c r="H47" s="44">
        <v>1.5651365225801652</v>
      </c>
      <c r="I47" s="20">
        <v>1.2953864090606262</v>
      </c>
      <c r="J47" s="20">
        <v>0.83807384073748092</v>
      </c>
      <c r="K47" s="20">
        <v>0.43378378378378379</v>
      </c>
      <c r="L47" s="20">
        <v>0.32969146726167575</v>
      </c>
      <c r="M47" s="20">
        <v>0.28951263489329637</v>
      </c>
      <c r="N47" s="20">
        <v>0.71881404563464957</v>
      </c>
      <c r="O47" s="21" t="s">
        <v>0</v>
      </c>
    </row>
    <row r="48" spans="1:15" x14ac:dyDescent="0.25">
      <c r="A48" s="13" t="str">
        <f>"    Total Asset Turnover"</f>
        <v xml:space="preserve">    Total Asset Turnover</v>
      </c>
      <c r="B48" s="34">
        <v>0.52976475014661928</v>
      </c>
      <c r="C48" s="34">
        <v>0.51591704217390677</v>
      </c>
      <c r="D48" s="34">
        <v>0.59473085716960172</v>
      </c>
      <c r="E48" s="34">
        <v>0.6666476259385492</v>
      </c>
      <c r="F48" s="45">
        <v>0.64148851702596221</v>
      </c>
      <c r="G48" s="44">
        <v>0.7119792377568912</v>
      </c>
      <c r="H48" s="44">
        <v>0.73240632915627435</v>
      </c>
      <c r="I48" s="20">
        <v>0.89259688799792092</v>
      </c>
      <c r="J48" s="20">
        <v>0.96997591083263646</v>
      </c>
      <c r="K48" s="20">
        <v>1.0127956448510103</v>
      </c>
      <c r="L48" s="20">
        <v>1.0317483203091209</v>
      </c>
      <c r="M48" s="20">
        <v>0.99648563756061215</v>
      </c>
      <c r="N48" s="20">
        <v>0.92013513156852911</v>
      </c>
      <c r="O48" s="21">
        <v>1.6364305407572579</v>
      </c>
    </row>
    <row r="49" spans="1:15" x14ac:dyDescent="0.25">
      <c r="A49" s="16" t="str">
        <f>"    Normalized Return on Equity"</f>
        <v xml:space="preserve">    Normalized Return on Equity</v>
      </c>
      <c r="B49" s="32">
        <v>0.20047424846294065</v>
      </c>
      <c r="C49" s="32">
        <v>0.16855138849126824</v>
      </c>
      <c r="D49" s="32">
        <v>0.16600650423637486</v>
      </c>
      <c r="E49" s="32">
        <v>0.25668718921497141</v>
      </c>
      <c r="F49" s="43">
        <v>0.23232019118138239</v>
      </c>
      <c r="G49" s="43">
        <v>0.2256924066501087</v>
      </c>
      <c r="H49" s="43">
        <v>0.22621678672405907</v>
      </c>
      <c r="I49" s="18">
        <v>0.11305344846487154</v>
      </c>
      <c r="J49" s="18">
        <v>0.1935059468873129</v>
      </c>
      <c r="K49" s="18">
        <v>1.1680344942509582</v>
      </c>
      <c r="L49" s="18">
        <v>0.36210853454458525</v>
      </c>
      <c r="M49" s="18">
        <v>0.28318049176926291</v>
      </c>
      <c r="N49" s="18" t="s">
        <v>0</v>
      </c>
      <c r="O49" s="19" t="s">
        <v>0</v>
      </c>
    </row>
    <row r="50" spans="1:15" x14ac:dyDescent="0.25">
      <c r="A50" s="16" t="str">
        <f>"    Normalized Return on Assets"</f>
        <v xml:space="preserve">    Normalized Return on Assets</v>
      </c>
      <c r="B50" s="32">
        <v>4.3305861516347521E-2</v>
      </c>
      <c r="C50" s="32">
        <v>2.9758369620432313E-2</v>
      </c>
      <c r="D50" s="32">
        <v>3.0040545202093306E-2</v>
      </c>
      <c r="E50" s="32">
        <v>4.2451756688509104E-2</v>
      </c>
      <c r="F50" s="43">
        <v>4.3519947266707618E-2</v>
      </c>
      <c r="G50" s="43">
        <v>4.5882724633973831E-2</v>
      </c>
      <c r="H50" s="43">
        <v>4.4297834268144091E-2</v>
      </c>
      <c r="I50" s="18">
        <v>2.4960479248156024E-2</v>
      </c>
      <c r="J50" s="18">
        <v>3.6070035986393814E-2</v>
      </c>
      <c r="K50" s="18">
        <v>0.22380405022470207</v>
      </c>
      <c r="L50" s="18">
        <v>7.2796216730586227E-2</v>
      </c>
      <c r="M50" s="18">
        <v>4.788234395575848E-2</v>
      </c>
      <c r="N50" s="18">
        <v>0.94293550458796305</v>
      </c>
      <c r="O50" s="19">
        <v>-0.27857896066520943</v>
      </c>
    </row>
    <row r="51" spans="1:15" x14ac:dyDescent="0.25">
      <c r="A51" s="16" t="str">
        <f>"    Normalized Return on Invested Capital"</f>
        <v xml:space="preserve">    Normalized Return on Invested Capital</v>
      </c>
      <c r="B51" s="32">
        <v>6.5277925662785036E-2</v>
      </c>
      <c r="C51" s="32">
        <v>4.7172032412823146E-2</v>
      </c>
      <c r="D51" s="32">
        <v>4.790095661276083E-2</v>
      </c>
      <c r="E51" s="32">
        <v>6.9786850639505835E-2</v>
      </c>
      <c r="F51" s="43">
        <v>7.6497348318980196E-2</v>
      </c>
      <c r="G51" s="43">
        <v>8.5629891589922291E-2</v>
      </c>
      <c r="H51" s="43">
        <v>8.935616840608572E-2</v>
      </c>
      <c r="I51" s="18">
        <v>5.5393543201475014E-2</v>
      </c>
      <c r="J51" s="18">
        <v>9.0053283907852416E-2</v>
      </c>
      <c r="K51" s="18">
        <v>0.61241702886031757</v>
      </c>
      <c r="L51" s="18">
        <v>0.20099022716976248</v>
      </c>
      <c r="M51" s="18">
        <v>0.18389584132869419</v>
      </c>
      <c r="N51" s="18" t="s">
        <v>0</v>
      </c>
      <c r="O51" s="19" t="s">
        <v>0</v>
      </c>
    </row>
    <row r="52" spans="1:15" ht="30" customHeight="1" x14ac:dyDescent="0.25">
      <c r="A52" s="17" t="str">
        <f>"Multiples*"</f>
        <v>Multiples*</v>
      </c>
      <c r="B52" s="31" t="s">
        <v>0</v>
      </c>
      <c r="C52" s="31" t="s">
        <v>0</v>
      </c>
      <c r="D52" s="31" t="s">
        <v>0</v>
      </c>
      <c r="E52" s="31" t="s">
        <v>0</v>
      </c>
      <c r="F52" s="42" t="s">
        <v>0</v>
      </c>
      <c r="G52" s="42" t="s">
        <v>0</v>
      </c>
      <c r="H52" s="42" t="s">
        <v>0</v>
      </c>
      <c r="I52" s="8"/>
      <c r="J52" s="8" t="s">
        <v>0</v>
      </c>
      <c r="K52" s="8" t="s">
        <v>0</v>
      </c>
      <c r="L52" s="8" t="s">
        <v>0</v>
      </c>
      <c r="M52" s="8" t="s">
        <v>0</v>
      </c>
      <c r="N52" s="8" t="s">
        <v>0</v>
      </c>
      <c r="O52" s="9" t="s">
        <v>0</v>
      </c>
    </row>
    <row r="53" spans="1:15" x14ac:dyDescent="0.25">
      <c r="A53" s="10" t="str">
        <f>"    Stock Price"</f>
        <v xml:space="preserve">    Stock Price</v>
      </c>
      <c r="B53" s="35">
        <v>58.63</v>
      </c>
      <c r="C53" s="35">
        <v>41.64</v>
      </c>
      <c r="D53" s="35">
        <v>36.6</v>
      </c>
      <c r="E53" s="35">
        <v>33.450000000000003</v>
      </c>
      <c r="F53" s="46">
        <v>40.99</v>
      </c>
      <c r="G53" s="48">
        <v>34.840000000000003</v>
      </c>
      <c r="H53" s="41">
        <v>34.01</v>
      </c>
      <c r="I53" s="14">
        <v>34.909999999999997</v>
      </c>
      <c r="J53" s="14">
        <v>40.869999999999997</v>
      </c>
      <c r="K53" s="14">
        <v>28.83</v>
      </c>
      <c r="L53" s="14">
        <v>20.27</v>
      </c>
      <c r="M53" s="14">
        <v>36.86</v>
      </c>
      <c r="N53" s="14" t="s">
        <v>0</v>
      </c>
      <c r="O53" s="15" t="s">
        <v>0</v>
      </c>
    </row>
    <row r="54" spans="1:15" x14ac:dyDescent="0.25">
      <c r="A54" s="16" t="str">
        <f>"    Market Cap"</f>
        <v xml:space="preserve">    Market Cap</v>
      </c>
      <c r="B54" s="29">
        <v>85122569.037</v>
      </c>
      <c r="C54" s="29">
        <v>59599648.464000002</v>
      </c>
      <c r="D54" s="29">
        <v>52293496.450000003</v>
      </c>
      <c r="E54" s="29">
        <v>47211451.523999996</v>
      </c>
      <c r="F54" s="40">
        <v>58222505.884000003</v>
      </c>
      <c r="G54" s="40">
        <v>53108144.577</v>
      </c>
      <c r="H54" s="40">
        <v>52925576.708999999</v>
      </c>
      <c r="I54" s="11">
        <v>56089767.379000001</v>
      </c>
      <c r="J54" s="11">
        <v>56767355.527999997</v>
      </c>
      <c r="K54" s="11">
        <v>45148353.572999999</v>
      </c>
      <c r="L54" s="11">
        <v>31713669.247000001</v>
      </c>
      <c r="M54" s="11">
        <v>55290000</v>
      </c>
      <c r="N54" s="11" t="s">
        <v>0</v>
      </c>
      <c r="O54" s="12" t="s">
        <v>0</v>
      </c>
    </row>
    <row r="55" spans="1:15" x14ac:dyDescent="0.25">
      <c r="A55" s="16" t="str">
        <f>"    EV"</f>
        <v xml:space="preserve">    EV</v>
      </c>
      <c r="B55" s="29">
        <v>177281569.037</v>
      </c>
      <c r="C55" s="29">
        <v>145882648.46399999</v>
      </c>
      <c r="D55" s="29">
        <v>134200496.45</v>
      </c>
      <c r="E55" s="29">
        <v>128047451.524</v>
      </c>
      <c r="F55" s="40">
        <v>130883505.884</v>
      </c>
      <c r="G55" s="40">
        <v>108399144.57700001</v>
      </c>
      <c r="H55" s="40">
        <v>87363576.709000006</v>
      </c>
      <c r="I55" s="11">
        <v>73234767.378999993</v>
      </c>
      <c r="J55" s="11">
        <v>68867355.527999997</v>
      </c>
      <c r="K55" s="11">
        <v>44468353.572999999</v>
      </c>
      <c r="L55" s="11">
        <v>22664669.247000001</v>
      </c>
      <c r="M55" s="11">
        <v>50802000</v>
      </c>
      <c r="N55" s="11" t="s">
        <v>0</v>
      </c>
      <c r="O55" s="12" t="s">
        <v>0</v>
      </c>
    </row>
    <row r="56" spans="1:15" x14ac:dyDescent="0.25">
      <c r="A56" s="16" t="str">
        <f>"    EV to Revenue"</f>
        <v xml:space="preserve">    EV to Revenue</v>
      </c>
      <c r="B56" s="33">
        <v>1.3539352138951259</v>
      </c>
      <c r="C56" s="33">
        <v>1.2598572319915711</v>
      </c>
      <c r="D56" s="33">
        <v>0.92673500759616045</v>
      </c>
      <c r="E56" s="33">
        <v>0.87485021367130122</v>
      </c>
      <c r="F56" s="44">
        <v>0.86226130590087691</v>
      </c>
      <c r="G56" s="44">
        <v>0.6687878715041059</v>
      </c>
      <c r="H56" s="44">
        <v>0.573432424313432</v>
      </c>
      <c r="I56" s="20">
        <v>0.4670674016658482</v>
      </c>
      <c r="J56" s="20">
        <v>0.44646873255580261</v>
      </c>
      <c r="K56" s="20">
        <v>0.2920630620336801</v>
      </c>
      <c r="L56" s="20">
        <v>0.15194055861176659</v>
      </c>
      <c r="M56" s="20">
        <v>0.37466812201309813</v>
      </c>
      <c r="N56" s="20" t="s">
        <v>0</v>
      </c>
      <c r="O56" s="21" t="s">
        <v>0</v>
      </c>
    </row>
    <row r="57" spans="1:15" x14ac:dyDescent="0.25">
      <c r="A57" s="16" t="str">
        <f>"    EV to EBIT (Analyst Normalized)"</f>
        <v xml:space="preserve">    EV to EBIT (Analyst Normalized)</v>
      </c>
      <c r="B57" s="33">
        <v>12.87728401518123</v>
      </c>
      <c r="C57" s="33">
        <v>26.453797680862152</v>
      </c>
      <c r="D57" s="33">
        <v>10.059253163181172</v>
      </c>
      <c r="E57" s="33">
        <v>12.635430385237813</v>
      </c>
      <c r="F57" s="44">
        <v>10.692223338289356</v>
      </c>
      <c r="G57" s="44">
        <v>8.1990602279661609</v>
      </c>
      <c r="H57" s="44">
        <v>7.3671453689130191</v>
      </c>
      <c r="I57" s="20">
        <v>10.185206323972439</v>
      </c>
      <c r="J57" s="20" t="s">
        <v>0</v>
      </c>
      <c r="K57" s="20" t="s">
        <v>0</v>
      </c>
      <c r="L57" s="20">
        <v>5.575564390405904</v>
      </c>
      <c r="M57" s="20">
        <v>8.4374688589935225</v>
      </c>
      <c r="N57" s="20" t="s">
        <v>0</v>
      </c>
      <c r="O57" s="21" t="s">
        <v>0</v>
      </c>
    </row>
    <row r="58" spans="1:15" x14ac:dyDescent="0.25">
      <c r="A58" s="16" t="str">
        <f>"    EV to EBITDA (Analyst Normalized)"</f>
        <v xml:space="preserve">    EV to EBITDA (Analyst Normalized)</v>
      </c>
      <c r="B58" s="33">
        <v>6.8287650335888452</v>
      </c>
      <c r="C58" s="33">
        <v>7.8703947573102484</v>
      </c>
      <c r="D58" s="33">
        <v>4.8240589686904629</v>
      </c>
      <c r="E58" s="33">
        <v>5.4875911341390244</v>
      </c>
      <c r="F58" s="44">
        <v>5.4137783704500331</v>
      </c>
      <c r="G58" s="44">
        <v>8.1990602279661609</v>
      </c>
      <c r="H58" s="44">
        <v>7.3671453689130191</v>
      </c>
      <c r="I58" s="20">
        <v>10.185206323972439</v>
      </c>
      <c r="J58" s="20" t="s">
        <v>0</v>
      </c>
      <c r="K58" s="20">
        <v>4.7794877013112638</v>
      </c>
      <c r="L58" s="20">
        <v>5.575564390405904</v>
      </c>
      <c r="M58" s="20">
        <v>3.9247527812113723</v>
      </c>
      <c r="N58" s="20" t="s">
        <v>0</v>
      </c>
      <c r="O58" s="21" t="s">
        <v>0</v>
      </c>
    </row>
    <row r="59" spans="1:15" x14ac:dyDescent="0.25">
      <c r="A59" s="16" t="str">
        <f>"    Price to Earnings (Analyst Normalized)"</f>
        <v xml:space="preserve">    Price to Earnings (Analyst Normalized)</v>
      </c>
      <c r="B59" s="33">
        <v>7.6447983881640837</v>
      </c>
      <c r="C59" s="33">
        <v>15.308823529411766</v>
      </c>
      <c r="D59" s="33">
        <v>5.9034219524068066</v>
      </c>
      <c r="E59" s="33">
        <v>4.9482248520710055</v>
      </c>
      <c r="F59" s="44">
        <v>6.4853110631432607</v>
      </c>
      <c r="G59" s="44">
        <v>5.6556945002916317</v>
      </c>
      <c r="H59" s="44">
        <v>7.026859504132231</v>
      </c>
      <c r="I59" s="20">
        <v>13.972159741288911</v>
      </c>
      <c r="J59" s="20">
        <v>13.760053222148601</v>
      </c>
      <c r="K59" s="20">
        <v>8.7720792901035836</v>
      </c>
      <c r="L59" s="20">
        <v>6.2738266907220099</v>
      </c>
      <c r="M59" s="20">
        <v>11.745777526815965</v>
      </c>
      <c r="N59" s="20" t="s">
        <v>0</v>
      </c>
      <c r="O59" s="21" t="s">
        <v>0</v>
      </c>
    </row>
    <row r="60" spans="1:15" x14ac:dyDescent="0.25">
      <c r="A60" s="16" t="str">
        <f>"    Forward Price to Earnings"</f>
        <v xml:space="preserve">    Forward Price to Earnings</v>
      </c>
      <c r="B60" s="33">
        <v>8.5591240875912415</v>
      </c>
      <c r="C60" s="33">
        <v>6.8262295081967217</v>
      </c>
      <c r="D60" s="33">
        <v>5.6844364323917826</v>
      </c>
      <c r="E60" s="33">
        <v>5.5843071786310521</v>
      </c>
      <c r="F60" s="44">
        <v>6.9304486615898613</v>
      </c>
      <c r="G60" s="44">
        <v>6.0068965517241386</v>
      </c>
      <c r="H60" s="44" t="s">
        <v>0</v>
      </c>
      <c r="I60" s="20" t="s">
        <v>0</v>
      </c>
      <c r="J60" s="20" t="s">
        <v>0</v>
      </c>
      <c r="K60" s="20" t="s">
        <v>0</v>
      </c>
      <c r="L60" s="20" t="s">
        <v>0</v>
      </c>
      <c r="M60" s="20" t="s">
        <v>0</v>
      </c>
      <c r="N60" s="20" t="s">
        <v>0</v>
      </c>
      <c r="O60" s="21" t="s">
        <v>0</v>
      </c>
    </row>
    <row r="61" spans="1:15" x14ac:dyDescent="0.25">
      <c r="A61" s="16" t="str">
        <f>"    Price to Book (PB)"</f>
        <v xml:space="preserve">    Price to Book (PB)</v>
      </c>
      <c r="B61" s="33">
        <v>1.6240997229916898</v>
      </c>
      <c r="C61" s="33">
        <v>1.3450543365404581</v>
      </c>
      <c r="D61" s="33">
        <v>1.1728439753288145</v>
      </c>
      <c r="E61" s="33">
        <v>1.2303933159927485</v>
      </c>
      <c r="F61" s="44">
        <v>1.3584735932580547</v>
      </c>
      <c r="G61" s="44">
        <v>1.1686046511627908</v>
      </c>
      <c r="H61" s="44">
        <v>1.5709913967319129</v>
      </c>
      <c r="I61" s="20">
        <v>1.4001453889153483</v>
      </c>
      <c r="J61" s="20">
        <v>1.9857708058582633</v>
      </c>
      <c r="K61" s="20">
        <v>1.5237128671558426</v>
      </c>
      <c r="L61" s="20">
        <v>0.92305511779786331</v>
      </c>
      <c r="M61" s="20">
        <v>2.1441331477094883</v>
      </c>
      <c r="N61" s="20" t="s">
        <v>0</v>
      </c>
      <c r="O61" s="21" t="s">
        <v>0</v>
      </c>
    </row>
    <row r="62" spans="1:15" x14ac:dyDescent="0.25">
      <c r="A62" s="16" t="str">
        <f>"    Price to Cash Flow (PCF)"</f>
        <v xml:space="preserve">    Price to Cash Flow (PCF)</v>
      </c>
      <c r="B62" s="33">
        <v>4.0177849079582186</v>
      </c>
      <c r="C62" s="33">
        <v>4.06678159359305</v>
      </c>
      <c r="D62" s="33">
        <v>2.767241923603073</v>
      </c>
      <c r="E62" s="33">
        <v>2.6087364130434785</v>
      </c>
      <c r="F62" s="44">
        <v>3.2199908069194119</v>
      </c>
      <c r="G62" s="44">
        <v>3.6657527596754891</v>
      </c>
      <c r="H62" s="44">
        <v>4.4709971898994691</v>
      </c>
      <c r="I62" s="20">
        <v>5.9264916599678452</v>
      </c>
      <c r="J62" s="20">
        <v>6.60342823336231</v>
      </c>
      <c r="K62" s="20">
        <v>4.8689503932244396</v>
      </c>
      <c r="L62" s="20">
        <v>6.5833519768563162</v>
      </c>
      <c r="M62" s="20">
        <v>7.7279421636973913</v>
      </c>
      <c r="N62" s="20" t="s">
        <v>0</v>
      </c>
      <c r="O62" s="21" t="s">
        <v>0</v>
      </c>
    </row>
    <row r="63" spans="1:15" x14ac:dyDescent="0.25">
      <c r="A63" s="22" t="str">
        <f>"    Price to Tangible Book Value"</f>
        <v xml:space="preserve">    Price to Tangible Book Value</v>
      </c>
      <c r="B63" s="36">
        <v>1.7939172650130548</v>
      </c>
      <c r="C63" s="36">
        <v>1.5302393952120956</v>
      </c>
      <c r="D63" s="36">
        <v>1.3348717743013334</v>
      </c>
      <c r="E63" s="36">
        <v>1.4449244060475164</v>
      </c>
      <c r="F63" s="47">
        <v>1.5770150320151697</v>
      </c>
      <c r="G63" s="44">
        <v>1.3621435646145026</v>
      </c>
      <c r="H63" s="44">
        <v>1.9056557520574329</v>
      </c>
      <c r="I63" s="20">
        <v>1.6799302234653672</v>
      </c>
      <c r="J63" s="20">
        <v>2.7915304678733475</v>
      </c>
      <c r="K63" s="20">
        <v>2.3075712468267824</v>
      </c>
      <c r="L63" s="20" t="s">
        <v>0</v>
      </c>
      <c r="M63" s="20" t="s">
        <v>0</v>
      </c>
      <c r="N63" s="20" t="s">
        <v>0</v>
      </c>
      <c r="O63" s="21" t="s">
        <v>0</v>
      </c>
    </row>
    <row r="64" spans="1:15" ht="31.5" customHeight="1" thickBot="1" x14ac:dyDescent="0.3">
      <c r="A64" s="52" t="s">
        <v>21</v>
      </c>
      <c r="B64" s="53"/>
      <c r="C64" s="53"/>
      <c r="D64" s="53"/>
      <c r="E64" s="53"/>
      <c r="F64" s="54"/>
      <c r="G64" s="5"/>
      <c r="H64" s="5"/>
      <c r="I64" s="6"/>
      <c r="J64" s="6"/>
      <c r="K64" s="6"/>
      <c r="L64" s="6"/>
      <c r="M64" s="6"/>
      <c r="N64" s="6"/>
      <c r="O64" s="7"/>
    </row>
    <row r="65" spans="1:15" x14ac:dyDescent="0.25">
      <c r="A65" s="55" t="s">
        <v>16</v>
      </c>
      <c r="B65" s="38">
        <v>1.69</v>
      </c>
      <c r="C65" s="38">
        <v>1.64</v>
      </c>
      <c r="D65" s="38">
        <v>1.7</v>
      </c>
      <c r="E65" s="38">
        <v>1.74</v>
      </c>
      <c r="F65" s="56">
        <v>1.71</v>
      </c>
      <c r="G65" s="5"/>
      <c r="H65" s="5"/>
      <c r="I65" s="6"/>
      <c r="J65" s="6"/>
      <c r="K65" s="6"/>
      <c r="L65" s="6"/>
      <c r="M65" s="6"/>
      <c r="N65" s="6"/>
      <c r="O65" s="7"/>
    </row>
    <row r="66" spans="1:15" x14ac:dyDescent="0.25">
      <c r="A66" s="55" t="s">
        <v>17</v>
      </c>
      <c r="B66" s="38">
        <v>1.29</v>
      </c>
      <c r="C66" s="38">
        <v>1.34</v>
      </c>
      <c r="D66" s="38">
        <v>1.67</v>
      </c>
      <c r="E66" s="38">
        <v>1.94</v>
      </c>
      <c r="F66" s="56">
        <v>2.27</v>
      </c>
      <c r="G66" s="5"/>
      <c r="H66" s="5"/>
      <c r="I66" s="6"/>
      <c r="J66" s="6"/>
      <c r="K66" s="6"/>
      <c r="L66" s="6"/>
      <c r="M66" s="6"/>
      <c r="N66" s="6"/>
      <c r="O66" s="7"/>
    </row>
    <row r="67" spans="1:15" ht="30" customHeight="1" x14ac:dyDescent="0.25">
      <c r="A67" s="57" t="s">
        <v>18</v>
      </c>
      <c r="B67" s="37"/>
      <c r="C67" s="37"/>
      <c r="D67" s="37"/>
      <c r="E67" s="37"/>
      <c r="F67" s="58"/>
      <c r="G67" s="5"/>
      <c r="H67" s="5"/>
      <c r="I67" s="6"/>
      <c r="J67" s="6"/>
      <c r="K67" s="6"/>
      <c r="L67" s="6"/>
      <c r="M67" s="6"/>
      <c r="N67" s="6"/>
      <c r="O67" s="7"/>
    </row>
    <row r="68" spans="1:15" x14ac:dyDescent="0.25">
      <c r="A68" s="59" t="s">
        <v>19</v>
      </c>
      <c r="B68" s="39">
        <v>104483</v>
      </c>
      <c r="C68" s="39">
        <v>101431</v>
      </c>
      <c r="D68" s="39">
        <v>110614</v>
      </c>
      <c r="E68" s="39">
        <v>116582</v>
      </c>
      <c r="F68" s="60">
        <v>111163</v>
      </c>
      <c r="G68" s="5"/>
      <c r="H68" s="5"/>
      <c r="I68" s="6"/>
      <c r="J68" s="6"/>
      <c r="K68" s="6"/>
      <c r="L68" s="6"/>
      <c r="M68" s="6"/>
      <c r="N68" s="6"/>
      <c r="O68" s="7"/>
    </row>
    <row r="69" spans="1:15" x14ac:dyDescent="0.25">
      <c r="A69" s="61" t="s">
        <v>20</v>
      </c>
      <c r="B69" s="39">
        <v>61644</v>
      </c>
      <c r="C69" s="39">
        <v>61705</v>
      </c>
      <c r="D69" s="39">
        <v>64910</v>
      </c>
      <c r="E69" s="39">
        <v>66959</v>
      </c>
      <c r="F69" s="60">
        <v>65147</v>
      </c>
      <c r="G69" s="5"/>
      <c r="H69" s="5"/>
      <c r="I69" s="6"/>
      <c r="J69" s="6"/>
      <c r="K69" s="6"/>
      <c r="L69" s="6"/>
      <c r="M69" s="6"/>
      <c r="N69" s="6"/>
      <c r="O69" s="7"/>
    </row>
    <row r="70" spans="1:15" ht="30" customHeight="1" x14ac:dyDescent="0.25">
      <c r="A70" s="57" t="s">
        <v>22</v>
      </c>
      <c r="B70" s="37"/>
      <c r="C70" s="37"/>
      <c r="D70" s="37"/>
      <c r="E70" s="37"/>
      <c r="F70" s="58"/>
      <c r="G70" s="5"/>
      <c r="H70" s="5"/>
      <c r="I70" s="6"/>
      <c r="J70" s="6"/>
      <c r="K70" s="6"/>
      <c r="L70" s="6"/>
      <c r="M70" s="6"/>
      <c r="N70" s="6"/>
      <c r="O70" s="7"/>
    </row>
    <row r="71" spans="1:15" x14ac:dyDescent="0.25">
      <c r="A71" s="59" t="s">
        <v>19</v>
      </c>
      <c r="B71" s="39">
        <v>22521</v>
      </c>
      <c r="C71" s="39">
        <v>21054</v>
      </c>
      <c r="D71" s="39">
        <v>26623</v>
      </c>
      <c r="E71" s="39">
        <v>30467</v>
      </c>
      <c r="F71" s="60">
        <v>34425</v>
      </c>
      <c r="G71" s="5"/>
      <c r="H71" s="5"/>
      <c r="I71" s="6"/>
      <c r="J71" s="6"/>
      <c r="K71" s="6"/>
      <c r="L71" s="6"/>
      <c r="M71" s="6"/>
      <c r="N71" s="6"/>
      <c r="O71" s="7"/>
    </row>
    <row r="72" spans="1:15" x14ac:dyDescent="0.25">
      <c r="A72" s="62" t="s">
        <v>20</v>
      </c>
      <c r="B72" s="63">
        <v>17400</v>
      </c>
      <c r="C72" s="63">
        <v>15746</v>
      </c>
      <c r="D72" s="63">
        <v>15962</v>
      </c>
      <c r="E72" s="63">
        <v>15739</v>
      </c>
      <c r="F72" s="64">
        <v>15182</v>
      </c>
      <c r="G72" s="49"/>
      <c r="H72" s="49"/>
      <c r="I72" s="50"/>
      <c r="J72" s="50"/>
      <c r="K72" s="50"/>
      <c r="L72" s="50"/>
      <c r="M72" s="50"/>
      <c r="N72" s="50"/>
      <c r="O72" s="51"/>
    </row>
  </sheetData>
  <phoneticPr fontId="12" type="noConversion"/>
  <conditionalFormatting sqref="B15:O15 B28:O28 B38:O38 B51:O51 B63:O63">
    <cfRule type="expression" dxfId="3" priority="2">
      <formula>NOT(SUBTOTAL(109,$A16)=$A16)</formula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7DB-63D3-41CC-B60B-74917D67C786}">
  <dimension ref="A1:BR17"/>
  <sheetViews>
    <sheetView topLeftCell="L1" zoomScale="150" zoomScaleNormal="150" workbookViewId="0">
      <selection activeCell="N3" sqref="N3"/>
    </sheetView>
  </sheetViews>
  <sheetFormatPr defaultRowHeight="15" x14ac:dyDescent="0.25"/>
  <cols>
    <col min="1" max="1" width="16" bestFit="1" customWidth="1"/>
    <col min="2" max="2" width="11.28515625" bestFit="1" customWidth="1"/>
    <col min="3" max="3" width="13.7109375" bestFit="1" customWidth="1"/>
    <col min="4" max="4" width="12.140625" bestFit="1" customWidth="1"/>
    <col min="5" max="5" width="25.7109375" bestFit="1" customWidth="1"/>
    <col min="6" max="6" width="26" bestFit="1" customWidth="1"/>
    <col min="7" max="7" width="23.7109375" bestFit="1" customWidth="1"/>
    <col min="8" max="8" width="34.7109375" bestFit="1" customWidth="1"/>
    <col min="9" max="9" width="28.85546875" bestFit="1" customWidth="1"/>
    <col min="10" max="10" width="34.5703125" bestFit="1" customWidth="1"/>
    <col min="11" max="11" width="22.7109375" bestFit="1" customWidth="1"/>
    <col min="12" max="12" width="39.7109375" bestFit="1" customWidth="1"/>
    <col min="13" max="13" width="32.85546875" bestFit="1" customWidth="1"/>
    <col min="14" max="14" width="8.5703125" bestFit="1" customWidth="1"/>
    <col min="15" max="15" width="18.7109375" bestFit="1" customWidth="1"/>
    <col min="16" max="16" width="30.28515625" bestFit="1" customWidth="1"/>
    <col min="17" max="17" width="22.5703125" bestFit="1" customWidth="1"/>
    <col min="18" max="18" width="12.140625" bestFit="1" customWidth="1"/>
    <col min="19" max="19" width="21.7109375" bestFit="1" customWidth="1"/>
    <col min="20" max="20" width="25.5703125" bestFit="1" customWidth="1"/>
    <col min="21" max="21" width="15.140625" bestFit="1" customWidth="1"/>
    <col min="22" max="22" width="12" bestFit="1" customWidth="1"/>
    <col min="23" max="23" width="36.42578125" bestFit="1" customWidth="1"/>
    <col min="24" max="24" width="10.85546875" bestFit="1" customWidth="1"/>
    <col min="25" max="25" width="27.7109375" bestFit="1" customWidth="1"/>
    <col min="26" max="26" width="15.7109375" bestFit="1" customWidth="1"/>
    <col min="27" max="27" width="5.5703125" bestFit="1" customWidth="1"/>
    <col min="28" max="28" width="38.85546875" bestFit="1" customWidth="1"/>
    <col min="29" max="29" width="30.85546875" bestFit="1" customWidth="1"/>
    <col min="30" max="30" width="31.42578125" bestFit="1" customWidth="1"/>
    <col min="31" max="31" width="14.85546875" bestFit="1" customWidth="1"/>
    <col min="32" max="32" width="23.5703125" bestFit="1" customWidth="1"/>
    <col min="33" max="33" width="40.140625" bestFit="1" customWidth="1"/>
    <col min="34" max="34" width="19.140625" bestFit="1" customWidth="1"/>
    <col min="35" max="35" width="41" bestFit="1" customWidth="1"/>
    <col min="36" max="36" width="36" bestFit="1" customWidth="1"/>
    <col min="37" max="37" width="7" bestFit="1" customWidth="1"/>
    <col min="38" max="38" width="14.42578125" bestFit="1" customWidth="1"/>
    <col min="39" max="39" width="17.28515625" bestFit="1" customWidth="1"/>
    <col min="40" max="40" width="16.140625" bestFit="1" customWidth="1"/>
    <col min="41" max="41" width="14" bestFit="1" customWidth="1"/>
    <col min="42" max="42" width="13.28515625" bestFit="1" customWidth="1"/>
    <col min="43" max="43" width="11.85546875" bestFit="1" customWidth="1"/>
    <col min="44" max="44" width="13.7109375" bestFit="1" customWidth="1"/>
    <col min="45" max="45" width="18.28515625" bestFit="1" customWidth="1"/>
    <col min="46" max="46" width="19" bestFit="1" customWidth="1"/>
    <col min="47" max="47" width="25.5703125" bestFit="1" customWidth="1"/>
    <col min="48" max="48" width="25.7109375" bestFit="1" customWidth="1"/>
    <col min="49" max="49" width="33.5703125" bestFit="1" customWidth="1"/>
    <col min="50" max="50" width="8.140625" bestFit="1" customWidth="1"/>
    <col min="51" max="51" width="11.28515625" bestFit="1" customWidth="1"/>
    <col min="52" max="52" width="11.7109375" bestFit="1" customWidth="1"/>
    <col min="53" max="53" width="10.85546875" bestFit="1" customWidth="1"/>
    <col min="54" max="54" width="13.5703125" bestFit="1" customWidth="1"/>
    <col min="55" max="55" width="27.7109375" bestFit="1" customWidth="1"/>
    <col min="56" max="56" width="30" bestFit="1" customWidth="1"/>
    <col min="57" max="57" width="33.5703125" bestFit="1" customWidth="1"/>
    <col min="58" max="58" width="23.42578125" bestFit="1" customWidth="1"/>
    <col min="59" max="59" width="16.7109375" bestFit="1" customWidth="1"/>
    <col min="60" max="60" width="22" bestFit="1" customWidth="1"/>
    <col min="61" max="61" width="25.5703125" bestFit="1" customWidth="1"/>
    <col min="62" max="62" width="52.42578125" bestFit="1" customWidth="1"/>
    <col min="63" max="63" width="5.7109375" bestFit="1" customWidth="1"/>
    <col min="64" max="64" width="6.7109375" bestFit="1" customWidth="1"/>
    <col min="65" max="65" width="25.28515625" bestFit="1" customWidth="1"/>
    <col min="66" max="66" width="8.7109375" bestFit="1" customWidth="1"/>
    <col min="67" max="67" width="9" bestFit="1" customWidth="1"/>
    <col min="68" max="68" width="29.42578125" bestFit="1" customWidth="1"/>
    <col min="69" max="69" width="8.7109375" bestFit="1" customWidth="1"/>
    <col min="70" max="70" width="9" bestFit="1" customWidth="1"/>
  </cols>
  <sheetData>
    <row r="1" spans="1:70" ht="21" x14ac:dyDescent="0.35">
      <c r="A1" s="3" t="s">
        <v>1</v>
      </c>
    </row>
    <row r="3" spans="1:70" s="74" customFormat="1" ht="75" x14ac:dyDescent="0.25">
      <c r="A3" s="23" t="s">
        <v>23</v>
      </c>
      <c r="B3" s="24" t="str">
        <f>"Income Statement"</f>
        <v>Income Statement</v>
      </c>
      <c r="C3" s="65" t="str">
        <f>"    Total Revenue"</f>
        <v xml:space="preserve">    Total Revenue</v>
      </c>
      <c r="D3" s="65" t="str">
        <f>"    Gross Profit"</f>
        <v xml:space="preserve">    Gross Profit</v>
      </c>
      <c r="E3" s="66" t="str">
        <f>"    Total Operating Profit/(Loss)"</f>
        <v xml:space="preserve">    Total Operating Profit/(Loss)</v>
      </c>
      <c r="F3" s="66" t="str">
        <f>"    EBITDA (Analyst Normalized)"</f>
        <v xml:space="preserve">    EBITDA (Analyst Normalized)</v>
      </c>
      <c r="G3" s="66" t="str">
        <f>"    EBIT (Analyst Normalized)"</f>
        <v xml:space="preserve">    EBIT (Analyst Normalized)</v>
      </c>
      <c r="H3" s="66" t="str">
        <f>"    Net Income from Continuing Operations"</f>
        <v xml:space="preserve">    Net Income from Continuing Operations</v>
      </c>
      <c r="I3" s="65" t="str">
        <f>"    Net Income (Analyst Normalized)"</f>
        <v xml:space="preserve">    Net Income (Analyst Normalized)</v>
      </c>
      <c r="J3" s="66" t="str">
        <f>"    Diluted EPS from Continuing operations"</f>
        <v xml:space="preserve">    Diluted EPS from Continuing operations</v>
      </c>
      <c r="K3" s="66" t="str">
        <f>"    EPS (Analyst Normalized)"</f>
        <v xml:space="preserve">    EPS (Analyst Normalized)</v>
      </c>
      <c r="L3" s="66" t="str">
        <f>"    Diluted Weighted Average Shares Outstanding"</f>
        <v xml:space="preserve">    Diluted Weighted Average Shares Outstanding</v>
      </c>
      <c r="M3" s="66" t="str">
        <f>"    Common Dividend per Share (Ex-date)"</f>
        <v xml:space="preserve">    Common Dividend per Share (Ex-date)</v>
      </c>
      <c r="N3" s="26" t="str">
        <f>"Balance Sheet"</f>
        <v>Balance Sheet</v>
      </c>
      <c r="O3" s="65" t="str">
        <f>"    Total Current Assets"</f>
        <v xml:space="preserve">    Total Current Assets</v>
      </c>
      <c r="P3" s="65" t="str">
        <f>"    Net Property, Plant and Equipment"</f>
        <v xml:space="preserve">    Net Property, Plant and Equipment</v>
      </c>
      <c r="Q3" s="65" t="str">
        <f>"    Total Non-Current Assets"</f>
        <v xml:space="preserve">    Total Non-Current Assets</v>
      </c>
      <c r="R3" s="65" t="str">
        <f>"    Total Assets"</f>
        <v xml:space="preserve">    Total Assets</v>
      </c>
      <c r="S3" s="65" t="str">
        <f>"    Total Current Liabilities"</f>
        <v xml:space="preserve">    Total Current Liabilities</v>
      </c>
      <c r="T3" s="65" t="str">
        <f>"    Total Non-Current Liabilities"</f>
        <v xml:space="preserve">    Total Non-Current Liabilities</v>
      </c>
      <c r="U3" s="65" t="str">
        <f>"    Total Liabilities"</f>
        <v xml:space="preserve">    Total Liabilities</v>
      </c>
      <c r="V3" s="65" t="str">
        <f>"    Total Equity"</f>
        <v xml:space="preserve">    Total Equity</v>
      </c>
      <c r="W3" s="65" t="str">
        <f>"    Equity Attributable to Parent Stockholders"</f>
        <v xml:space="preserve">    Equity Attributable to Parent Stockholders</v>
      </c>
      <c r="X3" s="65" t="str">
        <f>"    Total Debt"</f>
        <v xml:space="preserve">    Total Debt</v>
      </c>
      <c r="Y3" s="65" t="str">
        <f>"    Total Shares Outstanding (TSO)"</f>
        <v xml:space="preserve">    Total Shares Outstanding (TSO)</v>
      </c>
      <c r="Z3" s="65" t="str">
        <f>"    Working Capital"</f>
        <v xml:space="preserve">    Working Capital</v>
      </c>
      <c r="AA3" s="26" t="str">
        <f>"Cash Flow"</f>
        <v>Cash Flow</v>
      </c>
      <c r="AB3" s="65" t="str">
        <f>"    Cash Flow from Operating Activities, Indirect"</f>
        <v xml:space="preserve">    Cash Flow from Operating Activities, Indirect</v>
      </c>
      <c r="AC3" s="65" t="str">
        <f>"    Cash Flow from Investing Activities"</f>
        <v xml:space="preserve">    Cash Flow from Investing Activities</v>
      </c>
      <c r="AD3" s="65" t="str">
        <f>"    Cash Flow from Financing Activities"</f>
        <v xml:space="preserve">    Cash Flow from Financing Activities</v>
      </c>
      <c r="AE3" s="67" t="str">
        <f>"    Change in Cash"</f>
        <v xml:space="preserve">    Change in Cash</v>
      </c>
      <c r="AF3" s="66" t="str">
        <f>"    Capital Expenditure (Calc)"</f>
        <v xml:space="preserve">    Capital Expenditure (Calc)</v>
      </c>
      <c r="AG3" s="66" t="str">
        <f>"    Issuance of/(Payments for) Common Stock, Net"</f>
        <v xml:space="preserve">    Issuance of/(Payments for) Common Stock, Net</v>
      </c>
      <c r="AH3" s="66" t="str">
        <f>"    Cash Dividends Paid"</f>
        <v xml:space="preserve">    Cash Dividends Paid</v>
      </c>
      <c r="AI3" s="66" t="str">
        <f>"    Cash and Cash Equivalents, Beginning of Period"</f>
        <v xml:space="preserve">    Cash and Cash Equivalents, Beginning of Period</v>
      </c>
      <c r="AJ3" s="66" t="str">
        <f>"    Cash and Cash Equivalents, End of Period"</f>
        <v xml:space="preserve">    Cash and Cash Equivalents, End of Period</v>
      </c>
      <c r="AK3" s="68" t="str">
        <f>"Ratios"</f>
        <v>Ratios</v>
      </c>
      <c r="AL3" s="65" t="str">
        <f>"    EBITDA Margin"</f>
        <v xml:space="preserve">    EBITDA Margin</v>
      </c>
      <c r="AM3" s="66" t="str">
        <f>"    Revenue % Growth"</f>
        <v xml:space="preserve">    Revenue % Growth</v>
      </c>
      <c r="AN3" s="66" t="str">
        <f>"    EBITDA % Growth"</f>
        <v xml:space="preserve">    EBITDA % Growth</v>
      </c>
      <c r="AO3" s="66" t="str">
        <f>"    EBIT % Growth"</f>
        <v xml:space="preserve">    EBIT % Growth</v>
      </c>
      <c r="AP3" s="66" t="str">
        <f>"    Current Ratio"</f>
        <v xml:space="preserve">    Current Ratio</v>
      </c>
      <c r="AQ3" s="66" t="str">
        <f>"    Quick Ratio"</f>
        <v xml:space="preserve">    Quick Ratio</v>
      </c>
      <c r="AR3" s="66" t="str">
        <f>"    Debt to Equity"</f>
        <v xml:space="preserve">    Debt to Equity</v>
      </c>
      <c r="AS3" s="66" t="str">
        <f>"    Total Debt to Equity"</f>
        <v xml:space="preserve">    Total Debt to Equity</v>
      </c>
      <c r="AT3" s="66" t="str">
        <f>"    Total Asset Turnover"</f>
        <v xml:space="preserve">    Total Asset Turnover</v>
      </c>
      <c r="AU3" s="67" t="str">
        <f>"    Normalized Return on Equity"</f>
        <v xml:space="preserve">    Normalized Return on Equity</v>
      </c>
      <c r="AV3" s="67" t="str">
        <f>"    Normalized Return on Assets"</f>
        <v xml:space="preserve">    Normalized Return on Assets</v>
      </c>
      <c r="AW3" s="67" t="str">
        <f>"    Normalized Return on Invested Capital"</f>
        <v xml:space="preserve">    Normalized Return on Invested Capital</v>
      </c>
      <c r="AX3" s="68" t="str">
        <f>"Multiples*"</f>
        <v>Multiples*</v>
      </c>
      <c r="AY3" s="65" t="str">
        <f>"    Stock Price"</f>
        <v xml:space="preserve">    Stock Price</v>
      </c>
      <c r="AZ3" s="67" t="str">
        <f>"    Market Cap"</f>
        <v xml:space="preserve">    Market Cap</v>
      </c>
      <c r="BA3" s="67" t="str">
        <f>"    EV"</f>
        <v xml:space="preserve">    EV</v>
      </c>
      <c r="BB3" s="67" t="str">
        <f>"    EV to Revenue"</f>
        <v xml:space="preserve">    EV to Revenue</v>
      </c>
      <c r="BC3" s="67" t="str">
        <f>"    EV to EBIT (Analyst Normalized)"</f>
        <v xml:space="preserve">    EV to EBIT (Analyst Normalized)</v>
      </c>
      <c r="BD3" s="67" t="str">
        <f>"    EV to EBITDA (Analyst Normalized)"</f>
        <v xml:space="preserve">    EV to EBITDA (Analyst Normalized)</v>
      </c>
      <c r="BE3" s="67" t="str">
        <f>"    Price to Earnings (Analyst Normalized)"</f>
        <v xml:space="preserve">    Price to Earnings (Analyst Normalized)</v>
      </c>
      <c r="BF3" s="67" t="str">
        <f>"    Forward Price to Earnings"</f>
        <v xml:space="preserve">    Forward Price to Earnings</v>
      </c>
      <c r="BG3" s="67" t="str">
        <f>"    Price to Book (PB)"</f>
        <v xml:space="preserve">    Price to Book (PB)</v>
      </c>
      <c r="BH3" s="67" t="str">
        <f>"    Price to Cash Flow (PCF)"</f>
        <v xml:space="preserve">    Price to Cash Flow (PCF)</v>
      </c>
      <c r="BI3" s="67" t="str">
        <f>"    Price to Tangible Book Value"</f>
        <v xml:space="preserve">    Price to Tangible Book Value</v>
      </c>
      <c r="BJ3" s="69" t="s">
        <v>21</v>
      </c>
      <c r="BK3" s="70" t="s">
        <v>16</v>
      </c>
      <c r="BL3" s="70" t="s">
        <v>17</v>
      </c>
      <c r="BM3" s="71" t="s">
        <v>18</v>
      </c>
      <c r="BN3" s="72" t="s">
        <v>19</v>
      </c>
      <c r="BO3" s="73" t="s">
        <v>20</v>
      </c>
      <c r="BP3" s="71" t="s">
        <v>22</v>
      </c>
      <c r="BQ3" s="72" t="s">
        <v>19</v>
      </c>
      <c r="BR3" s="73" t="s">
        <v>20</v>
      </c>
    </row>
    <row r="4" spans="1:70" s="74" customFormat="1" x14ac:dyDescent="0.25">
      <c r="A4" s="23" t="s">
        <v>2</v>
      </c>
      <c r="B4" s="25" t="s">
        <v>0</v>
      </c>
      <c r="C4" s="75">
        <v>127004000</v>
      </c>
      <c r="D4" s="75">
        <v>17878000</v>
      </c>
      <c r="E4" s="75">
        <v>9324000</v>
      </c>
      <c r="F4" s="75">
        <v>26097000</v>
      </c>
      <c r="G4" s="75">
        <v>14027000</v>
      </c>
      <c r="H4" s="75">
        <v>9945000</v>
      </c>
      <c r="I4" s="75">
        <v>10389000</v>
      </c>
      <c r="J4" s="76">
        <v>6.7</v>
      </c>
      <c r="K4" s="76">
        <v>7.0893429999999995</v>
      </c>
      <c r="L4" s="75">
        <v>1468000000</v>
      </c>
      <c r="M4" s="76" t="s">
        <v>0</v>
      </c>
      <c r="N4" s="25" t="s">
        <v>0</v>
      </c>
      <c r="O4" s="75">
        <v>82103000</v>
      </c>
      <c r="P4" s="75">
        <v>79044000</v>
      </c>
      <c r="Q4" s="75">
        <v>162615000</v>
      </c>
      <c r="R4" s="75">
        <v>244718000</v>
      </c>
      <c r="S4" s="75">
        <v>74408000</v>
      </c>
      <c r="T4" s="75">
        <v>104495000</v>
      </c>
      <c r="U4" s="75">
        <v>178903000</v>
      </c>
      <c r="V4" s="75">
        <v>65815000</v>
      </c>
      <c r="W4" s="75">
        <v>59744000</v>
      </c>
      <c r="X4" s="75">
        <v>110391000</v>
      </c>
      <c r="Y4" s="75">
        <v>1500000000</v>
      </c>
      <c r="Z4" s="75">
        <v>7695000</v>
      </c>
      <c r="AA4" s="25" t="s">
        <v>0</v>
      </c>
      <c r="AB4" s="75">
        <v>15188000</v>
      </c>
      <c r="AC4" s="75">
        <v>-16355000</v>
      </c>
      <c r="AD4" s="75">
        <v>1744000</v>
      </c>
      <c r="AE4" s="75">
        <v>577000</v>
      </c>
      <c r="AF4" s="75">
        <v>22111000</v>
      </c>
      <c r="AG4" s="75" t="s">
        <v>0</v>
      </c>
      <c r="AH4" s="75">
        <v>-186000</v>
      </c>
      <c r="AI4" s="75">
        <v>23117000</v>
      </c>
      <c r="AJ4" s="75">
        <v>23542000</v>
      </c>
      <c r="AK4" s="25" t="s">
        <v>0</v>
      </c>
      <c r="AL4" s="77">
        <v>0.20148971685931152</v>
      </c>
      <c r="AM4" s="77">
        <v>3.6894313589419081E-2</v>
      </c>
      <c r="AN4" s="77">
        <v>0.18198614318706707</v>
      </c>
      <c r="AO4" s="77">
        <v>0.51027703306523686</v>
      </c>
      <c r="AP4" s="78">
        <v>1.1034162993226535</v>
      </c>
      <c r="AQ4" s="78">
        <v>0.84290667670142994</v>
      </c>
      <c r="AR4" s="78">
        <v>1.1649472004862114</v>
      </c>
      <c r="AS4" s="79">
        <v>1.6772924105447087</v>
      </c>
      <c r="AT4" s="79">
        <v>0.52976475014661928</v>
      </c>
      <c r="AU4" s="77">
        <v>0.20047424846294065</v>
      </c>
      <c r="AV4" s="77">
        <v>4.3305861516347521E-2</v>
      </c>
      <c r="AW4" s="77">
        <v>6.5277925662785036E-2</v>
      </c>
      <c r="AX4" s="25" t="s">
        <v>0</v>
      </c>
      <c r="AY4" s="80">
        <v>58.63</v>
      </c>
      <c r="AZ4" s="75">
        <v>85122569.037</v>
      </c>
      <c r="BA4" s="75">
        <v>177281569.037</v>
      </c>
      <c r="BB4" s="78">
        <v>1.3539352138951259</v>
      </c>
      <c r="BC4" s="78">
        <v>12.87728401518123</v>
      </c>
      <c r="BD4" s="78">
        <v>6.8287650335888452</v>
      </c>
      <c r="BE4" s="78">
        <v>7.6447983881640837</v>
      </c>
      <c r="BF4" s="78">
        <v>8.5591240875912415</v>
      </c>
      <c r="BG4" s="78">
        <v>1.6240997229916898</v>
      </c>
      <c r="BH4" s="78">
        <v>4.0177849079582186</v>
      </c>
      <c r="BI4" s="78">
        <v>1.7939172650130548</v>
      </c>
      <c r="BJ4" s="81"/>
      <c r="BK4" s="82">
        <v>1.69</v>
      </c>
      <c r="BL4" s="82">
        <v>1.29</v>
      </c>
      <c r="BM4" s="81"/>
      <c r="BN4" s="83">
        <v>104483</v>
      </c>
      <c r="BO4" s="83">
        <v>61644</v>
      </c>
      <c r="BP4" s="81"/>
      <c r="BQ4" s="83">
        <v>22521</v>
      </c>
      <c r="BR4" s="83">
        <v>17400</v>
      </c>
    </row>
    <row r="5" spans="1:70" s="74" customFormat="1" x14ac:dyDescent="0.25">
      <c r="A5" s="23" t="s">
        <v>3</v>
      </c>
      <c r="B5" s="25" t="s">
        <v>0</v>
      </c>
      <c r="C5" s="75">
        <v>122485000</v>
      </c>
      <c r="D5" s="75">
        <v>13672000</v>
      </c>
      <c r="E5" s="75">
        <v>6634000</v>
      </c>
      <c r="F5" s="75">
        <v>21791620.25316456</v>
      </c>
      <c r="G5" s="75">
        <v>9093620.2531645559</v>
      </c>
      <c r="H5" s="75">
        <v>6321000</v>
      </c>
      <c r="I5" s="75">
        <v>6681215.1898734178</v>
      </c>
      <c r="J5" s="76">
        <v>4.33</v>
      </c>
      <c r="K5" s="76">
        <v>4.5995540000000004</v>
      </c>
      <c r="L5" s="75">
        <v>1442000000</v>
      </c>
      <c r="M5" s="76">
        <v>0.38</v>
      </c>
      <c r="N5" s="25" t="s">
        <v>0</v>
      </c>
      <c r="O5" s="75">
        <v>80924000</v>
      </c>
      <c r="P5" s="75">
        <v>77451000</v>
      </c>
      <c r="Q5" s="75">
        <v>154270000</v>
      </c>
      <c r="R5" s="75">
        <v>235194000</v>
      </c>
      <c r="S5" s="75">
        <v>79910000</v>
      </c>
      <c r="T5" s="75">
        <v>105607000</v>
      </c>
      <c r="U5" s="75">
        <v>185517000</v>
      </c>
      <c r="V5" s="75">
        <v>49677000</v>
      </c>
      <c r="W5" s="75">
        <v>45030000</v>
      </c>
      <c r="X5" s="75">
        <v>110863000</v>
      </c>
      <c r="Y5" s="75">
        <v>1400000000</v>
      </c>
      <c r="Z5" s="75">
        <v>1014000</v>
      </c>
      <c r="AA5" s="25" t="s">
        <v>0</v>
      </c>
      <c r="AB5" s="75">
        <v>16670000</v>
      </c>
      <c r="AC5" s="75">
        <v>-21826000</v>
      </c>
      <c r="AD5" s="75">
        <v>5552000</v>
      </c>
      <c r="AE5" s="75">
        <v>396000</v>
      </c>
      <c r="AF5" s="75">
        <v>20533000</v>
      </c>
      <c r="AG5" s="75" t="s">
        <v>0</v>
      </c>
      <c r="AH5" s="75">
        <v>-669000</v>
      </c>
      <c r="AI5" s="75">
        <v>22943000</v>
      </c>
      <c r="AJ5" s="75">
        <v>23117000</v>
      </c>
      <c r="AK5" s="25" t="s">
        <v>0</v>
      </c>
      <c r="AL5" s="77">
        <v>0.17675633751071559</v>
      </c>
      <c r="AM5" s="77">
        <v>-0.10749287728528023</v>
      </c>
      <c r="AN5" s="77">
        <v>-8.3363869549285541E-3</v>
      </c>
      <c r="AO5" s="77">
        <v>0.14931313390679168</v>
      </c>
      <c r="AP5" s="78">
        <v>1.0126892754348642</v>
      </c>
      <c r="AQ5" s="78">
        <v>0.79191590539356771</v>
      </c>
      <c r="AR5" s="78">
        <v>1.4886164623467601</v>
      </c>
      <c r="AS5" s="79">
        <v>2.2316766310364957</v>
      </c>
      <c r="AT5" s="79">
        <v>0.51591704217390677</v>
      </c>
      <c r="AU5" s="77">
        <v>0.16855138849126824</v>
      </c>
      <c r="AV5" s="77">
        <v>2.9758369620432313E-2</v>
      </c>
      <c r="AW5" s="77">
        <v>4.7172032412823146E-2</v>
      </c>
      <c r="AX5" s="25" t="s">
        <v>0</v>
      </c>
      <c r="AY5" s="80">
        <v>41.64</v>
      </c>
      <c r="AZ5" s="75">
        <v>59599648.464000002</v>
      </c>
      <c r="BA5" s="75">
        <v>145882648.46399999</v>
      </c>
      <c r="BB5" s="78">
        <v>1.2598572319915711</v>
      </c>
      <c r="BC5" s="78">
        <v>26.453797680862152</v>
      </c>
      <c r="BD5" s="78">
        <v>7.8703947573102484</v>
      </c>
      <c r="BE5" s="78">
        <v>15.308823529411766</v>
      </c>
      <c r="BF5" s="78">
        <v>6.8262295081967217</v>
      </c>
      <c r="BG5" s="78">
        <v>1.3450543365404581</v>
      </c>
      <c r="BH5" s="78">
        <v>4.06678159359305</v>
      </c>
      <c r="BI5" s="78">
        <v>1.5302393952120956</v>
      </c>
      <c r="BJ5" s="81"/>
      <c r="BK5" s="82">
        <v>1.64</v>
      </c>
      <c r="BL5" s="82">
        <v>1.34</v>
      </c>
      <c r="BM5" s="81"/>
      <c r="BN5" s="83">
        <v>101431</v>
      </c>
      <c r="BO5" s="83">
        <v>61705</v>
      </c>
      <c r="BP5" s="81"/>
      <c r="BQ5" s="83">
        <v>21054</v>
      </c>
      <c r="BR5" s="83">
        <v>15746</v>
      </c>
    </row>
    <row r="6" spans="1:70" s="74" customFormat="1" x14ac:dyDescent="0.25">
      <c r="A6" s="23" t="s">
        <v>4</v>
      </c>
      <c r="B6" s="25" t="s">
        <v>0</v>
      </c>
      <c r="C6" s="75">
        <v>137237000</v>
      </c>
      <c r="D6" s="75">
        <v>13972000</v>
      </c>
      <c r="E6" s="75">
        <v>5481000</v>
      </c>
      <c r="F6" s="75">
        <v>23731000</v>
      </c>
      <c r="G6" s="75">
        <v>9688000</v>
      </c>
      <c r="H6" s="75">
        <v>6667000</v>
      </c>
      <c r="I6" s="75">
        <v>6932000</v>
      </c>
      <c r="J6" s="76">
        <v>4.57</v>
      </c>
      <c r="K6" s="76">
        <v>4.8197939999999999</v>
      </c>
      <c r="L6" s="75">
        <v>1439000000</v>
      </c>
      <c r="M6" s="76">
        <v>1.52</v>
      </c>
      <c r="N6" s="25" t="s">
        <v>0</v>
      </c>
      <c r="O6" s="75">
        <v>74992000</v>
      </c>
      <c r="P6" s="75">
        <v>80805000</v>
      </c>
      <c r="Q6" s="75">
        <v>153045000</v>
      </c>
      <c r="R6" s="75">
        <v>228037000</v>
      </c>
      <c r="S6" s="75">
        <v>84905000</v>
      </c>
      <c r="T6" s="75">
        <v>97175000</v>
      </c>
      <c r="U6" s="75">
        <v>182080000</v>
      </c>
      <c r="V6" s="75">
        <v>45957000</v>
      </c>
      <c r="W6" s="75">
        <v>41792000</v>
      </c>
      <c r="X6" s="75">
        <v>104334000</v>
      </c>
      <c r="Y6" s="75">
        <v>1400000000</v>
      </c>
      <c r="Z6" s="75">
        <v>-9913000</v>
      </c>
      <c r="AA6" s="25" t="s">
        <v>0</v>
      </c>
      <c r="AB6" s="75">
        <v>15021000</v>
      </c>
      <c r="AC6" s="75">
        <v>-10899000</v>
      </c>
      <c r="AD6" s="75">
        <v>-4677000</v>
      </c>
      <c r="AE6" s="75">
        <v>-555000</v>
      </c>
      <c r="AF6" s="75">
        <v>23996000</v>
      </c>
      <c r="AG6" s="75" t="s">
        <v>0</v>
      </c>
      <c r="AH6" s="75">
        <v>-2350000</v>
      </c>
      <c r="AI6" s="75">
        <v>23496000</v>
      </c>
      <c r="AJ6" s="75">
        <v>22943000</v>
      </c>
      <c r="AK6" s="25" t="s">
        <v>0</v>
      </c>
      <c r="AL6" s="77">
        <v>0.15908246318412672</v>
      </c>
      <c r="AM6" s="77">
        <v>-6.6726057300627639E-2</v>
      </c>
      <c r="AN6" s="77">
        <v>0.50872464669500017</v>
      </c>
      <c r="AO6" s="77">
        <v>-0.12177246589243429</v>
      </c>
      <c r="AP6" s="78">
        <v>0.88324598080207295</v>
      </c>
      <c r="AQ6" s="78">
        <v>0.66711029974677583</v>
      </c>
      <c r="AR6" s="78">
        <v>1.4564484191744458</v>
      </c>
      <c r="AS6" s="79">
        <v>2.2702526274561001</v>
      </c>
      <c r="AT6" s="79">
        <v>0.59473085716960172</v>
      </c>
      <c r="AU6" s="77">
        <v>0.16600650423637486</v>
      </c>
      <c r="AV6" s="77">
        <v>3.0040545202093306E-2</v>
      </c>
      <c r="AW6" s="77">
        <v>4.790095661276083E-2</v>
      </c>
      <c r="AX6" s="25" t="s">
        <v>0</v>
      </c>
      <c r="AY6" s="80">
        <v>36.6</v>
      </c>
      <c r="AZ6" s="75">
        <v>52293496.450000003</v>
      </c>
      <c r="BA6" s="75">
        <v>134200496.45</v>
      </c>
      <c r="BB6" s="78">
        <v>0.92673500759616045</v>
      </c>
      <c r="BC6" s="78">
        <v>10.059253163181172</v>
      </c>
      <c r="BD6" s="78">
        <v>4.8240589686904629</v>
      </c>
      <c r="BE6" s="78">
        <v>5.9034219524068066</v>
      </c>
      <c r="BF6" s="78">
        <v>5.6844364323917826</v>
      </c>
      <c r="BG6" s="78">
        <v>1.1728439753288145</v>
      </c>
      <c r="BH6" s="78">
        <v>2.767241923603073</v>
      </c>
      <c r="BI6" s="78">
        <v>1.3348717743013334</v>
      </c>
      <c r="BJ6" s="81"/>
      <c r="BK6" s="82">
        <v>1.7</v>
      </c>
      <c r="BL6" s="82">
        <v>1.67</v>
      </c>
      <c r="BM6" s="81"/>
      <c r="BN6" s="83">
        <v>110614</v>
      </c>
      <c r="BO6" s="83">
        <v>64910</v>
      </c>
      <c r="BP6" s="81"/>
      <c r="BQ6" s="83">
        <v>26623</v>
      </c>
      <c r="BR6" s="83">
        <v>15962</v>
      </c>
    </row>
    <row r="7" spans="1:70" s="74" customFormat="1" x14ac:dyDescent="0.25">
      <c r="A7" s="23" t="s">
        <v>5</v>
      </c>
      <c r="B7" s="25" t="s">
        <v>0</v>
      </c>
      <c r="C7" s="75">
        <v>147049000</v>
      </c>
      <c r="D7" s="75">
        <v>14095000</v>
      </c>
      <c r="E7" s="75">
        <v>4445000</v>
      </c>
      <c r="F7" s="75">
        <v>17375500</v>
      </c>
      <c r="G7" s="75">
        <v>11774000</v>
      </c>
      <c r="H7" s="75">
        <v>8075000</v>
      </c>
      <c r="I7" s="75">
        <v>9364000</v>
      </c>
      <c r="J7" s="76">
        <v>5.58</v>
      </c>
      <c r="K7" s="76">
        <v>6.54</v>
      </c>
      <c r="L7" s="75">
        <v>1431000000</v>
      </c>
      <c r="M7" s="76">
        <v>1.52</v>
      </c>
      <c r="N7" s="25" t="s">
        <v>0</v>
      </c>
      <c r="O7" s="75">
        <v>75293000</v>
      </c>
      <c r="P7" s="75">
        <v>82317000</v>
      </c>
      <c r="Q7" s="75">
        <v>152046000</v>
      </c>
      <c r="R7" s="75">
        <v>227339000</v>
      </c>
      <c r="S7" s="75">
        <v>82237000</v>
      </c>
      <c r="T7" s="75">
        <v>102325000</v>
      </c>
      <c r="U7" s="75">
        <v>184562000</v>
      </c>
      <c r="V7" s="75">
        <v>42777000</v>
      </c>
      <c r="W7" s="75">
        <v>38860000</v>
      </c>
      <c r="X7" s="75">
        <v>104951000</v>
      </c>
      <c r="Y7" s="75">
        <v>1400000000</v>
      </c>
      <c r="Z7" s="75">
        <v>-6944000</v>
      </c>
      <c r="AA7" s="25" t="s">
        <v>0</v>
      </c>
      <c r="AB7" s="75">
        <v>15256000</v>
      </c>
      <c r="AC7" s="75">
        <v>-20763000</v>
      </c>
      <c r="AD7" s="75">
        <v>11454000</v>
      </c>
      <c r="AE7" s="75">
        <v>5947000</v>
      </c>
      <c r="AF7" s="75">
        <v>25497000</v>
      </c>
      <c r="AG7" s="75" t="s">
        <v>0</v>
      </c>
      <c r="AH7" s="75">
        <v>-2242000</v>
      </c>
      <c r="AI7" s="75">
        <v>17848000</v>
      </c>
      <c r="AJ7" s="75">
        <v>23496000</v>
      </c>
      <c r="AK7" s="25" t="s">
        <v>0</v>
      </c>
      <c r="AL7" s="77">
        <v>9.8405973519031076E-2</v>
      </c>
      <c r="AM7" s="77">
        <v>1.0035167733604355E-2</v>
      </c>
      <c r="AN7" s="77">
        <v>-0.40774771824990796</v>
      </c>
      <c r="AO7" s="77">
        <v>-0.27136049950706542</v>
      </c>
      <c r="AP7" s="78">
        <v>0.91556112212264551</v>
      </c>
      <c r="AQ7" s="78">
        <v>0.73214003429113417</v>
      </c>
      <c r="AR7" s="78">
        <v>1.7079271571171424</v>
      </c>
      <c r="AS7" s="79">
        <v>2.4534446080837835</v>
      </c>
      <c r="AT7" s="79">
        <v>0.6666476259385492</v>
      </c>
      <c r="AU7" s="77">
        <v>0.25668718921497141</v>
      </c>
      <c r="AV7" s="77">
        <v>4.2451756688509104E-2</v>
      </c>
      <c r="AW7" s="77">
        <v>6.9786850639505835E-2</v>
      </c>
      <c r="AX7" s="25" t="s">
        <v>0</v>
      </c>
      <c r="AY7" s="80">
        <v>33.450000000000003</v>
      </c>
      <c r="AZ7" s="75">
        <v>47211451.523999996</v>
      </c>
      <c r="BA7" s="75">
        <v>128047451.524</v>
      </c>
      <c r="BB7" s="78">
        <v>0.87485021367130122</v>
      </c>
      <c r="BC7" s="78">
        <v>12.635430385237813</v>
      </c>
      <c r="BD7" s="78">
        <v>5.4875911341390244</v>
      </c>
      <c r="BE7" s="78">
        <v>4.9482248520710055</v>
      </c>
      <c r="BF7" s="78">
        <v>5.5843071786310521</v>
      </c>
      <c r="BG7" s="78">
        <v>1.2303933159927485</v>
      </c>
      <c r="BH7" s="78">
        <v>2.6087364130434785</v>
      </c>
      <c r="BI7" s="78">
        <v>1.4449244060475164</v>
      </c>
      <c r="BJ7" s="81"/>
      <c r="BK7" s="82">
        <v>1.74</v>
      </c>
      <c r="BL7" s="82">
        <v>1.94</v>
      </c>
      <c r="BM7" s="81"/>
      <c r="BN7" s="83">
        <v>116582</v>
      </c>
      <c r="BO7" s="83">
        <v>66959</v>
      </c>
      <c r="BP7" s="81"/>
      <c r="BQ7" s="83">
        <v>30467</v>
      </c>
      <c r="BR7" s="83">
        <v>15739</v>
      </c>
    </row>
    <row r="8" spans="1:70" s="74" customFormat="1" x14ac:dyDescent="0.25">
      <c r="A8" s="23" t="s">
        <v>6</v>
      </c>
      <c r="B8" s="25" t="s">
        <v>0</v>
      </c>
      <c r="C8" s="75">
        <v>145588000</v>
      </c>
      <c r="D8" s="75">
        <v>18231000</v>
      </c>
      <c r="E8" s="75">
        <v>8661000</v>
      </c>
      <c r="F8" s="75">
        <v>25087000</v>
      </c>
      <c r="G8" s="75">
        <v>12826000</v>
      </c>
      <c r="H8" s="75">
        <v>330000</v>
      </c>
      <c r="I8" s="75">
        <v>9879000</v>
      </c>
      <c r="J8" s="76">
        <v>0.22</v>
      </c>
      <c r="K8" s="76">
        <v>6.61</v>
      </c>
      <c r="L8" s="75">
        <v>1492000000</v>
      </c>
      <c r="M8" s="76">
        <v>1.52</v>
      </c>
      <c r="N8" s="25" t="s">
        <v>0</v>
      </c>
      <c r="O8" s="75">
        <v>68744000</v>
      </c>
      <c r="P8" s="75">
        <v>79135000</v>
      </c>
      <c r="Q8" s="75">
        <v>143738000</v>
      </c>
      <c r="R8" s="75">
        <v>212482000</v>
      </c>
      <c r="S8" s="75">
        <v>76890000</v>
      </c>
      <c r="T8" s="75">
        <v>99392000</v>
      </c>
      <c r="U8" s="75">
        <v>176282000</v>
      </c>
      <c r="V8" s="75">
        <v>36200000</v>
      </c>
      <c r="W8" s="75">
        <v>35001000</v>
      </c>
      <c r="X8" s="75">
        <v>94219000</v>
      </c>
      <c r="Y8" s="75">
        <v>1420407560</v>
      </c>
      <c r="Z8" s="75">
        <v>-8146000</v>
      </c>
      <c r="AA8" s="25" t="s">
        <v>0</v>
      </c>
      <c r="AB8" s="75">
        <v>17328000</v>
      </c>
      <c r="AC8" s="75">
        <v>-27572000</v>
      </c>
      <c r="AD8" s="75">
        <v>12584000</v>
      </c>
      <c r="AE8" s="75">
        <v>2340000</v>
      </c>
      <c r="AF8" s="75">
        <v>27633000</v>
      </c>
      <c r="AG8" s="75">
        <v>-4492000</v>
      </c>
      <c r="AH8" s="75">
        <v>-2233000</v>
      </c>
      <c r="AI8" s="75">
        <v>15160000</v>
      </c>
      <c r="AJ8" s="75">
        <v>17848000</v>
      </c>
      <c r="AK8" s="25" t="s">
        <v>0</v>
      </c>
      <c r="AL8" s="77">
        <v>0.16782289749155149</v>
      </c>
      <c r="AM8" s="77">
        <v>-2.4104461604461558E-2</v>
      </c>
      <c r="AN8" s="77">
        <v>0.10018912103746391</v>
      </c>
      <c r="AO8" s="77">
        <v>-1.7515537977237927E-2</v>
      </c>
      <c r="AP8" s="78">
        <v>0.89405644427103659</v>
      </c>
      <c r="AQ8" s="78">
        <v>0.68292365717258419</v>
      </c>
      <c r="AR8" s="78">
        <v>1.8578453038674032</v>
      </c>
      <c r="AS8" s="79">
        <v>2.6027348066298344</v>
      </c>
      <c r="AT8" s="79">
        <v>0.64148851702596221</v>
      </c>
      <c r="AU8" s="77">
        <v>0.23232019118138239</v>
      </c>
      <c r="AV8" s="77">
        <v>4.3519947266707618E-2</v>
      </c>
      <c r="AW8" s="77">
        <v>7.6497348318980196E-2</v>
      </c>
      <c r="AX8" s="25" t="s">
        <v>0</v>
      </c>
      <c r="AY8" s="80">
        <v>40.99</v>
      </c>
      <c r="AZ8" s="75">
        <v>58222505.884000003</v>
      </c>
      <c r="BA8" s="75">
        <v>130883505.884</v>
      </c>
      <c r="BB8" s="78">
        <v>0.86226130590087691</v>
      </c>
      <c r="BC8" s="78">
        <v>10.692223338289356</v>
      </c>
      <c r="BD8" s="78">
        <v>5.4137783704500331</v>
      </c>
      <c r="BE8" s="78">
        <v>6.4853110631432607</v>
      </c>
      <c r="BF8" s="78">
        <v>6.9304486615898613</v>
      </c>
      <c r="BG8" s="78">
        <v>1.3584735932580547</v>
      </c>
      <c r="BH8" s="78">
        <v>3.2199908069194119</v>
      </c>
      <c r="BI8" s="78">
        <v>1.5770150320151697</v>
      </c>
      <c r="BJ8" s="81"/>
      <c r="BK8" s="82">
        <v>1.71</v>
      </c>
      <c r="BL8" s="82">
        <v>2.27</v>
      </c>
      <c r="BM8" s="81"/>
      <c r="BN8" s="83">
        <v>111163</v>
      </c>
      <c r="BO8" s="83">
        <v>65147</v>
      </c>
      <c r="BP8" s="81"/>
      <c r="BQ8" s="83">
        <v>34425</v>
      </c>
      <c r="BR8" s="83">
        <v>15182</v>
      </c>
    </row>
    <row r="9" spans="1:70" s="74" customFormat="1" x14ac:dyDescent="0.25">
      <c r="A9" s="23" t="s">
        <v>7</v>
      </c>
      <c r="B9" s="25" t="s">
        <v>0</v>
      </c>
      <c r="C9" s="75">
        <v>149184000</v>
      </c>
      <c r="D9" s="75">
        <v>19031000</v>
      </c>
      <c r="E9" s="75">
        <v>8686000</v>
      </c>
      <c r="F9" s="75">
        <v>22504923.076923076</v>
      </c>
      <c r="G9" s="75">
        <v>12685923.076923076</v>
      </c>
      <c r="H9" s="75">
        <v>9269000</v>
      </c>
      <c r="I9" s="75">
        <v>9628250</v>
      </c>
      <c r="J9" s="76">
        <v>6</v>
      </c>
      <c r="K9" s="76">
        <v>6.1305999999999994</v>
      </c>
      <c r="L9" s="75">
        <v>1570000000</v>
      </c>
      <c r="M9" s="76">
        <v>1.52</v>
      </c>
      <c r="N9" s="25" t="s">
        <v>0</v>
      </c>
      <c r="O9" s="75">
        <v>76203000</v>
      </c>
      <c r="P9" s="75">
        <v>66945000</v>
      </c>
      <c r="Q9" s="75">
        <v>145487000</v>
      </c>
      <c r="R9" s="75">
        <v>221690000</v>
      </c>
      <c r="S9" s="75">
        <v>85181000</v>
      </c>
      <c r="T9" s="75">
        <v>92434000</v>
      </c>
      <c r="U9" s="75">
        <v>177615000</v>
      </c>
      <c r="V9" s="75">
        <v>44075000</v>
      </c>
      <c r="W9" s="75">
        <v>43836000</v>
      </c>
      <c r="X9" s="75">
        <v>75123000</v>
      </c>
      <c r="Y9" s="75">
        <v>1524343989</v>
      </c>
      <c r="Z9" s="75">
        <v>-8978000</v>
      </c>
      <c r="AA9" s="25" t="s">
        <v>0</v>
      </c>
      <c r="AB9" s="75">
        <v>16607000</v>
      </c>
      <c r="AC9" s="75">
        <v>-35643000</v>
      </c>
      <c r="AD9" s="75">
        <v>17077000</v>
      </c>
      <c r="AE9" s="75">
        <v>-1959000</v>
      </c>
      <c r="AF9" s="75">
        <v>27879000</v>
      </c>
      <c r="AG9" s="75">
        <v>-2500000</v>
      </c>
      <c r="AH9" s="75">
        <v>-2368000</v>
      </c>
      <c r="AI9" s="75">
        <v>17332000</v>
      </c>
      <c r="AJ9" s="75">
        <v>15160000</v>
      </c>
      <c r="AK9" s="25" t="s">
        <v>0</v>
      </c>
      <c r="AL9" s="77">
        <v>0.14886314886314886</v>
      </c>
      <c r="AM9" s="77">
        <v>9.9163750230244929E-2</v>
      </c>
      <c r="AN9" s="77">
        <v>0.41750175528180256</v>
      </c>
      <c r="AO9" s="77">
        <v>0.51454767726161377</v>
      </c>
      <c r="AP9" s="78">
        <v>0.89460090865333819</v>
      </c>
      <c r="AQ9" s="78">
        <v>0.57808666251863683</v>
      </c>
      <c r="AR9" s="78">
        <v>1.1645150311968235</v>
      </c>
      <c r="AS9" s="79">
        <v>1.704435621100397</v>
      </c>
      <c r="AT9" s="78">
        <v>0.7119792377568912</v>
      </c>
      <c r="AU9" s="77">
        <v>0.2256924066501087</v>
      </c>
      <c r="AV9" s="77">
        <v>4.5882724633973831E-2</v>
      </c>
      <c r="AW9" s="77">
        <v>8.5629891589922291E-2</v>
      </c>
      <c r="AX9" s="25" t="s">
        <v>0</v>
      </c>
      <c r="AY9" s="84">
        <v>34.840000000000003</v>
      </c>
      <c r="AZ9" s="75">
        <v>53108144.577</v>
      </c>
      <c r="BA9" s="75">
        <v>108399144.57700001</v>
      </c>
      <c r="BB9" s="78">
        <v>0.6687878715041059</v>
      </c>
      <c r="BC9" s="78">
        <v>8.1990602279661609</v>
      </c>
      <c r="BD9" s="78">
        <v>8.1990602279661609</v>
      </c>
      <c r="BE9" s="78">
        <v>5.6556945002916317</v>
      </c>
      <c r="BF9" s="78">
        <v>6.0068965517241386</v>
      </c>
      <c r="BG9" s="78">
        <v>1.1686046511627908</v>
      </c>
      <c r="BH9" s="78">
        <v>3.6657527596754891</v>
      </c>
      <c r="BI9" s="78">
        <v>1.3621435646145026</v>
      </c>
    </row>
    <row r="10" spans="1:70" s="74" customFormat="1" x14ac:dyDescent="0.25">
      <c r="A10" s="23" t="s">
        <v>8</v>
      </c>
      <c r="B10" s="25" t="s">
        <v>0</v>
      </c>
      <c r="C10" s="75">
        <v>135725000</v>
      </c>
      <c r="D10" s="75">
        <v>17426000</v>
      </c>
      <c r="E10" s="75">
        <v>5538000</v>
      </c>
      <c r="F10" s="75">
        <v>19160538.461538464</v>
      </c>
      <c r="G10" s="75">
        <v>11673538.461538462</v>
      </c>
      <c r="H10" s="75">
        <v>9590000</v>
      </c>
      <c r="I10" s="75">
        <v>8421500</v>
      </c>
      <c r="J10" s="76">
        <v>5.89</v>
      </c>
      <c r="K10" s="76">
        <v>5.04</v>
      </c>
      <c r="L10" s="75">
        <v>1640000000</v>
      </c>
      <c r="M10" s="76">
        <v>1.38</v>
      </c>
      <c r="N10" s="25" t="s">
        <v>0</v>
      </c>
      <c r="O10" s="75">
        <v>69408000</v>
      </c>
      <c r="P10" s="75">
        <v>51401000</v>
      </c>
      <c r="Q10" s="75">
        <v>124930000</v>
      </c>
      <c r="R10" s="75">
        <v>194338000</v>
      </c>
      <c r="S10" s="75">
        <v>71217000</v>
      </c>
      <c r="T10" s="75">
        <v>82798000</v>
      </c>
      <c r="U10" s="75">
        <v>154015000</v>
      </c>
      <c r="V10" s="75">
        <v>40323000</v>
      </c>
      <c r="W10" s="75">
        <v>39871000</v>
      </c>
      <c r="X10" s="75">
        <v>63111000</v>
      </c>
      <c r="Y10" s="75">
        <v>1500000000</v>
      </c>
      <c r="Z10" s="75">
        <v>-1809000</v>
      </c>
      <c r="AA10" s="25" t="s">
        <v>0</v>
      </c>
      <c r="AB10" s="75">
        <v>11769000</v>
      </c>
      <c r="AC10" s="75">
        <v>-27710000</v>
      </c>
      <c r="AD10" s="75">
        <v>13608000</v>
      </c>
      <c r="AE10" s="75">
        <v>-2333000</v>
      </c>
      <c r="AF10" s="75">
        <v>21909000</v>
      </c>
      <c r="AG10" s="75">
        <v>-3520000</v>
      </c>
      <c r="AH10" s="75">
        <v>-2242000</v>
      </c>
      <c r="AI10" s="75">
        <v>21189000</v>
      </c>
      <c r="AJ10" s="75">
        <v>17332000</v>
      </c>
      <c r="AK10" s="25" t="s">
        <v>0</v>
      </c>
      <c r="AL10" s="77">
        <v>0.11543193958371707</v>
      </c>
      <c r="AM10" s="77">
        <v>-0.12957179229008076</v>
      </c>
      <c r="AN10" s="77">
        <v>0.34181226447413504</v>
      </c>
      <c r="AO10" s="77">
        <v>0.84317260027039209</v>
      </c>
      <c r="AP10" s="78">
        <v>0.97459876153165681</v>
      </c>
      <c r="AQ10" s="78">
        <v>0.69911678391395315</v>
      </c>
      <c r="AR10" s="78">
        <v>1.0800039679587332</v>
      </c>
      <c r="AS10" s="78">
        <v>1.5651365225801652</v>
      </c>
      <c r="AT10" s="78">
        <v>0.73240632915627435</v>
      </c>
      <c r="AU10" s="77">
        <v>0.22621678672405907</v>
      </c>
      <c r="AV10" s="77">
        <v>4.4297834268144091E-2</v>
      </c>
      <c r="AW10" s="77">
        <v>8.935616840608572E-2</v>
      </c>
      <c r="AX10" s="25" t="s">
        <v>0</v>
      </c>
      <c r="AY10" s="76">
        <v>34.01</v>
      </c>
      <c r="AZ10" s="75">
        <v>52925576.708999999</v>
      </c>
      <c r="BA10" s="75">
        <v>87363576.709000006</v>
      </c>
      <c r="BB10" s="78">
        <v>0.573432424313432</v>
      </c>
      <c r="BC10" s="78">
        <v>7.3671453689130191</v>
      </c>
      <c r="BD10" s="78">
        <v>7.3671453689130191</v>
      </c>
      <c r="BE10" s="78">
        <v>7.026859504132231</v>
      </c>
      <c r="BF10" s="78" t="s">
        <v>0</v>
      </c>
      <c r="BG10" s="78">
        <v>1.5709913967319129</v>
      </c>
      <c r="BH10" s="78">
        <v>4.4709971898994691</v>
      </c>
      <c r="BI10" s="78">
        <v>1.9056557520574329</v>
      </c>
    </row>
    <row r="11" spans="1:70" s="74" customFormat="1" x14ac:dyDescent="0.25">
      <c r="A11" s="23" t="s">
        <v>9</v>
      </c>
      <c r="B11" s="25" t="s">
        <v>0</v>
      </c>
      <c r="C11" s="75">
        <v>155929000</v>
      </c>
      <c r="D11" s="75">
        <v>13808000</v>
      </c>
      <c r="E11" s="75">
        <v>1650000</v>
      </c>
      <c r="F11" s="75">
        <v>15118615.384615386</v>
      </c>
      <c r="G11" s="75">
        <v>7880615.384615385</v>
      </c>
      <c r="H11" s="75">
        <v>4018000</v>
      </c>
      <c r="I11" s="75">
        <v>5505500</v>
      </c>
      <c r="J11" s="76">
        <v>1.65</v>
      </c>
      <c r="K11" s="76">
        <v>3.0301130000000001</v>
      </c>
      <c r="L11" s="75">
        <v>1687000000</v>
      </c>
      <c r="M11" s="76">
        <v>1.2</v>
      </c>
      <c r="N11" s="25" t="s">
        <v>0</v>
      </c>
      <c r="O11" s="75">
        <v>83626000</v>
      </c>
      <c r="P11" s="75">
        <v>34803000</v>
      </c>
      <c r="Q11" s="75">
        <v>93875000</v>
      </c>
      <c r="R11" s="75">
        <v>177501000</v>
      </c>
      <c r="S11" s="75">
        <v>65657000</v>
      </c>
      <c r="T11" s="75">
        <v>75820000</v>
      </c>
      <c r="U11" s="75">
        <v>141477000</v>
      </c>
      <c r="V11" s="75">
        <v>36024000</v>
      </c>
      <c r="W11" s="75">
        <v>35457000</v>
      </c>
      <c r="X11" s="75">
        <v>46665000</v>
      </c>
      <c r="Y11" s="75">
        <v>1600000000</v>
      </c>
      <c r="Z11" s="75">
        <v>17969000</v>
      </c>
      <c r="AA11" s="25" t="s">
        <v>0</v>
      </c>
      <c r="AB11" s="75">
        <v>10061000</v>
      </c>
      <c r="AC11" s="75">
        <v>-15359000</v>
      </c>
      <c r="AD11" s="75">
        <v>5675000</v>
      </c>
      <c r="AE11" s="75">
        <v>377000</v>
      </c>
      <c r="AF11" s="75">
        <v>11867000</v>
      </c>
      <c r="AG11" s="75">
        <v>-3277000</v>
      </c>
      <c r="AH11" s="75">
        <v>-3165000</v>
      </c>
      <c r="AI11" s="75">
        <v>22042000</v>
      </c>
      <c r="AJ11" s="75">
        <v>21189000</v>
      </c>
      <c r="AK11" s="25" t="s">
        <v>0</v>
      </c>
      <c r="AL11" s="77">
        <v>7.4880233952632283E-2</v>
      </c>
      <c r="AM11" s="77">
        <v>3.2298120661147234E-3</v>
      </c>
      <c r="AN11" s="77">
        <v>-0.25091422339128766</v>
      </c>
      <c r="AO11" s="77">
        <v>-0.41187384044526898</v>
      </c>
      <c r="AP11" s="78">
        <v>1.2736798818100126</v>
      </c>
      <c r="AQ11" s="78">
        <v>0.81913581187078299</v>
      </c>
      <c r="AR11" s="78">
        <v>0.88055185431934269</v>
      </c>
      <c r="AS11" s="78">
        <v>1.2953864090606262</v>
      </c>
      <c r="AT11" s="78">
        <v>0.89259688799792092</v>
      </c>
      <c r="AU11" s="77">
        <v>0.11305344846487154</v>
      </c>
      <c r="AV11" s="77">
        <v>2.4960479248156024E-2</v>
      </c>
      <c r="AW11" s="77">
        <v>5.5393543201475014E-2</v>
      </c>
      <c r="AX11" s="25" t="s">
        <v>0</v>
      </c>
      <c r="AY11" s="76">
        <v>34.909999999999997</v>
      </c>
      <c r="AZ11" s="75">
        <v>56089767.379000001</v>
      </c>
      <c r="BA11" s="75">
        <v>73234767.378999993</v>
      </c>
      <c r="BB11" s="78">
        <v>0.4670674016658482</v>
      </c>
      <c r="BC11" s="78">
        <v>10.185206323972439</v>
      </c>
      <c r="BD11" s="78">
        <v>10.185206323972439</v>
      </c>
      <c r="BE11" s="78">
        <v>13.972159741288911</v>
      </c>
      <c r="BF11" s="78" t="s">
        <v>0</v>
      </c>
      <c r="BG11" s="78">
        <v>1.4001453889153483</v>
      </c>
      <c r="BH11" s="78">
        <v>5.9264916599678452</v>
      </c>
      <c r="BI11" s="78">
        <v>1.6799302234653672</v>
      </c>
    </row>
    <row r="12" spans="1:70" s="74" customFormat="1" x14ac:dyDescent="0.25">
      <c r="A12" s="23" t="s">
        <v>10</v>
      </c>
      <c r="B12" s="25" t="s">
        <v>0</v>
      </c>
      <c r="C12" s="75">
        <v>155427000</v>
      </c>
      <c r="D12" s="75">
        <v>18054000</v>
      </c>
      <c r="E12" s="75">
        <v>5672000</v>
      </c>
      <c r="F12" s="75">
        <v>16137692.307692308</v>
      </c>
      <c r="G12" s="75">
        <v>8096692.307692308</v>
      </c>
      <c r="H12" s="75">
        <v>5331000</v>
      </c>
      <c r="I12" s="75">
        <v>5566640</v>
      </c>
      <c r="J12" s="76">
        <v>2.38</v>
      </c>
      <c r="K12" s="76">
        <v>3.1483560000000002</v>
      </c>
      <c r="L12" s="75">
        <v>1676000000</v>
      </c>
      <c r="M12" s="76">
        <v>0</v>
      </c>
      <c r="N12" s="25" t="s">
        <v>0</v>
      </c>
      <c r="O12" s="75">
        <v>81501000</v>
      </c>
      <c r="P12" s="75">
        <v>29250000</v>
      </c>
      <c r="Q12" s="75">
        <v>84843000</v>
      </c>
      <c r="R12" s="75">
        <v>166344000</v>
      </c>
      <c r="S12" s="75">
        <v>62412000</v>
      </c>
      <c r="T12" s="75">
        <v>60758000</v>
      </c>
      <c r="U12" s="75">
        <v>123170000</v>
      </c>
      <c r="V12" s="75">
        <v>43174000</v>
      </c>
      <c r="W12" s="75">
        <v>42607000</v>
      </c>
      <c r="X12" s="75">
        <v>36183000</v>
      </c>
      <c r="Y12" s="75">
        <v>1500000000</v>
      </c>
      <c r="Z12" s="75">
        <v>19089000</v>
      </c>
      <c r="AA12" s="25" t="s">
        <v>0</v>
      </c>
      <c r="AB12" s="75">
        <v>12630000</v>
      </c>
      <c r="AC12" s="75">
        <v>-14362000</v>
      </c>
      <c r="AD12" s="75">
        <v>3731000</v>
      </c>
      <c r="AE12" s="75">
        <v>1999000</v>
      </c>
      <c r="AF12" s="75">
        <v>9819000</v>
      </c>
      <c r="AG12" s="75">
        <v>-2438000</v>
      </c>
      <c r="AH12" s="75">
        <v>-1687000</v>
      </c>
      <c r="AI12" s="75">
        <v>18422000</v>
      </c>
      <c r="AJ12" s="75">
        <v>20021000</v>
      </c>
      <c r="AK12" s="25" t="s">
        <v>0</v>
      </c>
      <c r="AL12" s="77">
        <v>0.10028502126400175</v>
      </c>
      <c r="AM12" s="77">
        <v>2.0826765447667039E-2</v>
      </c>
      <c r="AN12" s="77">
        <v>0.5261921080975227</v>
      </c>
      <c r="AO12" s="77" t="s">
        <v>0</v>
      </c>
      <c r="AP12" s="78">
        <v>1.3058546433378198</v>
      </c>
      <c r="AQ12" s="78">
        <v>0.83006473114144719</v>
      </c>
      <c r="AR12" s="78">
        <v>0.51014499467271968</v>
      </c>
      <c r="AS12" s="78">
        <v>0.83807384073748092</v>
      </c>
      <c r="AT12" s="78">
        <v>0.96997591083263646</v>
      </c>
      <c r="AU12" s="77">
        <v>0.1935059468873129</v>
      </c>
      <c r="AV12" s="77">
        <v>3.6070035986393814E-2</v>
      </c>
      <c r="AW12" s="77">
        <v>9.0053283907852416E-2</v>
      </c>
      <c r="AX12" s="25" t="s">
        <v>0</v>
      </c>
      <c r="AY12" s="76">
        <v>40.869999999999997</v>
      </c>
      <c r="AZ12" s="75">
        <v>56767355.527999997</v>
      </c>
      <c r="BA12" s="75">
        <v>68867355.527999997</v>
      </c>
      <c r="BB12" s="78">
        <v>0.44646873255580261</v>
      </c>
      <c r="BC12" s="78" t="s">
        <v>0</v>
      </c>
      <c r="BD12" s="78" t="s">
        <v>0</v>
      </c>
      <c r="BE12" s="78">
        <v>13.760053222148601</v>
      </c>
      <c r="BF12" s="78" t="s">
        <v>0</v>
      </c>
      <c r="BG12" s="78">
        <v>1.9857708058582633</v>
      </c>
      <c r="BH12" s="78">
        <v>6.60342823336231</v>
      </c>
      <c r="BI12" s="78">
        <v>2.7915304678733475</v>
      </c>
    </row>
    <row r="13" spans="1:70" s="74" customFormat="1" x14ac:dyDescent="0.25">
      <c r="A13" s="23" t="s">
        <v>11</v>
      </c>
      <c r="B13" s="25" t="s">
        <v>0</v>
      </c>
      <c r="C13" s="75">
        <v>152256000</v>
      </c>
      <c r="D13" s="75">
        <v>10813000</v>
      </c>
      <c r="E13" s="75">
        <v>-3218000</v>
      </c>
      <c r="F13" s="75">
        <v>10866000</v>
      </c>
      <c r="G13" s="75">
        <v>-27896000</v>
      </c>
      <c r="H13" s="75">
        <v>6136000</v>
      </c>
      <c r="I13" s="75" t="s">
        <v>0</v>
      </c>
      <c r="J13" s="76">
        <v>2.92</v>
      </c>
      <c r="K13" s="76">
        <v>3.2865640000000003</v>
      </c>
      <c r="L13" s="75">
        <v>1675000000</v>
      </c>
      <c r="M13" s="76" t="s">
        <v>0</v>
      </c>
      <c r="N13" s="25" t="s">
        <v>0</v>
      </c>
      <c r="O13" s="75">
        <v>69996000</v>
      </c>
      <c r="P13" s="75">
        <v>25845000</v>
      </c>
      <c r="Q13" s="75">
        <v>79426000</v>
      </c>
      <c r="R13" s="75">
        <v>149422000</v>
      </c>
      <c r="S13" s="75">
        <v>53992000</v>
      </c>
      <c r="T13" s="75">
        <v>58430000</v>
      </c>
      <c r="U13" s="75">
        <v>112422000</v>
      </c>
      <c r="V13" s="75">
        <v>37000000</v>
      </c>
      <c r="W13" s="75">
        <v>36244000</v>
      </c>
      <c r="X13" s="75">
        <v>16050000</v>
      </c>
      <c r="Y13" s="75">
        <v>1366373526</v>
      </c>
      <c r="Z13" s="75">
        <v>16004000</v>
      </c>
      <c r="AA13" s="25" t="s">
        <v>0</v>
      </c>
      <c r="AB13" s="75">
        <v>10605000</v>
      </c>
      <c r="AC13" s="75">
        <v>-3505000</v>
      </c>
      <c r="AD13" s="75">
        <v>-4741000</v>
      </c>
      <c r="AE13" s="75">
        <v>2359000</v>
      </c>
      <c r="AF13" s="75">
        <v>9118000</v>
      </c>
      <c r="AG13" s="75">
        <v>-5098000</v>
      </c>
      <c r="AH13" s="75">
        <v>-939000</v>
      </c>
      <c r="AI13" s="75">
        <v>16071000</v>
      </c>
      <c r="AJ13" s="75">
        <v>18422000</v>
      </c>
      <c r="AK13" s="25" t="s">
        <v>0</v>
      </c>
      <c r="AL13" s="77">
        <v>6.7077816309373692E-2</v>
      </c>
      <c r="AM13" s="77">
        <v>1.3175756607841649E-2</v>
      </c>
      <c r="AN13" s="77">
        <v>-0.38804002636467139</v>
      </c>
      <c r="AO13" s="77" t="s">
        <v>0</v>
      </c>
      <c r="AP13" s="78">
        <v>1.29641428359757</v>
      </c>
      <c r="AQ13" s="78">
        <v>0.7750963105645281</v>
      </c>
      <c r="AR13" s="78">
        <v>0.28464864864864864</v>
      </c>
      <c r="AS13" s="78">
        <v>0.43378378378378379</v>
      </c>
      <c r="AT13" s="78">
        <v>1.0127956448510103</v>
      </c>
      <c r="AU13" s="77">
        <v>1.1680344942509582</v>
      </c>
      <c r="AV13" s="77">
        <v>0.22380405022470207</v>
      </c>
      <c r="AW13" s="77">
        <v>0.61241702886031757</v>
      </c>
      <c r="AX13" s="25" t="s">
        <v>0</v>
      </c>
      <c r="AY13" s="76">
        <v>28.83</v>
      </c>
      <c r="AZ13" s="75">
        <v>45148353.572999999</v>
      </c>
      <c r="BA13" s="75">
        <v>44468353.572999999</v>
      </c>
      <c r="BB13" s="78">
        <v>0.2920630620336801</v>
      </c>
      <c r="BC13" s="78" t="s">
        <v>0</v>
      </c>
      <c r="BD13" s="78">
        <v>4.7794877013112638</v>
      </c>
      <c r="BE13" s="78">
        <v>8.7720792901035836</v>
      </c>
      <c r="BF13" s="78" t="s">
        <v>0</v>
      </c>
      <c r="BG13" s="78">
        <v>1.5237128671558426</v>
      </c>
      <c r="BH13" s="78">
        <v>4.8689503932244396</v>
      </c>
      <c r="BI13" s="78">
        <v>2.3075712468267824</v>
      </c>
    </row>
    <row r="14" spans="1:70" s="74" customFormat="1" x14ac:dyDescent="0.25">
      <c r="A14" s="23" t="s">
        <v>12</v>
      </c>
      <c r="B14" s="25" t="s">
        <v>0</v>
      </c>
      <c r="C14" s="75">
        <v>150276000</v>
      </c>
      <c r="D14" s="75">
        <v>19105000</v>
      </c>
      <c r="E14" s="75">
        <v>6942000</v>
      </c>
      <c r="F14" s="75">
        <v>15703692.307692308</v>
      </c>
      <c r="G14" s="75">
        <v>8276692.307692308</v>
      </c>
      <c r="H14" s="75">
        <v>9287000</v>
      </c>
      <c r="I14" s="75" t="s">
        <v>0</v>
      </c>
      <c r="J14" s="76">
        <v>4.58</v>
      </c>
      <c r="K14" s="76">
        <v>3.4523359999999998</v>
      </c>
      <c r="L14" s="75">
        <v>1668000000</v>
      </c>
      <c r="M14" s="76" t="s">
        <v>0</v>
      </c>
      <c r="N14" s="25" t="s">
        <v>0</v>
      </c>
      <c r="O14" s="75">
        <v>64923000</v>
      </c>
      <c r="P14" s="75">
        <v>23790000</v>
      </c>
      <c r="Q14" s="75">
        <v>79680000</v>
      </c>
      <c r="R14" s="75">
        <v>144603000</v>
      </c>
      <c r="S14" s="75">
        <v>53226000</v>
      </c>
      <c r="T14" s="75">
        <v>52386000</v>
      </c>
      <c r="U14" s="75">
        <v>105612000</v>
      </c>
      <c r="V14" s="75">
        <v>38991000</v>
      </c>
      <c r="W14" s="75">
        <v>38120000</v>
      </c>
      <c r="X14" s="75">
        <v>12855000</v>
      </c>
      <c r="Y14" s="75">
        <v>1564561877</v>
      </c>
      <c r="Z14" s="75">
        <v>11697000</v>
      </c>
      <c r="AA14" s="25" t="s">
        <v>0</v>
      </c>
      <c r="AB14" s="75">
        <v>8166000</v>
      </c>
      <c r="AC14" s="75">
        <v>-12740000</v>
      </c>
      <c r="AD14" s="75">
        <v>-358000</v>
      </c>
      <c r="AE14" s="75">
        <v>-4932000</v>
      </c>
      <c r="AF14" s="75">
        <v>7086000</v>
      </c>
      <c r="AG14" s="75">
        <v>0</v>
      </c>
      <c r="AH14" s="75">
        <v>-916000</v>
      </c>
      <c r="AI14" s="75">
        <v>21256000</v>
      </c>
      <c r="AJ14" s="75">
        <v>16071000</v>
      </c>
      <c r="AK14" s="25" t="s">
        <v>0</v>
      </c>
      <c r="AL14" s="77">
        <v>0.11105565759003434</v>
      </c>
      <c r="AM14" s="77">
        <v>0.10829547465927192</v>
      </c>
      <c r="AN14" s="77">
        <v>0.25481203007518793</v>
      </c>
      <c r="AO14" s="77">
        <v>0.45400313971742534</v>
      </c>
      <c r="AP14" s="78">
        <v>1.2197610190508399</v>
      </c>
      <c r="AQ14" s="78">
        <v>0.85360538082891824</v>
      </c>
      <c r="AR14" s="78">
        <v>0.18894103767536097</v>
      </c>
      <c r="AS14" s="78">
        <v>0.32969146726167575</v>
      </c>
      <c r="AT14" s="78">
        <v>1.0317483203091209</v>
      </c>
      <c r="AU14" s="77">
        <v>0.36210853454458525</v>
      </c>
      <c r="AV14" s="77">
        <v>7.2796216730586227E-2</v>
      </c>
      <c r="AW14" s="77">
        <v>0.20099022716976248</v>
      </c>
      <c r="AX14" s="25" t="s">
        <v>0</v>
      </c>
      <c r="AY14" s="76">
        <v>20.27</v>
      </c>
      <c r="AZ14" s="75">
        <v>31713669.247000001</v>
      </c>
      <c r="BA14" s="75">
        <v>22664669.247000001</v>
      </c>
      <c r="BB14" s="78">
        <v>0.15194055861176659</v>
      </c>
      <c r="BC14" s="78">
        <v>5.575564390405904</v>
      </c>
      <c r="BD14" s="78">
        <v>5.575564390405904</v>
      </c>
      <c r="BE14" s="78">
        <v>6.2738266907220099</v>
      </c>
      <c r="BF14" s="78" t="s">
        <v>0</v>
      </c>
      <c r="BG14" s="78">
        <v>0.92305511779786331</v>
      </c>
      <c r="BH14" s="78">
        <v>6.5833519768563162</v>
      </c>
      <c r="BI14" s="78" t="s">
        <v>0</v>
      </c>
    </row>
    <row r="15" spans="1:70" s="74" customFormat="1" x14ac:dyDescent="0.25">
      <c r="A15" s="23" t="s">
        <v>13</v>
      </c>
      <c r="B15" s="25" t="s">
        <v>0</v>
      </c>
      <c r="C15" s="75">
        <v>135592000</v>
      </c>
      <c r="D15" s="75">
        <v>16672000</v>
      </c>
      <c r="E15" s="75">
        <v>5108000</v>
      </c>
      <c r="F15" s="75">
        <v>14041000</v>
      </c>
      <c r="G15" s="75">
        <v>7111000</v>
      </c>
      <c r="H15" s="75">
        <v>6503000</v>
      </c>
      <c r="I15" s="75" t="s">
        <v>0</v>
      </c>
      <c r="J15" s="76">
        <v>2.89</v>
      </c>
      <c r="K15" s="76">
        <v>3.1381490000000003</v>
      </c>
      <c r="L15" s="75">
        <v>1624000000</v>
      </c>
      <c r="M15" s="76" t="s">
        <v>0</v>
      </c>
      <c r="N15" s="25" t="s">
        <v>0</v>
      </c>
      <c r="O15" s="75">
        <v>53053000</v>
      </c>
      <c r="P15" s="75">
        <v>19235000</v>
      </c>
      <c r="Q15" s="75">
        <v>85845000</v>
      </c>
      <c r="R15" s="75">
        <v>138898000</v>
      </c>
      <c r="S15" s="75">
        <v>47157000</v>
      </c>
      <c r="T15" s="75">
        <v>54582000</v>
      </c>
      <c r="U15" s="75">
        <v>101739000</v>
      </c>
      <c r="V15" s="75">
        <v>37159000</v>
      </c>
      <c r="W15" s="75">
        <v>36180000</v>
      </c>
      <c r="X15" s="75">
        <v>10758000</v>
      </c>
      <c r="Y15" s="75">
        <v>1500136998</v>
      </c>
      <c r="Z15" s="75">
        <v>5896000</v>
      </c>
      <c r="AA15" s="25" t="s">
        <v>0</v>
      </c>
      <c r="AB15" s="75">
        <v>6780000</v>
      </c>
      <c r="AC15" s="75">
        <v>1233000</v>
      </c>
      <c r="AD15" s="75">
        <v>-9770000</v>
      </c>
      <c r="AE15" s="75">
        <v>-1757000</v>
      </c>
      <c r="AF15" s="75">
        <v>4213000</v>
      </c>
      <c r="AG15" s="75">
        <v>3395000</v>
      </c>
      <c r="AH15" s="75">
        <v>-1572000</v>
      </c>
      <c r="AI15" s="75">
        <v>22679000</v>
      </c>
      <c r="AJ15" s="75">
        <v>21256000</v>
      </c>
      <c r="AK15" s="25" t="s">
        <v>0</v>
      </c>
      <c r="AL15" s="77">
        <v>9.8088382795445156E-2</v>
      </c>
      <c r="AM15" s="77">
        <v>0.29642696650699407</v>
      </c>
      <c r="AN15" s="77">
        <v>-0.88795942951974194</v>
      </c>
      <c r="AO15" s="77">
        <v>-0.94064645975233641</v>
      </c>
      <c r="AP15" s="78">
        <v>1.1250291579192908</v>
      </c>
      <c r="AQ15" s="78">
        <v>0.7488813961872044</v>
      </c>
      <c r="AR15" s="78">
        <v>0.24602384348340914</v>
      </c>
      <c r="AS15" s="78">
        <v>0.28951263489329637</v>
      </c>
      <c r="AT15" s="78">
        <v>0.99648563756061215</v>
      </c>
      <c r="AU15" s="77">
        <v>0.28318049176926291</v>
      </c>
      <c r="AV15" s="77">
        <v>4.788234395575848E-2</v>
      </c>
      <c r="AW15" s="77">
        <v>0.18389584132869419</v>
      </c>
      <c r="AX15" s="25" t="s">
        <v>0</v>
      </c>
      <c r="AY15" s="76">
        <v>36.86</v>
      </c>
      <c r="AZ15" s="75">
        <v>55290000</v>
      </c>
      <c r="BA15" s="75">
        <v>50802000</v>
      </c>
      <c r="BB15" s="78">
        <v>0.37466812201309813</v>
      </c>
      <c r="BC15" s="78">
        <v>8.4374688589935225</v>
      </c>
      <c r="BD15" s="78">
        <v>3.9247527812113723</v>
      </c>
      <c r="BE15" s="78">
        <v>11.745777526815965</v>
      </c>
      <c r="BF15" s="78" t="s">
        <v>0</v>
      </c>
      <c r="BG15" s="78">
        <v>2.1441331477094883</v>
      </c>
      <c r="BH15" s="78">
        <v>7.7279421636973913</v>
      </c>
      <c r="BI15" s="78" t="s">
        <v>0</v>
      </c>
    </row>
    <row r="16" spans="1:70" s="74" customFormat="1" x14ac:dyDescent="0.25">
      <c r="A16" s="23" t="s">
        <v>14</v>
      </c>
      <c r="B16" s="25" t="s">
        <v>0</v>
      </c>
      <c r="C16" s="75">
        <v>104589000</v>
      </c>
      <c r="D16" s="75">
        <v>-7606000</v>
      </c>
      <c r="E16" s="75">
        <v>-21023000</v>
      </c>
      <c r="F16" s="75" t="s">
        <v>0</v>
      </c>
      <c r="G16" s="75" t="s">
        <v>0</v>
      </c>
      <c r="H16" s="75">
        <v>105217000</v>
      </c>
      <c r="I16" s="75" t="s">
        <v>0</v>
      </c>
      <c r="J16" s="76">
        <v>113.18</v>
      </c>
      <c r="K16" s="76" t="s">
        <v>0</v>
      </c>
      <c r="L16" s="75">
        <v>925000000</v>
      </c>
      <c r="M16" s="76" t="s">
        <v>0</v>
      </c>
      <c r="N16" s="25" t="s">
        <v>0</v>
      </c>
      <c r="O16" s="75">
        <v>59247000</v>
      </c>
      <c r="P16" s="75">
        <v>18687000</v>
      </c>
      <c r="Q16" s="75">
        <v>77048000</v>
      </c>
      <c r="R16" s="75">
        <v>136295000</v>
      </c>
      <c r="S16" s="75">
        <v>52435000</v>
      </c>
      <c r="T16" s="75">
        <v>61903000</v>
      </c>
      <c r="U16" s="75">
        <v>114338000</v>
      </c>
      <c r="V16" s="75">
        <v>21957000</v>
      </c>
      <c r="W16" s="75">
        <v>21249000</v>
      </c>
      <c r="X16" s="75">
        <v>15783000</v>
      </c>
      <c r="Y16" s="75"/>
      <c r="Z16" s="75">
        <v>6812000</v>
      </c>
      <c r="AA16" s="25" t="s">
        <v>0</v>
      </c>
      <c r="AB16" s="75">
        <v>-17239000</v>
      </c>
      <c r="AC16" s="75">
        <v>-18978000</v>
      </c>
      <c r="AD16" s="75">
        <v>44574000</v>
      </c>
      <c r="AE16" s="75">
        <v>8357000</v>
      </c>
      <c r="AF16" s="75">
        <v>5379000</v>
      </c>
      <c r="AG16" s="75">
        <v>0</v>
      </c>
      <c r="AH16" s="75">
        <v>-97000</v>
      </c>
      <c r="AI16" s="75">
        <v>32675000</v>
      </c>
      <c r="AJ16" s="75">
        <v>41692000</v>
      </c>
      <c r="AK16" s="25" t="s">
        <v>0</v>
      </c>
      <c r="AL16" s="77">
        <v>1.1349855147290824</v>
      </c>
      <c r="AM16" s="77">
        <v>-0.29796145765510573</v>
      </c>
      <c r="AN16" s="77" t="s">
        <v>0</v>
      </c>
      <c r="AO16" s="77" t="s">
        <v>0</v>
      </c>
      <c r="AP16" s="78">
        <v>1.1299132258987317</v>
      </c>
      <c r="AQ16" s="78">
        <v>0.57844950891580049</v>
      </c>
      <c r="AR16" s="78">
        <v>0.25331329416586967</v>
      </c>
      <c r="AS16" s="78">
        <v>0.71881404563464957</v>
      </c>
      <c r="AT16" s="78">
        <v>0.92013513156852911</v>
      </c>
      <c r="AU16" s="77" t="s">
        <v>0</v>
      </c>
      <c r="AV16" s="77">
        <v>0.94293550458796305</v>
      </c>
      <c r="AW16" s="77" t="s">
        <v>0</v>
      </c>
      <c r="AX16" s="25" t="s">
        <v>0</v>
      </c>
      <c r="AY16" s="76" t="s">
        <v>0</v>
      </c>
      <c r="AZ16" s="75" t="s">
        <v>0</v>
      </c>
      <c r="BA16" s="75" t="s">
        <v>0</v>
      </c>
      <c r="BB16" s="78" t="s">
        <v>0</v>
      </c>
      <c r="BC16" s="78" t="s">
        <v>0</v>
      </c>
      <c r="BD16" s="78" t="s">
        <v>0</v>
      </c>
      <c r="BE16" s="78" t="s">
        <v>0</v>
      </c>
      <c r="BF16" s="78" t="s">
        <v>0</v>
      </c>
      <c r="BG16" s="78" t="s">
        <v>0</v>
      </c>
      <c r="BH16" s="78" t="s">
        <v>0</v>
      </c>
      <c r="BI16" s="78" t="s">
        <v>0</v>
      </c>
    </row>
    <row r="17" spans="1:61" s="74" customFormat="1" x14ac:dyDescent="0.25">
      <c r="A17" s="23" t="s">
        <v>15</v>
      </c>
      <c r="B17" s="25" t="s">
        <v>0</v>
      </c>
      <c r="C17" s="75">
        <v>148979000</v>
      </c>
      <c r="D17" s="75">
        <v>-278000</v>
      </c>
      <c r="E17" s="75">
        <v>-20620000</v>
      </c>
      <c r="F17" s="75" t="s">
        <v>0</v>
      </c>
      <c r="G17" s="75" t="s">
        <v>0</v>
      </c>
      <c r="H17" s="75">
        <v>-31051000</v>
      </c>
      <c r="I17" s="75" t="s">
        <v>0</v>
      </c>
      <c r="J17" s="76">
        <v>-53.47</v>
      </c>
      <c r="K17" s="76" t="s">
        <v>0</v>
      </c>
      <c r="L17" s="75">
        <v>579000000</v>
      </c>
      <c r="M17" s="76" t="s">
        <v>0</v>
      </c>
      <c r="N17" s="25" t="s">
        <v>0</v>
      </c>
      <c r="O17" s="75">
        <v>44267000</v>
      </c>
      <c r="P17" s="75">
        <v>39665000</v>
      </c>
      <c r="Q17" s="75">
        <v>46772000</v>
      </c>
      <c r="R17" s="75">
        <v>91039000</v>
      </c>
      <c r="S17" s="75">
        <v>75608000</v>
      </c>
      <c r="T17" s="75">
        <v>100507000</v>
      </c>
      <c r="U17" s="75">
        <v>176115000</v>
      </c>
      <c r="V17" s="75">
        <v>-85076000</v>
      </c>
      <c r="W17" s="75">
        <v>-85560000</v>
      </c>
      <c r="X17" s="75">
        <v>45938000</v>
      </c>
      <c r="Y17" s="75"/>
      <c r="Z17" s="75">
        <v>-31341000</v>
      </c>
      <c r="AA17" s="25" t="s">
        <v>0</v>
      </c>
      <c r="AB17" s="75">
        <v>-12065000</v>
      </c>
      <c r="AC17" s="75">
        <v>-1764000</v>
      </c>
      <c r="AD17" s="75">
        <v>3843000</v>
      </c>
      <c r="AE17" s="75">
        <v>-9986000</v>
      </c>
      <c r="AF17" s="75">
        <v>7530000</v>
      </c>
      <c r="AG17" s="75" t="s">
        <v>0</v>
      </c>
      <c r="AH17" s="75">
        <v>-283000</v>
      </c>
      <c r="AI17" s="75">
        <v>24817000</v>
      </c>
      <c r="AJ17" s="75">
        <v>14053000</v>
      </c>
      <c r="AK17" s="25" t="s">
        <v>0</v>
      </c>
      <c r="AL17" s="77">
        <v>-0.11523100571221448</v>
      </c>
      <c r="AM17" s="77" t="s">
        <v>0</v>
      </c>
      <c r="AN17" s="77" t="s">
        <v>0</v>
      </c>
      <c r="AO17" s="77" t="s">
        <v>0</v>
      </c>
      <c r="AP17" s="78">
        <v>0.58548037244736006</v>
      </c>
      <c r="AQ17" s="78">
        <v>0.29245582478044652</v>
      </c>
      <c r="AR17" s="78" t="s">
        <v>0</v>
      </c>
      <c r="AS17" s="78" t="s">
        <v>0</v>
      </c>
      <c r="AT17" s="78">
        <v>1.6364305407572579</v>
      </c>
      <c r="AU17" s="77" t="s">
        <v>0</v>
      </c>
      <c r="AV17" s="77">
        <v>-0.27857896066520943</v>
      </c>
      <c r="AW17" s="77" t="s">
        <v>0</v>
      </c>
      <c r="AX17" s="25" t="s">
        <v>0</v>
      </c>
      <c r="AY17" s="76" t="s">
        <v>0</v>
      </c>
      <c r="AZ17" s="75" t="s">
        <v>0</v>
      </c>
      <c r="BA17" s="75" t="s">
        <v>0</v>
      </c>
      <c r="BB17" s="78" t="s">
        <v>0</v>
      </c>
      <c r="BC17" s="78" t="s">
        <v>0</v>
      </c>
      <c r="BD17" s="78" t="s">
        <v>0</v>
      </c>
      <c r="BE17" s="78" t="s">
        <v>0</v>
      </c>
      <c r="BF17" s="78" t="s">
        <v>0</v>
      </c>
      <c r="BG17" s="78" t="s">
        <v>0</v>
      </c>
      <c r="BH17" s="78" t="s">
        <v>0</v>
      </c>
      <c r="BI17" s="78" t="s">
        <v>0</v>
      </c>
    </row>
  </sheetData>
  <conditionalFormatting sqref="M4:M8 Z4:Z8 AJ4:AJ8 AW4:AW8 BI4:BI8">
    <cfRule type="expression" dxfId="2" priority="2">
      <formula>NOT(SUBTOTAL(109,$A5)=$A5)</formula>
    </cfRule>
  </conditionalFormatting>
  <conditionalFormatting sqref="M9:M17 Z9:Z17 AJ9:AJ17 AW9:AW17 BI9:BI17">
    <cfRule type="expression" dxfId="0" priority="1">
      <formula>NOT(SUBTOTAL(109,$A10)=$A10)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ETL GM#1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 Gaikhe</dc:creator>
  <cp:lastModifiedBy>Om Gaikhe</cp:lastModifiedBy>
  <dcterms:created xsi:type="dcterms:W3CDTF">2022-11-05T07:18:46Z</dcterms:created>
  <dcterms:modified xsi:type="dcterms:W3CDTF">2022-11-08T03:51:36Z</dcterms:modified>
</cp:coreProperties>
</file>