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gai\Desktop\P1 dataset &amp; files\"/>
    </mc:Choice>
  </mc:AlternateContent>
  <xr:revisionPtr revIDLastSave="0" documentId="13_ncr:1_{B0F4A68C-2751-41EF-9A64-7EC79A81AE4E}" xr6:coauthVersionLast="47" xr6:coauthVersionMax="47" xr10:uidLastSave="{00000000-0000-0000-0000-000000000000}"/>
  <bookViews>
    <workbookView xWindow="-120" yWindow="-120" windowWidth="29040" windowHeight="15720" tabRatio="715" firstSheet="1" activeTab="2" xr2:uid="{00000000-000D-0000-FFFF-FFFF00000000}"/>
  </bookViews>
  <sheets>
    <sheet name="Peer Group" sheetId="1" r:id="rId1"/>
    <sheet name="Income Statement" sheetId="3" r:id="rId2"/>
    <sheet name="Key Metrics" sheetId="2" r:id="rId3"/>
    <sheet name="Balance Sheet" sheetId="4" r:id="rId4"/>
    <sheet name="Cash Flow" sheetId="5" r:id="rId5"/>
    <sheet name="Segments" sheetId="16" r:id="rId6"/>
    <sheet name="Ratios" sheetId="7" r:id="rId7"/>
    <sheet name="PB_CACHE" sheetId="13" state="veryHidden" r:id="rId8"/>
    <sheet name="Estimates" sheetId="12" r:id="rId9"/>
    <sheet name="Sourcing" sheetId="10" r:id="rId10"/>
  </sheets>
  <externalReferences>
    <externalReference r:id="rId11"/>
  </externalReferences>
  <definedNames>
    <definedName name="CreatedFor">'Peer Group'!$D$5</definedName>
    <definedName name="CreatedForTitle">'Peer Group'!$C$5</definedName>
    <definedName name="FT_GROUP">'[1]Developing Store'!$D$20</definedName>
    <definedName name="FT_SIMPLE">'[1]Developing Store'!$D$22</definedName>
    <definedName name="FT_SIMPLE_BORDERED">'[1]Developing Store'!$D$24</definedName>
    <definedName name="FT_SUB_GROUP">'[1]Developing Store'!$D$26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  <c r="C11" i="16"/>
  <c r="C38" i="2"/>
  <c r="C35" i="16"/>
  <c r="C134" i="4"/>
  <c r="C10" i="2"/>
  <c r="C45" i="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K99" i="7"/>
  <c r="J99" i="7"/>
  <c r="I99" i="7"/>
  <c r="H99" i="7"/>
  <c r="G99" i="7"/>
  <c r="F99" i="7"/>
  <c r="E99" i="7"/>
  <c r="D99" i="7"/>
  <c r="C99" i="7"/>
  <c r="K98" i="7"/>
  <c r="J98" i="7"/>
  <c r="I98" i="7"/>
  <c r="H98" i="7"/>
  <c r="G98" i="7"/>
  <c r="F98" i="7"/>
  <c r="E98" i="7"/>
  <c r="D98" i="7"/>
  <c r="C98" i="7"/>
  <c r="K97" i="7"/>
  <c r="J97" i="7"/>
  <c r="I97" i="7"/>
  <c r="H97" i="7"/>
  <c r="G97" i="7"/>
  <c r="F97" i="7"/>
  <c r="E97" i="7"/>
  <c r="D97" i="7"/>
  <c r="C97" i="7"/>
  <c r="K96" i="7"/>
  <c r="J96" i="7"/>
  <c r="I96" i="7"/>
  <c r="H96" i="7"/>
  <c r="G96" i="7"/>
  <c r="F96" i="7"/>
  <c r="E96" i="7"/>
  <c r="D96" i="7"/>
  <c r="C96" i="7"/>
  <c r="K95" i="7"/>
  <c r="J95" i="7"/>
  <c r="I95" i="7"/>
  <c r="H95" i="7"/>
  <c r="G95" i="7"/>
  <c r="F95" i="7"/>
  <c r="E95" i="7"/>
  <c r="D95" i="7"/>
  <c r="C95" i="7"/>
  <c r="K94" i="7"/>
  <c r="J94" i="7"/>
  <c r="I94" i="7"/>
  <c r="H94" i="7"/>
  <c r="G94" i="7"/>
  <c r="F94" i="7"/>
  <c r="E94" i="7"/>
  <c r="D94" i="7"/>
  <c r="C94" i="7"/>
  <c r="K93" i="7"/>
  <c r="J93" i="7"/>
  <c r="I93" i="7"/>
  <c r="H93" i="7"/>
  <c r="G93" i="7"/>
  <c r="F93" i="7"/>
  <c r="E93" i="7"/>
  <c r="D93" i="7"/>
  <c r="C93" i="7"/>
  <c r="K92" i="7"/>
  <c r="J92" i="7"/>
  <c r="I92" i="7"/>
  <c r="H92" i="7"/>
  <c r="G92" i="7"/>
  <c r="F92" i="7"/>
  <c r="E92" i="7"/>
  <c r="D92" i="7"/>
  <c r="C92" i="7"/>
  <c r="C91" i="7"/>
  <c r="K90" i="7"/>
  <c r="J90" i="7"/>
  <c r="I90" i="7"/>
  <c r="H90" i="7"/>
  <c r="G90" i="7"/>
  <c r="F90" i="7"/>
  <c r="E90" i="7"/>
  <c r="D90" i="7"/>
  <c r="C90" i="7"/>
  <c r="K89" i="7"/>
  <c r="J89" i="7"/>
  <c r="I89" i="7"/>
  <c r="H89" i="7"/>
  <c r="G89" i="7"/>
  <c r="F89" i="7"/>
  <c r="E89" i="7"/>
  <c r="D89" i="7"/>
  <c r="C89" i="7"/>
  <c r="K88" i="7"/>
  <c r="J88" i="7"/>
  <c r="I88" i="7"/>
  <c r="H88" i="7"/>
  <c r="G88" i="7"/>
  <c r="F88" i="7"/>
  <c r="E88" i="7"/>
  <c r="D88" i="7"/>
  <c r="C88" i="7"/>
  <c r="K87" i="7"/>
  <c r="J87" i="7"/>
  <c r="I87" i="7"/>
  <c r="H87" i="7"/>
  <c r="G87" i="7"/>
  <c r="F87" i="7"/>
  <c r="E87" i="7"/>
  <c r="D87" i="7"/>
  <c r="C87" i="7"/>
  <c r="K86" i="7"/>
  <c r="J86" i="7"/>
  <c r="I86" i="7"/>
  <c r="H86" i="7"/>
  <c r="G86" i="7"/>
  <c r="F86" i="7"/>
  <c r="E86" i="7"/>
  <c r="D86" i="7"/>
  <c r="C86" i="7"/>
  <c r="K85" i="7"/>
  <c r="J85" i="7"/>
  <c r="I85" i="7"/>
  <c r="H85" i="7"/>
  <c r="G85" i="7"/>
  <c r="F85" i="7"/>
  <c r="E85" i="7"/>
  <c r="D85" i="7"/>
  <c r="C85" i="7"/>
  <c r="C84" i="7"/>
  <c r="K83" i="7"/>
  <c r="J83" i="7"/>
  <c r="I83" i="7"/>
  <c r="H83" i="7"/>
  <c r="G83" i="7"/>
  <c r="F83" i="7"/>
  <c r="E83" i="7"/>
  <c r="D83" i="7"/>
  <c r="C83" i="7"/>
  <c r="K82" i="7"/>
  <c r="J82" i="7"/>
  <c r="I82" i="7"/>
  <c r="H82" i="7"/>
  <c r="G82" i="7"/>
  <c r="F82" i="7"/>
  <c r="E82" i="7"/>
  <c r="D82" i="7"/>
  <c r="C82" i="7"/>
  <c r="K81" i="7"/>
  <c r="J81" i="7"/>
  <c r="I81" i="7"/>
  <c r="H81" i="7"/>
  <c r="G81" i="7"/>
  <c r="F81" i="7"/>
  <c r="E81" i="7"/>
  <c r="D81" i="7"/>
  <c r="C81" i="7"/>
  <c r="K80" i="7"/>
  <c r="J80" i="7"/>
  <c r="I80" i="7"/>
  <c r="H80" i="7"/>
  <c r="G80" i="7"/>
  <c r="F80" i="7"/>
  <c r="E80" i="7"/>
  <c r="D80" i="7"/>
  <c r="C80" i="7"/>
  <c r="K79" i="7"/>
  <c r="J79" i="7"/>
  <c r="I79" i="7"/>
  <c r="H79" i="7"/>
  <c r="G79" i="7"/>
  <c r="F79" i="7"/>
  <c r="E79" i="7"/>
  <c r="D79" i="7"/>
  <c r="C79" i="7"/>
  <c r="K78" i="7"/>
  <c r="J78" i="7"/>
  <c r="I78" i="7"/>
  <c r="H78" i="7"/>
  <c r="G78" i="7"/>
  <c r="F78" i="7"/>
  <c r="E78" i="7"/>
  <c r="D78" i="7"/>
  <c r="C78" i="7"/>
  <c r="K77" i="7"/>
  <c r="J77" i="7"/>
  <c r="I77" i="7"/>
  <c r="H77" i="7"/>
  <c r="G77" i="7"/>
  <c r="F77" i="7"/>
  <c r="E77" i="7"/>
  <c r="D77" i="7"/>
  <c r="C77" i="7"/>
  <c r="C76" i="7"/>
  <c r="K75" i="7"/>
  <c r="J75" i="7"/>
  <c r="I75" i="7"/>
  <c r="H75" i="7"/>
  <c r="G75" i="7"/>
  <c r="F75" i="7"/>
  <c r="E75" i="7"/>
  <c r="D75" i="7"/>
  <c r="C75" i="7"/>
  <c r="K74" i="7"/>
  <c r="J74" i="7"/>
  <c r="I74" i="7"/>
  <c r="H74" i="7"/>
  <c r="G74" i="7"/>
  <c r="F74" i="7"/>
  <c r="E74" i="7"/>
  <c r="D74" i="7"/>
  <c r="C74" i="7"/>
  <c r="K73" i="7"/>
  <c r="J73" i="7"/>
  <c r="I73" i="7"/>
  <c r="H73" i="7"/>
  <c r="G73" i="7"/>
  <c r="F73" i="7"/>
  <c r="E73" i="7"/>
  <c r="D73" i="7"/>
  <c r="C73" i="7"/>
  <c r="K72" i="7"/>
  <c r="J72" i="7"/>
  <c r="I72" i="7"/>
  <c r="H72" i="7"/>
  <c r="G72" i="7"/>
  <c r="F72" i="7"/>
  <c r="E72" i="7"/>
  <c r="D72" i="7"/>
  <c r="C72" i="7"/>
  <c r="K71" i="7"/>
  <c r="J71" i="7"/>
  <c r="I71" i="7"/>
  <c r="H71" i="7"/>
  <c r="G71" i="7"/>
  <c r="F71" i="7"/>
  <c r="E71" i="7"/>
  <c r="D71" i="7"/>
  <c r="C71" i="7"/>
  <c r="K70" i="7"/>
  <c r="J70" i="7"/>
  <c r="I70" i="7"/>
  <c r="H70" i="7"/>
  <c r="G70" i="7"/>
  <c r="F70" i="7"/>
  <c r="E70" i="7"/>
  <c r="D70" i="7"/>
  <c r="C70" i="7"/>
  <c r="K69" i="7"/>
  <c r="J69" i="7"/>
  <c r="I69" i="7"/>
  <c r="H69" i="7"/>
  <c r="G69" i="7"/>
  <c r="F69" i="7"/>
  <c r="E69" i="7"/>
  <c r="D69" i="7"/>
  <c r="C69" i="7"/>
  <c r="K68" i="7"/>
  <c r="J68" i="7"/>
  <c r="I68" i="7"/>
  <c r="H68" i="7"/>
  <c r="G68" i="7"/>
  <c r="F68" i="7"/>
  <c r="E68" i="7"/>
  <c r="D68" i="7"/>
  <c r="C68" i="7"/>
  <c r="K67" i="7"/>
  <c r="J67" i="7"/>
  <c r="I67" i="7"/>
  <c r="H67" i="7"/>
  <c r="G67" i="7"/>
  <c r="F67" i="7"/>
  <c r="E67" i="7"/>
  <c r="D67" i="7"/>
  <c r="C67" i="7"/>
  <c r="K66" i="7"/>
  <c r="J66" i="7"/>
  <c r="I66" i="7"/>
  <c r="H66" i="7"/>
  <c r="G66" i="7"/>
  <c r="F66" i="7"/>
  <c r="E66" i="7"/>
  <c r="D66" i="7"/>
  <c r="C66" i="7"/>
  <c r="K65" i="7"/>
  <c r="J65" i="7"/>
  <c r="I65" i="7"/>
  <c r="H65" i="7"/>
  <c r="G65" i="7"/>
  <c r="F65" i="7"/>
  <c r="E65" i="7"/>
  <c r="D65" i="7"/>
  <c r="C65" i="7"/>
  <c r="C64" i="7"/>
  <c r="K63" i="7"/>
  <c r="J63" i="7"/>
  <c r="I63" i="7"/>
  <c r="H63" i="7"/>
  <c r="G63" i="7"/>
  <c r="F63" i="7"/>
  <c r="E63" i="7"/>
  <c r="D63" i="7"/>
  <c r="C63" i="7"/>
  <c r="K62" i="7"/>
  <c r="J62" i="7"/>
  <c r="I62" i="7"/>
  <c r="H62" i="7"/>
  <c r="G62" i="7"/>
  <c r="F62" i="7"/>
  <c r="E62" i="7"/>
  <c r="D62" i="7"/>
  <c r="C62" i="7"/>
  <c r="K61" i="7"/>
  <c r="J61" i="7"/>
  <c r="I61" i="7"/>
  <c r="H61" i="7"/>
  <c r="G61" i="7"/>
  <c r="F61" i="7"/>
  <c r="E61" i="7"/>
  <c r="D61" i="7"/>
  <c r="C61" i="7"/>
  <c r="K60" i="7"/>
  <c r="J60" i="7"/>
  <c r="I60" i="7"/>
  <c r="H60" i="7"/>
  <c r="G60" i="7"/>
  <c r="F60" i="7"/>
  <c r="E60" i="7"/>
  <c r="D60" i="7"/>
  <c r="C60" i="7"/>
  <c r="K59" i="7"/>
  <c r="J59" i="7"/>
  <c r="I59" i="7"/>
  <c r="H59" i="7"/>
  <c r="G59" i="7"/>
  <c r="F59" i="7"/>
  <c r="E59" i="7"/>
  <c r="D59" i="7"/>
  <c r="C59" i="7"/>
  <c r="K58" i="7"/>
  <c r="J58" i="7"/>
  <c r="I58" i="7"/>
  <c r="H58" i="7"/>
  <c r="G58" i="7"/>
  <c r="F58" i="7"/>
  <c r="E58" i="7"/>
  <c r="D58" i="7"/>
  <c r="C58" i="7"/>
  <c r="K57" i="7"/>
  <c r="J57" i="7"/>
  <c r="I57" i="7"/>
  <c r="H57" i="7"/>
  <c r="G57" i="7"/>
  <c r="F57" i="7"/>
  <c r="E57" i="7"/>
  <c r="D57" i="7"/>
  <c r="C57" i="7"/>
  <c r="K56" i="7"/>
  <c r="J56" i="7"/>
  <c r="I56" i="7"/>
  <c r="H56" i="7"/>
  <c r="G56" i="7"/>
  <c r="F56" i="7"/>
  <c r="E56" i="7"/>
  <c r="D56" i="7"/>
  <c r="C56" i="7"/>
  <c r="K55" i="7"/>
  <c r="J55" i="7"/>
  <c r="I55" i="7"/>
  <c r="H55" i="7"/>
  <c r="G55" i="7"/>
  <c r="F55" i="7"/>
  <c r="E55" i="7"/>
  <c r="D55" i="7"/>
  <c r="C55" i="7"/>
  <c r="C54" i="7"/>
  <c r="K53" i="7"/>
  <c r="J53" i="7"/>
  <c r="I53" i="7"/>
  <c r="H53" i="7"/>
  <c r="G53" i="7"/>
  <c r="F53" i="7"/>
  <c r="E53" i="7"/>
  <c r="D53" i="7"/>
  <c r="C53" i="7"/>
  <c r="K52" i="7"/>
  <c r="J52" i="7"/>
  <c r="I52" i="7"/>
  <c r="H52" i="7"/>
  <c r="G52" i="7"/>
  <c r="F52" i="7"/>
  <c r="E52" i="7"/>
  <c r="D52" i="7"/>
  <c r="C52" i="7"/>
  <c r="K51" i="7"/>
  <c r="J51" i="7"/>
  <c r="I51" i="7"/>
  <c r="H51" i="7"/>
  <c r="G51" i="7"/>
  <c r="F51" i="7"/>
  <c r="E51" i="7"/>
  <c r="D51" i="7"/>
  <c r="C51" i="7"/>
  <c r="K50" i="7"/>
  <c r="J50" i="7"/>
  <c r="I50" i="7"/>
  <c r="H50" i="7"/>
  <c r="G50" i="7"/>
  <c r="F50" i="7"/>
  <c r="E50" i="7"/>
  <c r="D50" i="7"/>
  <c r="C50" i="7"/>
  <c r="C49" i="7"/>
  <c r="K48" i="7"/>
  <c r="J48" i="7"/>
  <c r="I48" i="7"/>
  <c r="H48" i="7"/>
  <c r="G48" i="7"/>
  <c r="F48" i="7"/>
  <c r="E48" i="7"/>
  <c r="D48" i="7"/>
  <c r="C48" i="7"/>
  <c r="K47" i="7"/>
  <c r="J47" i="7"/>
  <c r="I47" i="7"/>
  <c r="H47" i="7"/>
  <c r="G47" i="7"/>
  <c r="F47" i="7"/>
  <c r="E47" i="7"/>
  <c r="D47" i="7"/>
  <c r="C47" i="7"/>
  <c r="K46" i="7"/>
  <c r="J46" i="7"/>
  <c r="I46" i="7"/>
  <c r="H46" i="7"/>
  <c r="G46" i="7"/>
  <c r="F46" i="7"/>
  <c r="E46" i="7"/>
  <c r="D46" i="7"/>
  <c r="C46" i="7"/>
  <c r="K45" i="7"/>
  <c r="J45" i="7"/>
  <c r="I45" i="7"/>
  <c r="H45" i="7"/>
  <c r="G45" i="7"/>
  <c r="F45" i="7"/>
  <c r="E45" i="7"/>
  <c r="D45" i="7"/>
  <c r="C45" i="7"/>
  <c r="K44" i="7"/>
  <c r="J44" i="7"/>
  <c r="I44" i="7"/>
  <c r="H44" i="7"/>
  <c r="G44" i="7"/>
  <c r="F44" i="7"/>
  <c r="E44" i="7"/>
  <c r="D44" i="7"/>
  <c r="C44" i="7"/>
  <c r="K43" i="7"/>
  <c r="J43" i="7"/>
  <c r="I43" i="7"/>
  <c r="H43" i="7"/>
  <c r="G43" i="7"/>
  <c r="F43" i="7"/>
  <c r="E43" i="7"/>
  <c r="D43" i="7"/>
  <c r="C43" i="7"/>
  <c r="K42" i="7"/>
  <c r="J42" i="7"/>
  <c r="I42" i="7"/>
  <c r="H42" i="7"/>
  <c r="G42" i="7"/>
  <c r="F42" i="7"/>
  <c r="E42" i="7"/>
  <c r="D42" i="7"/>
  <c r="C42" i="7"/>
  <c r="K41" i="7"/>
  <c r="J41" i="7"/>
  <c r="I41" i="7"/>
  <c r="H41" i="7"/>
  <c r="G41" i="7"/>
  <c r="F41" i="7"/>
  <c r="E41" i="7"/>
  <c r="D41" i="7"/>
  <c r="C41" i="7"/>
  <c r="K40" i="7"/>
  <c r="J40" i="7"/>
  <c r="I40" i="7"/>
  <c r="H40" i="7"/>
  <c r="G40" i="7"/>
  <c r="F40" i="7"/>
  <c r="E40" i="7"/>
  <c r="D40" i="7"/>
  <c r="C40" i="7"/>
  <c r="K39" i="7"/>
  <c r="J39" i="7"/>
  <c r="I39" i="7"/>
  <c r="H39" i="7"/>
  <c r="G39" i="7"/>
  <c r="F39" i="7"/>
  <c r="E39" i="7"/>
  <c r="D39" i="7"/>
  <c r="C39" i="7"/>
  <c r="K38" i="7"/>
  <c r="J38" i="7"/>
  <c r="I38" i="7"/>
  <c r="H38" i="7"/>
  <c r="G38" i="7"/>
  <c r="F38" i="7"/>
  <c r="E38" i="7"/>
  <c r="D38" i="7"/>
  <c r="C38" i="7"/>
  <c r="K37" i="7"/>
  <c r="J37" i="7"/>
  <c r="I37" i="7"/>
  <c r="H37" i="7"/>
  <c r="G37" i="7"/>
  <c r="F37" i="7"/>
  <c r="E37" i="7"/>
  <c r="D37" i="7"/>
  <c r="C37" i="7"/>
  <c r="K36" i="7"/>
  <c r="J36" i="7"/>
  <c r="I36" i="7"/>
  <c r="H36" i="7"/>
  <c r="G36" i="7"/>
  <c r="F36" i="7"/>
  <c r="E36" i="7"/>
  <c r="D36" i="7"/>
  <c r="C36" i="7"/>
  <c r="C35" i="7"/>
  <c r="K34" i="7"/>
  <c r="J34" i="7"/>
  <c r="I34" i="7"/>
  <c r="H34" i="7"/>
  <c r="G34" i="7"/>
  <c r="F34" i="7"/>
  <c r="E34" i="7"/>
  <c r="D34" i="7"/>
  <c r="C34" i="7"/>
  <c r="K33" i="7"/>
  <c r="J33" i="7"/>
  <c r="I33" i="7"/>
  <c r="H33" i="7"/>
  <c r="G33" i="7"/>
  <c r="F33" i="7"/>
  <c r="E33" i="7"/>
  <c r="D33" i="7"/>
  <c r="C33" i="7"/>
  <c r="K32" i="7"/>
  <c r="J32" i="7"/>
  <c r="I32" i="7"/>
  <c r="H32" i="7"/>
  <c r="G32" i="7"/>
  <c r="F32" i="7"/>
  <c r="E32" i="7"/>
  <c r="D32" i="7"/>
  <c r="C32" i="7"/>
  <c r="K31" i="7"/>
  <c r="J31" i="7"/>
  <c r="I31" i="7"/>
  <c r="H31" i="7"/>
  <c r="G31" i="7"/>
  <c r="F31" i="7"/>
  <c r="E31" i="7"/>
  <c r="D31" i="7"/>
  <c r="C31" i="7"/>
  <c r="K30" i="7"/>
  <c r="J30" i="7"/>
  <c r="I30" i="7"/>
  <c r="H30" i="7"/>
  <c r="G30" i="7"/>
  <c r="F30" i="7"/>
  <c r="E30" i="7"/>
  <c r="D30" i="7"/>
  <c r="C30" i="7"/>
  <c r="K29" i="7"/>
  <c r="J29" i="7"/>
  <c r="I29" i="7"/>
  <c r="H29" i="7"/>
  <c r="G29" i="7"/>
  <c r="F29" i="7"/>
  <c r="E29" i="7"/>
  <c r="D29" i="7"/>
  <c r="C29" i="7"/>
  <c r="K28" i="7"/>
  <c r="J28" i="7"/>
  <c r="I28" i="7"/>
  <c r="H28" i="7"/>
  <c r="G28" i="7"/>
  <c r="F28" i="7"/>
  <c r="E28" i="7"/>
  <c r="D28" i="7"/>
  <c r="C28" i="7"/>
  <c r="K27" i="7"/>
  <c r="J27" i="7"/>
  <c r="I27" i="7"/>
  <c r="H27" i="7"/>
  <c r="G27" i="7"/>
  <c r="F27" i="7"/>
  <c r="E27" i="7"/>
  <c r="D27" i="7"/>
  <c r="C27" i="7"/>
  <c r="K26" i="7"/>
  <c r="J26" i="7"/>
  <c r="I26" i="7"/>
  <c r="H26" i="7"/>
  <c r="G26" i="7"/>
  <c r="F26" i="7"/>
  <c r="E26" i="7"/>
  <c r="D26" i="7"/>
  <c r="C26" i="7"/>
  <c r="K25" i="7"/>
  <c r="J25" i="7"/>
  <c r="I25" i="7"/>
  <c r="H25" i="7"/>
  <c r="G25" i="7"/>
  <c r="F25" i="7"/>
  <c r="E25" i="7"/>
  <c r="D25" i="7"/>
  <c r="C25" i="7"/>
  <c r="K24" i="7"/>
  <c r="J24" i="7"/>
  <c r="I24" i="7"/>
  <c r="H24" i="7"/>
  <c r="G24" i="7"/>
  <c r="F24" i="7"/>
  <c r="E24" i="7"/>
  <c r="D24" i="7"/>
  <c r="C24" i="7"/>
  <c r="K23" i="7"/>
  <c r="J23" i="7"/>
  <c r="I23" i="7"/>
  <c r="H23" i="7"/>
  <c r="G23" i="7"/>
  <c r="F23" i="7"/>
  <c r="E23" i="7"/>
  <c r="D23" i="7"/>
  <c r="C23" i="7"/>
  <c r="K22" i="7"/>
  <c r="J22" i="7"/>
  <c r="I22" i="7"/>
  <c r="H22" i="7"/>
  <c r="G22" i="7"/>
  <c r="F22" i="7"/>
  <c r="E22" i="7"/>
  <c r="D22" i="7"/>
  <c r="C22" i="7"/>
  <c r="K21" i="7"/>
  <c r="J21" i="7"/>
  <c r="I21" i="7"/>
  <c r="H21" i="7"/>
  <c r="G21" i="7"/>
  <c r="F21" i="7"/>
  <c r="E21" i="7"/>
  <c r="D21" i="7"/>
  <c r="C21" i="7"/>
  <c r="C20" i="7"/>
  <c r="K19" i="7"/>
  <c r="J19" i="7"/>
  <c r="I19" i="7"/>
  <c r="H19" i="7"/>
  <c r="G19" i="7"/>
  <c r="F19" i="7"/>
  <c r="E19" i="7"/>
  <c r="D19" i="7"/>
  <c r="C19" i="7"/>
  <c r="K18" i="7"/>
  <c r="J18" i="7"/>
  <c r="I18" i="7"/>
  <c r="H18" i="7"/>
  <c r="G18" i="7"/>
  <c r="F18" i="7"/>
  <c r="E18" i="7"/>
  <c r="D18" i="7"/>
  <c r="C18" i="7"/>
  <c r="K17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K15" i="7"/>
  <c r="J15" i="7"/>
  <c r="I15" i="7"/>
  <c r="H15" i="7"/>
  <c r="G15" i="7"/>
  <c r="F15" i="7"/>
  <c r="E15" i="7"/>
  <c r="D15" i="7"/>
  <c r="C15" i="7"/>
  <c r="K14" i="7"/>
  <c r="J14" i="7"/>
  <c r="I14" i="7"/>
  <c r="H14" i="7"/>
  <c r="G14" i="7"/>
  <c r="F14" i="7"/>
  <c r="E14" i="7"/>
  <c r="D14" i="7"/>
  <c r="C14" i="7"/>
  <c r="K13" i="7"/>
  <c r="J13" i="7"/>
  <c r="I13" i="7"/>
  <c r="H13" i="7"/>
  <c r="G13" i="7"/>
  <c r="F13" i="7"/>
  <c r="E13" i="7"/>
  <c r="D13" i="7"/>
  <c r="C13" i="7"/>
  <c r="K12" i="7"/>
  <c r="J12" i="7"/>
  <c r="I12" i="7"/>
  <c r="H12" i="7"/>
  <c r="G12" i="7"/>
  <c r="F12" i="7"/>
  <c r="E12" i="7"/>
  <c r="D12" i="7"/>
  <c r="C12" i="7"/>
  <c r="C11" i="7"/>
  <c r="C89" i="16"/>
  <c r="C88" i="16"/>
  <c r="C87" i="16"/>
  <c r="C86" i="16"/>
  <c r="C85" i="16"/>
  <c r="C84" i="16"/>
  <c r="C83" i="16"/>
  <c r="C82" i="16"/>
  <c r="C81" i="16"/>
  <c r="C80" i="16"/>
  <c r="C79" i="16"/>
  <c r="I78" i="16"/>
  <c r="H78" i="16"/>
  <c r="G78" i="16"/>
  <c r="F78" i="16"/>
  <c r="E78" i="16"/>
  <c r="D78" i="16"/>
  <c r="C78" i="16"/>
  <c r="C77" i="16"/>
  <c r="C76" i="16"/>
  <c r="C75" i="16"/>
  <c r="C74" i="16"/>
  <c r="C73" i="16"/>
  <c r="I72" i="16"/>
  <c r="H72" i="16"/>
  <c r="G72" i="16"/>
  <c r="F72" i="16"/>
  <c r="E72" i="16"/>
  <c r="D72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I60" i="16"/>
  <c r="H60" i="16"/>
  <c r="G60" i="16"/>
  <c r="F60" i="16"/>
  <c r="E60" i="16"/>
  <c r="D60" i="16"/>
  <c r="C60" i="16"/>
  <c r="C59" i="16"/>
  <c r="C58" i="16"/>
  <c r="C57" i="16"/>
  <c r="C56" i="16"/>
  <c r="C55" i="16"/>
  <c r="C54" i="16"/>
  <c r="I53" i="16"/>
  <c r="H53" i="16"/>
  <c r="G53" i="16"/>
  <c r="F53" i="16"/>
  <c r="E53" i="16"/>
  <c r="D53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I41" i="16"/>
  <c r="H41" i="16"/>
  <c r="G41" i="16"/>
  <c r="F41" i="16"/>
  <c r="E41" i="16"/>
  <c r="D41" i="16"/>
  <c r="C41" i="16"/>
  <c r="C40" i="16"/>
  <c r="C39" i="16"/>
  <c r="C38" i="16"/>
  <c r="C37" i="16"/>
  <c r="C36" i="16"/>
  <c r="I34" i="16"/>
  <c r="H34" i="16"/>
  <c r="G34" i="16"/>
  <c r="F34" i="16"/>
  <c r="E34" i="16"/>
  <c r="D34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I21" i="16"/>
  <c r="H21" i="16"/>
  <c r="G21" i="16"/>
  <c r="F21" i="16"/>
  <c r="E21" i="16"/>
  <c r="D21" i="16"/>
  <c r="C21" i="16"/>
  <c r="C20" i="16"/>
  <c r="C19" i="16"/>
  <c r="C18" i="16"/>
  <c r="C17" i="16"/>
  <c r="C16" i="16"/>
  <c r="C15" i="16"/>
  <c r="C14" i="16"/>
  <c r="I13" i="16"/>
  <c r="H13" i="16"/>
  <c r="G13" i="16"/>
  <c r="F13" i="16"/>
  <c r="E13" i="16"/>
  <c r="D13" i="16"/>
  <c r="C13" i="16"/>
  <c r="C12" i="16"/>
  <c r="C142" i="5"/>
  <c r="C141" i="5"/>
  <c r="C140" i="5"/>
  <c r="C139" i="5"/>
  <c r="C138" i="5"/>
  <c r="K137" i="5"/>
  <c r="J137" i="5"/>
  <c r="I137" i="5"/>
  <c r="H137" i="5"/>
  <c r="G137" i="5"/>
  <c r="F137" i="5"/>
  <c r="E137" i="5"/>
  <c r="D137" i="5"/>
  <c r="C137" i="5"/>
  <c r="K136" i="5"/>
  <c r="J136" i="5"/>
  <c r="I136" i="5"/>
  <c r="H136" i="5"/>
  <c r="G136" i="5"/>
  <c r="F136" i="5"/>
  <c r="E136" i="5"/>
  <c r="D136" i="5"/>
  <c r="C136" i="5"/>
  <c r="C135" i="5"/>
  <c r="K134" i="5"/>
  <c r="J134" i="5"/>
  <c r="I134" i="5"/>
  <c r="H134" i="5"/>
  <c r="G134" i="5"/>
  <c r="F134" i="5"/>
  <c r="E134" i="5"/>
  <c r="D134" i="5"/>
  <c r="C134" i="5"/>
  <c r="K133" i="5"/>
  <c r="J133" i="5"/>
  <c r="I133" i="5"/>
  <c r="H133" i="5"/>
  <c r="G133" i="5"/>
  <c r="F133" i="5"/>
  <c r="E133" i="5"/>
  <c r="D133" i="5"/>
  <c r="C133" i="5"/>
  <c r="K132" i="5"/>
  <c r="J132" i="5"/>
  <c r="I132" i="5"/>
  <c r="H132" i="5"/>
  <c r="G132" i="5"/>
  <c r="F132" i="5"/>
  <c r="E132" i="5"/>
  <c r="D132" i="5"/>
  <c r="C132" i="5"/>
  <c r="K131" i="5"/>
  <c r="J131" i="5"/>
  <c r="I131" i="5"/>
  <c r="H131" i="5"/>
  <c r="G131" i="5"/>
  <c r="F131" i="5"/>
  <c r="E131" i="5"/>
  <c r="D131" i="5"/>
  <c r="C131" i="5"/>
  <c r="K130" i="5"/>
  <c r="J130" i="5"/>
  <c r="I130" i="5"/>
  <c r="H130" i="5"/>
  <c r="G130" i="5"/>
  <c r="F130" i="5"/>
  <c r="E130" i="5"/>
  <c r="D130" i="5"/>
  <c r="C130" i="5"/>
  <c r="K129" i="5"/>
  <c r="J129" i="5"/>
  <c r="I129" i="5"/>
  <c r="H129" i="5"/>
  <c r="G129" i="5"/>
  <c r="F129" i="5"/>
  <c r="E129" i="5"/>
  <c r="D129" i="5"/>
  <c r="C129" i="5"/>
  <c r="K128" i="5"/>
  <c r="J128" i="5"/>
  <c r="I128" i="5"/>
  <c r="H128" i="5"/>
  <c r="G128" i="5"/>
  <c r="F128" i="5"/>
  <c r="E128" i="5"/>
  <c r="D128" i="5"/>
  <c r="C128" i="5"/>
  <c r="K127" i="5"/>
  <c r="J127" i="5"/>
  <c r="I127" i="5"/>
  <c r="H127" i="5"/>
  <c r="G127" i="5"/>
  <c r="F127" i="5"/>
  <c r="E127" i="5"/>
  <c r="D127" i="5"/>
  <c r="C127" i="5"/>
  <c r="C126" i="5"/>
  <c r="K125" i="5"/>
  <c r="J125" i="5"/>
  <c r="I125" i="5"/>
  <c r="H125" i="5"/>
  <c r="G125" i="5"/>
  <c r="F125" i="5"/>
  <c r="E125" i="5"/>
  <c r="D125" i="5"/>
  <c r="C125" i="5"/>
  <c r="K124" i="5"/>
  <c r="J124" i="5"/>
  <c r="I124" i="5"/>
  <c r="H124" i="5"/>
  <c r="G124" i="5"/>
  <c r="F124" i="5"/>
  <c r="E124" i="5"/>
  <c r="D124" i="5"/>
  <c r="C124" i="5"/>
  <c r="K123" i="5"/>
  <c r="J123" i="5"/>
  <c r="I123" i="5"/>
  <c r="H123" i="5"/>
  <c r="G123" i="5"/>
  <c r="F123" i="5"/>
  <c r="E123" i="5"/>
  <c r="D123" i="5"/>
  <c r="C123" i="5"/>
  <c r="C122" i="5"/>
  <c r="K121" i="5"/>
  <c r="J121" i="5"/>
  <c r="I121" i="5"/>
  <c r="H121" i="5"/>
  <c r="G121" i="5"/>
  <c r="F121" i="5"/>
  <c r="E121" i="5"/>
  <c r="D121" i="5"/>
  <c r="C121" i="5"/>
  <c r="K120" i="5"/>
  <c r="J120" i="5"/>
  <c r="I120" i="5"/>
  <c r="H120" i="5"/>
  <c r="G120" i="5"/>
  <c r="F120" i="5"/>
  <c r="E120" i="5"/>
  <c r="D120" i="5"/>
  <c r="C120" i="5"/>
  <c r="K119" i="5"/>
  <c r="J119" i="5"/>
  <c r="I119" i="5"/>
  <c r="H119" i="5"/>
  <c r="G119" i="5"/>
  <c r="F119" i="5"/>
  <c r="E119" i="5"/>
  <c r="D119" i="5"/>
  <c r="C119" i="5"/>
  <c r="K118" i="5"/>
  <c r="J118" i="5"/>
  <c r="I118" i="5"/>
  <c r="H118" i="5"/>
  <c r="G118" i="5"/>
  <c r="F118" i="5"/>
  <c r="E118" i="5"/>
  <c r="D118" i="5"/>
  <c r="C118" i="5"/>
  <c r="K117" i="5"/>
  <c r="J117" i="5"/>
  <c r="I117" i="5"/>
  <c r="H117" i="5"/>
  <c r="G117" i="5"/>
  <c r="F117" i="5"/>
  <c r="E117" i="5"/>
  <c r="D117" i="5"/>
  <c r="C117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C116" i="5"/>
  <c r="K115" i="5"/>
  <c r="J115" i="5"/>
  <c r="I115" i="5"/>
  <c r="H115" i="5"/>
  <c r="G115" i="5"/>
  <c r="F115" i="5"/>
  <c r="E115" i="5"/>
  <c r="D115" i="5"/>
  <c r="C115" i="5"/>
  <c r="K114" i="5"/>
  <c r="J114" i="5"/>
  <c r="I114" i="5"/>
  <c r="H114" i="5"/>
  <c r="G114" i="5"/>
  <c r="F114" i="5"/>
  <c r="E114" i="5"/>
  <c r="D114" i="5"/>
  <c r="C114" i="5"/>
  <c r="K113" i="5"/>
  <c r="J113" i="5"/>
  <c r="I113" i="5"/>
  <c r="H113" i="5"/>
  <c r="G113" i="5"/>
  <c r="F113" i="5"/>
  <c r="E113" i="5"/>
  <c r="D113" i="5"/>
  <c r="C113" i="5"/>
  <c r="K112" i="5"/>
  <c r="J112" i="5"/>
  <c r="I112" i="5"/>
  <c r="H112" i="5"/>
  <c r="G112" i="5"/>
  <c r="F112" i="5"/>
  <c r="E112" i="5"/>
  <c r="D112" i="5"/>
  <c r="C112" i="5"/>
  <c r="K111" i="5"/>
  <c r="J111" i="5"/>
  <c r="I111" i="5"/>
  <c r="H111" i="5"/>
  <c r="G111" i="5"/>
  <c r="F111" i="5"/>
  <c r="E111" i="5"/>
  <c r="D111" i="5"/>
  <c r="C111" i="5"/>
  <c r="K110" i="5"/>
  <c r="J110" i="5"/>
  <c r="I110" i="5"/>
  <c r="H110" i="5"/>
  <c r="G110" i="5"/>
  <c r="F110" i="5"/>
  <c r="E110" i="5"/>
  <c r="D110" i="5"/>
  <c r="C110" i="5"/>
  <c r="K109" i="5"/>
  <c r="J109" i="5"/>
  <c r="I109" i="5"/>
  <c r="H109" i="5"/>
  <c r="G109" i="5"/>
  <c r="F109" i="5"/>
  <c r="E109" i="5"/>
  <c r="D109" i="5"/>
  <c r="C109" i="5"/>
  <c r="K108" i="5"/>
  <c r="J108" i="5"/>
  <c r="I108" i="5"/>
  <c r="H108" i="5"/>
  <c r="G108" i="5"/>
  <c r="F108" i="5"/>
  <c r="E108" i="5"/>
  <c r="D108" i="5"/>
  <c r="C108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C107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D106" i="5" s="1"/>
  <c r="C106" i="5"/>
  <c r="K105" i="5"/>
  <c r="J105" i="5"/>
  <c r="I105" i="5"/>
  <c r="H105" i="5"/>
  <c r="G105" i="5"/>
  <c r="F105" i="5"/>
  <c r="E105" i="5"/>
  <c r="D105" i="5"/>
  <c r="C105" i="5"/>
  <c r="K104" i="5"/>
  <c r="J104" i="5"/>
  <c r="I104" i="5"/>
  <c r="H104" i="5"/>
  <c r="G104" i="5"/>
  <c r="F104" i="5"/>
  <c r="E104" i="5"/>
  <c r="D104" i="5"/>
  <c r="C104" i="5"/>
  <c r="Z103" i="5"/>
  <c r="Y103" i="5"/>
  <c r="X103" i="5"/>
  <c r="W103" i="5"/>
  <c r="V103" i="5"/>
  <c r="U103" i="5"/>
  <c r="T103" i="5"/>
  <c r="S103" i="5"/>
  <c r="R103" i="5"/>
  <c r="Q103" i="5"/>
  <c r="G103" i="5" s="1"/>
  <c r="P103" i="5"/>
  <c r="O103" i="5"/>
  <c r="N103" i="5"/>
  <c r="M103" i="5"/>
  <c r="C103" i="5"/>
  <c r="K102" i="5"/>
  <c r="J102" i="5"/>
  <c r="I102" i="5"/>
  <c r="H102" i="5"/>
  <c r="G102" i="5"/>
  <c r="F102" i="5"/>
  <c r="E102" i="5"/>
  <c r="D102" i="5"/>
  <c r="C102" i="5"/>
  <c r="K101" i="5"/>
  <c r="J101" i="5"/>
  <c r="I101" i="5"/>
  <c r="H101" i="5"/>
  <c r="G101" i="5"/>
  <c r="F101" i="5"/>
  <c r="E101" i="5"/>
  <c r="D101" i="5"/>
  <c r="C101" i="5"/>
  <c r="K100" i="5"/>
  <c r="J100" i="5"/>
  <c r="I100" i="5"/>
  <c r="H100" i="5"/>
  <c r="G100" i="5"/>
  <c r="F100" i="5"/>
  <c r="E100" i="5"/>
  <c r="D100" i="5"/>
  <c r="C100" i="5"/>
  <c r="K99" i="5"/>
  <c r="J99" i="5"/>
  <c r="I99" i="5"/>
  <c r="H99" i="5"/>
  <c r="G99" i="5"/>
  <c r="F99" i="5"/>
  <c r="E99" i="5"/>
  <c r="D99" i="5"/>
  <c r="C99" i="5"/>
  <c r="K98" i="5"/>
  <c r="J98" i="5"/>
  <c r="I98" i="5"/>
  <c r="H98" i="5"/>
  <c r="G98" i="5"/>
  <c r="F98" i="5"/>
  <c r="E98" i="5"/>
  <c r="D98" i="5"/>
  <c r="C98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C97" i="5"/>
  <c r="K96" i="5"/>
  <c r="J96" i="5"/>
  <c r="I96" i="5"/>
  <c r="H96" i="5"/>
  <c r="G96" i="5"/>
  <c r="F96" i="5"/>
  <c r="E96" i="5"/>
  <c r="D96" i="5"/>
  <c r="C96" i="5"/>
  <c r="K95" i="5"/>
  <c r="J95" i="5"/>
  <c r="I95" i="5"/>
  <c r="H95" i="5"/>
  <c r="G95" i="5"/>
  <c r="F95" i="5"/>
  <c r="E95" i="5"/>
  <c r="D95" i="5"/>
  <c r="C95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C94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K93" i="5" s="1"/>
  <c r="C93" i="5"/>
  <c r="K92" i="5"/>
  <c r="J92" i="5"/>
  <c r="I92" i="5"/>
  <c r="H92" i="5"/>
  <c r="G92" i="5"/>
  <c r="F92" i="5"/>
  <c r="E92" i="5"/>
  <c r="D92" i="5"/>
  <c r="C92" i="5"/>
  <c r="K91" i="5"/>
  <c r="J91" i="5"/>
  <c r="I91" i="5"/>
  <c r="H91" i="5"/>
  <c r="G91" i="5"/>
  <c r="F91" i="5"/>
  <c r="E91" i="5"/>
  <c r="D91" i="5"/>
  <c r="C91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D90" i="5" s="1"/>
  <c r="M90" i="5"/>
  <c r="C90" i="5"/>
  <c r="K89" i="5"/>
  <c r="J89" i="5"/>
  <c r="I89" i="5"/>
  <c r="H89" i="5"/>
  <c r="G89" i="5"/>
  <c r="F89" i="5"/>
  <c r="E89" i="5"/>
  <c r="D89" i="5"/>
  <c r="C89" i="5"/>
  <c r="K88" i="5"/>
  <c r="J88" i="5"/>
  <c r="I88" i="5"/>
  <c r="H88" i="5"/>
  <c r="G88" i="5"/>
  <c r="F88" i="5"/>
  <c r="E88" i="5"/>
  <c r="D88" i="5"/>
  <c r="C88" i="5"/>
  <c r="K87" i="5"/>
  <c r="J87" i="5"/>
  <c r="I87" i="5"/>
  <c r="H87" i="5"/>
  <c r="G87" i="5"/>
  <c r="F87" i="5"/>
  <c r="E87" i="5"/>
  <c r="D87" i="5"/>
  <c r="C87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C86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C85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J84" i="5" s="1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C75" i="5"/>
  <c r="K74" i="5"/>
  <c r="J74" i="5"/>
  <c r="I74" i="5"/>
  <c r="H74" i="5"/>
  <c r="G74" i="5"/>
  <c r="F74" i="5"/>
  <c r="E74" i="5"/>
  <c r="D74" i="5"/>
  <c r="C74" i="5"/>
  <c r="K73" i="5"/>
  <c r="J73" i="5"/>
  <c r="I73" i="5"/>
  <c r="H73" i="5"/>
  <c r="G73" i="5"/>
  <c r="F73" i="5"/>
  <c r="E73" i="5"/>
  <c r="D73" i="5"/>
  <c r="C73" i="5"/>
  <c r="K72" i="5"/>
  <c r="J72" i="5"/>
  <c r="I72" i="5"/>
  <c r="H72" i="5"/>
  <c r="G72" i="5"/>
  <c r="F72" i="5"/>
  <c r="E72" i="5"/>
  <c r="D72" i="5"/>
  <c r="C72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C71" i="5"/>
  <c r="K70" i="5"/>
  <c r="J70" i="5"/>
  <c r="I70" i="5"/>
  <c r="H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K64" i="5"/>
  <c r="J64" i="5"/>
  <c r="I64" i="5"/>
  <c r="H64" i="5"/>
  <c r="G64" i="5"/>
  <c r="F64" i="5"/>
  <c r="E64" i="5"/>
  <c r="D64" i="5"/>
  <c r="C64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C63" i="5"/>
  <c r="K62" i="5"/>
  <c r="J62" i="5"/>
  <c r="I62" i="5"/>
  <c r="H62" i="5"/>
  <c r="G62" i="5"/>
  <c r="F62" i="5"/>
  <c r="E62" i="5"/>
  <c r="D62" i="5"/>
  <c r="C62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D61" i="5" s="1"/>
  <c r="M61" i="5"/>
  <c r="C61" i="5"/>
  <c r="Z60" i="5"/>
  <c r="Y60" i="5"/>
  <c r="X60" i="5"/>
  <c r="W60" i="5"/>
  <c r="V60" i="5"/>
  <c r="U60" i="5"/>
  <c r="T60" i="5"/>
  <c r="S60" i="5"/>
  <c r="R60" i="5"/>
  <c r="Q60" i="5"/>
  <c r="P60" i="5"/>
  <c r="O60" i="5"/>
  <c r="F60" i="5" s="1"/>
  <c r="N60" i="5"/>
  <c r="M60" i="5"/>
  <c r="C60" i="5"/>
  <c r="K59" i="5"/>
  <c r="J59" i="5"/>
  <c r="I59" i="5"/>
  <c r="H59" i="5"/>
  <c r="G59" i="5"/>
  <c r="F59" i="5"/>
  <c r="E59" i="5"/>
  <c r="D59" i="5"/>
  <c r="C59" i="5"/>
  <c r="K58" i="5"/>
  <c r="J58" i="5"/>
  <c r="I58" i="5"/>
  <c r="H58" i="5"/>
  <c r="G58" i="5"/>
  <c r="F58" i="5"/>
  <c r="E58" i="5"/>
  <c r="D58" i="5"/>
  <c r="C58" i="5"/>
  <c r="K57" i="5"/>
  <c r="J57" i="5"/>
  <c r="I57" i="5"/>
  <c r="H57" i="5"/>
  <c r="G57" i="5"/>
  <c r="F57" i="5"/>
  <c r="E57" i="5"/>
  <c r="D57" i="5"/>
  <c r="C57" i="5"/>
  <c r="K56" i="5"/>
  <c r="J56" i="5"/>
  <c r="I56" i="5"/>
  <c r="H56" i="5"/>
  <c r="G56" i="5"/>
  <c r="F56" i="5"/>
  <c r="E56" i="5"/>
  <c r="D56" i="5"/>
  <c r="C56" i="5"/>
  <c r="K55" i="5"/>
  <c r="J55" i="5"/>
  <c r="I55" i="5"/>
  <c r="H55" i="5"/>
  <c r="G55" i="5"/>
  <c r="F55" i="5"/>
  <c r="E55" i="5"/>
  <c r="D55" i="5"/>
  <c r="C55" i="5"/>
  <c r="K54" i="5"/>
  <c r="J54" i="5"/>
  <c r="I54" i="5"/>
  <c r="H54" i="5"/>
  <c r="G54" i="5"/>
  <c r="F54" i="5"/>
  <c r="E54" i="5"/>
  <c r="D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C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D40" i="5" s="1"/>
  <c r="C40" i="5"/>
  <c r="K39" i="5"/>
  <c r="J39" i="5"/>
  <c r="I39" i="5"/>
  <c r="H39" i="5"/>
  <c r="G39" i="5"/>
  <c r="F39" i="5"/>
  <c r="E39" i="5"/>
  <c r="D39" i="5"/>
  <c r="C39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C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C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C15" i="5"/>
  <c r="K14" i="5"/>
  <c r="J14" i="5"/>
  <c r="I14" i="5"/>
  <c r="H14" i="5"/>
  <c r="G14" i="5"/>
  <c r="F14" i="5"/>
  <c r="E14" i="5"/>
  <c r="D14" i="5"/>
  <c r="C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K13" i="5" s="1"/>
  <c r="M13" i="5"/>
  <c r="C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C12" i="5"/>
  <c r="Z11" i="5"/>
  <c r="Y11" i="5"/>
  <c r="X11" i="5"/>
  <c r="W11" i="5"/>
  <c r="V11" i="5"/>
  <c r="U11" i="5"/>
  <c r="T11" i="5"/>
  <c r="S11" i="5"/>
  <c r="R11" i="5"/>
  <c r="Q11" i="5"/>
  <c r="P11" i="5"/>
  <c r="F11" i="5" s="1"/>
  <c r="O11" i="5"/>
  <c r="N11" i="5"/>
  <c r="M11" i="5"/>
  <c r="C11" i="5"/>
  <c r="C257" i="4"/>
  <c r="C256" i="4"/>
  <c r="C255" i="4"/>
  <c r="C254" i="4"/>
  <c r="C253" i="4"/>
  <c r="K252" i="4"/>
  <c r="J252" i="4"/>
  <c r="I252" i="4"/>
  <c r="H252" i="4"/>
  <c r="G252" i="4"/>
  <c r="F252" i="4"/>
  <c r="E252" i="4"/>
  <c r="D252" i="4"/>
  <c r="C252" i="4"/>
  <c r="K251" i="4"/>
  <c r="J251" i="4"/>
  <c r="I251" i="4"/>
  <c r="H251" i="4"/>
  <c r="G251" i="4"/>
  <c r="F251" i="4"/>
  <c r="E251" i="4"/>
  <c r="D251" i="4"/>
  <c r="C251" i="4"/>
  <c r="K250" i="4"/>
  <c r="J250" i="4"/>
  <c r="I250" i="4"/>
  <c r="H250" i="4"/>
  <c r="G250" i="4"/>
  <c r="F250" i="4"/>
  <c r="E250" i="4"/>
  <c r="D250" i="4"/>
  <c r="C250" i="4"/>
  <c r="K249" i="4"/>
  <c r="J249" i="4"/>
  <c r="I249" i="4"/>
  <c r="H249" i="4"/>
  <c r="G249" i="4"/>
  <c r="F249" i="4"/>
  <c r="E249" i="4"/>
  <c r="D249" i="4"/>
  <c r="C249" i="4"/>
  <c r="K248" i="4"/>
  <c r="J248" i="4"/>
  <c r="I248" i="4"/>
  <c r="H248" i="4"/>
  <c r="G248" i="4"/>
  <c r="F248" i="4"/>
  <c r="E248" i="4"/>
  <c r="D248" i="4"/>
  <c r="C248" i="4"/>
  <c r="C247" i="4"/>
  <c r="K246" i="4"/>
  <c r="J246" i="4"/>
  <c r="I246" i="4"/>
  <c r="H246" i="4"/>
  <c r="G246" i="4"/>
  <c r="F246" i="4"/>
  <c r="E246" i="4"/>
  <c r="D246" i="4"/>
  <c r="C246" i="4"/>
  <c r="K245" i="4"/>
  <c r="J245" i="4"/>
  <c r="I245" i="4"/>
  <c r="H245" i="4"/>
  <c r="G245" i="4"/>
  <c r="F245" i="4"/>
  <c r="E245" i="4"/>
  <c r="D245" i="4"/>
  <c r="C245" i="4"/>
  <c r="K244" i="4"/>
  <c r="J244" i="4"/>
  <c r="I244" i="4"/>
  <c r="H244" i="4"/>
  <c r="G244" i="4"/>
  <c r="F244" i="4"/>
  <c r="E244" i="4"/>
  <c r="D244" i="4"/>
  <c r="C244" i="4"/>
  <c r="K243" i="4"/>
  <c r="J243" i="4"/>
  <c r="I243" i="4"/>
  <c r="H243" i="4"/>
  <c r="G243" i="4"/>
  <c r="F243" i="4"/>
  <c r="E243" i="4"/>
  <c r="D243" i="4"/>
  <c r="C243" i="4"/>
  <c r="K242" i="4"/>
  <c r="J242" i="4"/>
  <c r="I242" i="4"/>
  <c r="H242" i="4"/>
  <c r="G242" i="4"/>
  <c r="F242" i="4"/>
  <c r="E242" i="4"/>
  <c r="D242" i="4"/>
  <c r="C242" i="4"/>
  <c r="K241" i="4"/>
  <c r="J241" i="4"/>
  <c r="I241" i="4"/>
  <c r="H241" i="4"/>
  <c r="G241" i="4"/>
  <c r="F241" i="4"/>
  <c r="E241" i="4"/>
  <c r="D241" i="4"/>
  <c r="C241" i="4"/>
  <c r="K240" i="4"/>
  <c r="J240" i="4"/>
  <c r="I240" i="4"/>
  <c r="H240" i="4"/>
  <c r="G240" i="4"/>
  <c r="F240" i="4"/>
  <c r="E240" i="4"/>
  <c r="D240" i="4"/>
  <c r="C240" i="4"/>
  <c r="K239" i="4"/>
  <c r="J239" i="4"/>
  <c r="I239" i="4"/>
  <c r="H239" i="4"/>
  <c r="G239" i="4"/>
  <c r="F239" i="4"/>
  <c r="E239" i="4"/>
  <c r="D239" i="4"/>
  <c r="C239" i="4"/>
  <c r="K238" i="4"/>
  <c r="J238" i="4"/>
  <c r="I238" i="4"/>
  <c r="H238" i="4"/>
  <c r="G238" i="4"/>
  <c r="F238" i="4"/>
  <c r="E238" i="4"/>
  <c r="D238" i="4"/>
  <c r="C238" i="4"/>
  <c r="K237" i="4"/>
  <c r="J237" i="4"/>
  <c r="I237" i="4"/>
  <c r="H237" i="4"/>
  <c r="G237" i="4"/>
  <c r="F237" i="4"/>
  <c r="E237" i="4"/>
  <c r="D237" i="4"/>
  <c r="C237" i="4"/>
  <c r="K236" i="4"/>
  <c r="J236" i="4"/>
  <c r="I236" i="4"/>
  <c r="H236" i="4"/>
  <c r="G236" i="4"/>
  <c r="F236" i="4"/>
  <c r="E236" i="4"/>
  <c r="D236" i="4"/>
  <c r="C236" i="4"/>
  <c r="C235" i="4"/>
  <c r="K234" i="4"/>
  <c r="J234" i="4"/>
  <c r="I234" i="4"/>
  <c r="H234" i="4"/>
  <c r="G234" i="4"/>
  <c r="F234" i="4"/>
  <c r="E234" i="4"/>
  <c r="D234" i="4"/>
  <c r="C234" i="4"/>
  <c r="K233" i="4"/>
  <c r="J233" i="4"/>
  <c r="I233" i="4"/>
  <c r="H233" i="4"/>
  <c r="G233" i="4"/>
  <c r="F233" i="4"/>
  <c r="E233" i="4"/>
  <c r="D233" i="4"/>
  <c r="C233" i="4"/>
  <c r="K232" i="4"/>
  <c r="J232" i="4"/>
  <c r="I232" i="4"/>
  <c r="H232" i="4"/>
  <c r="G232" i="4"/>
  <c r="F232" i="4"/>
  <c r="E232" i="4"/>
  <c r="D232" i="4"/>
  <c r="C232" i="4"/>
  <c r="K231" i="4"/>
  <c r="J231" i="4"/>
  <c r="I231" i="4"/>
  <c r="H231" i="4"/>
  <c r="G231" i="4"/>
  <c r="F231" i="4"/>
  <c r="E231" i="4"/>
  <c r="D231" i="4"/>
  <c r="C231" i="4"/>
  <c r="K230" i="4"/>
  <c r="J230" i="4"/>
  <c r="I230" i="4"/>
  <c r="H230" i="4"/>
  <c r="G230" i="4"/>
  <c r="F230" i="4"/>
  <c r="E230" i="4"/>
  <c r="D230" i="4"/>
  <c r="C230" i="4"/>
  <c r="K229" i="4"/>
  <c r="J229" i="4"/>
  <c r="I229" i="4"/>
  <c r="H229" i="4"/>
  <c r="G229" i="4"/>
  <c r="F229" i="4"/>
  <c r="E229" i="4"/>
  <c r="D229" i="4"/>
  <c r="C229" i="4"/>
  <c r="K228" i="4"/>
  <c r="J228" i="4"/>
  <c r="I228" i="4"/>
  <c r="H228" i="4"/>
  <c r="G228" i="4"/>
  <c r="F228" i="4"/>
  <c r="E228" i="4"/>
  <c r="D228" i="4"/>
  <c r="C228" i="4"/>
  <c r="K227" i="4"/>
  <c r="J227" i="4"/>
  <c r="I227" i="4"/>
  <c r="H227" i="4"/>
  <c r="G227" i="4"/>
  <c r="F227" i="4"/>
  <c r="E227" i="4"/>
  <c r="D227" i="4"/>
  <c r="C227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C226" i="4"/>
  <c r="K225" i="4"/>
  <c r="J225" i="4"/>
  <c r="I225" i="4"/>
  <c r="H225" i="4"/>
  <c r="G225" i="4"/>
  <c r="F225" i="4"/>
  <c r="E225" i="4"/>
  <c r="D225" i="4"/>
  <c r="C225" i="4"/>
  <c r="K224" i="4"/>
  <c r="J224" i="4"/>
  <c r="I224" i="4"/>
  <c r="H224" i="4"/>
  <c r="G224" i="4"/>
  <c r="F224" i="4"/>
  <c r="E224" i="4"/>
  <c r="D224" i="4"/>
  <c r="C224" i="4"/>
  <c r="K223" i="4"/>
  <c r="J223" i="4"/>
  <c r="I223" i="4"/>
  <c r="H223" i="4"/>
  <c r="G223" i="4"/>
  <c r="F223" i="4"/>
  <c r="E223" i="4"/>
  <c r="D223" i="4"/>
  <c r="C223" i="4"/>
  <c r="K222" i="4"/>
  <c r="J222" i="4"/>
  <c r="I222" i="4"/>
  <c r="H222" i="4"/>
  <c r="G222" i="4"/>
  <c r="F222" i="4"/>
  <c r="E222" i="4"/>
  <c r="D222" i="4"/>
  <c r="C222" i="4"/>
  <c r="K221" i="4"/>
  <c r="J221" i="4"/>
  <c r="I221" i="4"/>
  <c r="H221" i="4"/>
  <c r="G221" i="4"/>
  <c r="F221" i="4"/>
  <c r="E221" i="4"/>
  <c r="D221" i="4"/>
  <c r="C221" i="4"/>
  <c r="K220" i="4"/>
  <c r="J220" i="4"/>
  <c r="I220" i="4"/>
  <c r="H220" i="4"/>
  <c r="G220" i="4"/>
  <c r="F220" i="4"/>
  <c r="E220" i="4"/>
  <c r="D220" i="4"/>
  <c r="C220" i="4"/>
  <c r="K219" i="4"/>
  <c r="J219" i="4"/>
  <c r="I219" i="4"/>
  <c r="H219" i="4"/>
  <c r="G219" i="4"/>
  <c r="F219" i="4"/>
  <c r="E219" i="4"/>
  <c r="D219" i="4"/>
  <c r="C219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C218" i="4"/>
  <c r="K217" i="4"/>
  <c r="J217" i="4"/>
  <c r="I217" i="4"/>
  <c r="H217" i="4"/>
  <c r="G217" i="4"/>
  <c r="F217" i="4"/>
  <c r="E217" i="4"/>
  <c r="D217" i="4"/>
  <c r="C217" i="4"/>
  <c r="K216" i="4"/>
  <c r="J216" i="4"/>
  <c r="I216" i="4"/>
  <c r="H216" i="4"/>
  <c r="G216" i="4"/>
  <c r="F216" i="4"/>
  <c r="E216" i="4"/>
  <c r="D216" i="4"/>
  <c r="C216" i="4"/>
  <c r="K215" i="4"/>
  <c r="J215" i="4"/>
  <c r="I215" i="4"/>
  <c r="H215" i="4"/>
  <c r="G215" i="4"/>
  <c r="F215" i="4"/>
  <c r="E215" i="4"/>
  <c r="D215" i="4"/>
  <c r="C215" i="4"/>
  <c r="K214" i="4"/>
  <c r="J214" i="4"/>
  <c r="I214" i="4"/>
  <c r="H214" i="4"/>
  <c r="G214" i="4"/>
  <c r="F214" i="4"/>
  <c r="E214" i="4"/>
  <c r="D214" i="4"/>
  <c r="C214" i="4"/>
  <c r="K213" i="4"/>
  <c r="J213" i="4"/>
  <c r="I213" i="4"/>
  <c r="H213" i="4"/>
  <c r="G213" i="4"/>
  <c r="F213" i="4"/>
  <c r="E213" i="4"/>
  <c r="D213" i="4"/>
  <c r="C213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C212" i="4"/>
  <c r="K211" i="4"/>
  <c r="J211" i="4"/>
  <c r="I211" i="4"/>
  <c r="H211" i="4"/>
  <c r="G211" i="4"/>
  <c r="F211" i="4"/>
  <c r="E211" i="4"/>
  <c r="D211" i="4"/>
  <c r="C211" i="4"/>
  <c r="K210" i="4"/>
  <c r="J210" i="4"/>
  <c r="I210" i="4"/>
  <c r="H210" i="4"/>
  <c r="G210" i="4"/>
  <c r="F210" i="4"/>
  <c r="E210" i="4"/>
  <c r="D210" i="4"/>
  <c r="C210" i="4"/>
  <c r="K209" i="4"/>
  <c r="J209" i="4"/>
  <c r="I209" i="4"/>
  <c r="H209" i="4"/>
  <c r="G209" i="4"/>
  <c r="F209" i="4"/>
  <c r="E209" i="4"/>
  <c r="D209" i="4"/>
  <c r="C209" i="4"/>
  <c r="K208" i="4"/>
  <c r="J208" i="4"/>
  <c r="I208" i="4"/>
  <c r="H208" i="4"/>
  <c r="G208" i="4"/>
  <c r="F208" i="4"/>
  <c r="E208" i="4"/>
  <c r="D208" i="4"/>
  <c r="C208" i="4"/>
  <c r="K207" i="4"/>
  <c r="J207" i="4"/>
  <c r="I207" i="4"/>
  <c r="H207" i="4"/>
  <c r="G207" i="4"/>
  <c r="F207" i="4"/>
  <c r="E207" i="4"/>
  <c r="D207" i="4"/>
  <c r="C207" i="4"/>
  <c r="K206" i="4"/>
  <c r="J206" i="4"/>
  <c r="I206" i="4"/>
  <c r="H206" i="4"/>
  <c r="G206" i="4"/>
  <c r="F206" i="4"/>
  <c r="E206" i="4"/>
  <c r="D206" i="4"/>
  <c r="C206" i="4"/>
  <c r="K205" i="4"/>
  <c r="J205" i="4"/>
  <c r="I205" i="4"/>
  <c r="H205" i="4"/>
  <c r="G205" i="4"/>
  <c r="F205" i="4"/>
  <c r="E205" i="4"/>
  <c r="D205" i="4"/>
  <c r="C205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C204" i="4"/>
  <c r="K203" i="4"/>
  <c r="J203" i="4"/>
  <c r="I203" i="4"/>
  <c r="H203" i="4"/>
  <c r="G203" i="4"/>
  <c r="F203" i="4"/>
  <c r="E203" i="4"/>
  <c r="D203" i="4"/>
  <c r="C203" i="4"/>
  <c r="K202" i="4"/>
  <c r="J202" i="4"/>
  <c r="I202" i="4"/>
  <c r="H202" i="4"/>
  <c r="G202" i="4"/>
  <c r="F202" i="4"/>
  <c r="E202" i="4"/>
  <c r="D202" i="4"/>
  <c r="C202" i="4"/>
  <c r="K201" i="4"/>
  <c r="J201" i="4"/>
  <c r="I201" i="4"/>
  <c r="H201" i="4"/>
  <c r="G201" i="4"/>
  <c r="F201" i="4"/>
  <c r="E201" i="4"/>
  <c r="D201" i="4"/>
  <c r="C201" i="4"/>
  <c r="K200" i="4"/>
  <c r="J200" i="4"/>
  <c r="I200" i="4"/>
  <c r="H200" i="4"/>
  <c r="G200" i="4"/>
  <c r="F200" i="4"/>
  <c r="E200" i="4"/>
  <c r="D200" i="4"/>
  <c r="C200" i="4"/>
  <c r="K199" i="4"/>
  <c r="J199" i="4"/>
  <c r="I199" i="4"/>
  <c r="H199" i="4"/>
  <c r="G199" i="4"/>
  <c r="F199" i="4"/>
  <c r="E199" i="4"/>
  <c r="D199" i="4"/>
  <c r="C199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C198" i="4"/>
  <c r="K197" i="4"/>
  <c r="J197" i="4"/>
  <c r="I197" i="4"/>
  <c r="H197" i="4"/>
  <c r="G197" i="4"/>
  <c r="F197" i="4"/>
  <c r="E197" i="4"/>
  <c r="D197" i="4"/>
  <c r="C197" i="4"/>
  <c r="K196" i="4"/>
  <c r="J196" i="4"/>
  <c r="I196" i="4"/>
  <c r="H196" i="4"/>
  <c r="G196" i="4"/>
  <c r="F196" i="4"/>
  <c r="E196" i="4"/>
  <c r="D196" i="4"/>
  <c r="C196" i="4"/>
  <c r="K195" i="4"/>
  <c r="J195" i="4"/>
  <c r="I195" i="4"/>
  <c r="H195" i="4"/>
  <c r="G195" i="4"/>
  <c r="F195" i="4"/>
  <c r="E195" i="4"/>
  <c r="D195" i="4"/>
  <c r="C195" i="4"/>
  <c r="K194" i="4"/>
  <c r="J194" i="4"/>
  <c r="I194" i="4"/>
  <c r="H194" i="4"/>
  <c r="G194" i="4"/>
  <c r="F194" i="4"/>
  <c r="E194" i="4"/>
  <c r="D194" i="4"/>
  <c r="C194" i="4"/>
  <c r="K193" i="4"/>
  <c r="J193" i="4"/>
  <c r="I193" i="4"/>
  <c r="H193" i="4"/>
  <c r="G193" i="4"/>
  <c r="F193" i="4"/>
  <c r="E193" i="4"/>
  <c r="D193" i="4"/>
  <c r="C193" i="4"/>
  <c r="K192" i="4"/>
  <c r="J192" i="4"/>
  <c r="I192" i="4"/>
  <c r="H192" i="4"/>
  <c r="G192" i="4"/>
  <c r="F192" i="4"/>
  <c r="E192" i="4"/>
  <c r="D192" i="4"/>
  <c r="C192" i="4"/>
  <c r="K191" i="4"/>
  <c r="J191" i="4"/>
  <c r="I191" i="4"/>
  <c r="H191" i="4"/>
  <c r="G191" i="4"/>
  <c r="F191" i="4"/>
  <c r="E191" i="4"/>
  <c r="D191" i="4"/>
  <c r="C191" i="4"/>
  <c r="K190" i="4"/>
  <c r="J190" i="4"/>
  <c r="I190" i="4"/>
  <c r="H190" i="4"/>
  <c r="G190" i="4"/>
  <c r="F190" i="4"/>
  <c r="E190" i="4"/>
  <c r="D190" i="4"/>
  <c r="C190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C189" i="4"/>
  <c r="C188" i="4"/>
  <c r="K187" i="4"/>
  <c r="J187" i="4"/>
  <c r="I187" i="4"/>
  <c r="H187" i="4"/>
  <c r="G187" i="4"/>
  <c r="F187" i="4"/>
  <c r="E187" i="4"/>
  <c r="D187" i="4"/>
  <c r="C187" i="4"/>
  <c r="K186" i="4"/>
  <c r="J186" i="4"/>
  <c r="I186" i="4"/>
  <c r="H186" i="4"/>
  <c r="G186" i="4"/>
  <c r="F186" i="4"/>
  <c r="E186" i="4"/>
  <c r="D186" i="4"/>
  <c r="C186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C185" i="4"/>
  <c r="K184" i="4"/>
  <c r="J184" i="4"/>
  <c r="I184" i="4"/>
  <c r="H184" i="4"/>
  <c r="G184" i="4"/>
  <c r="F184" i="4"/>
  <c r="E184" i="4"/>
  <c r="D184" i="4"/>
  <c r="C184" i="4"/>
  <c r="K183" i="4"/>
  <c r="J183" i="4"/>
  <c r="I183" i="4"/>
  <c r="H183" i="4"/>
  <c r="G183" i="4"/>
  <c r="F183" i="4"/>
  <c r="E183" i="4"/>
  <c r="D183" i="4"/>
  <c r="C183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C182" i="4"/>
  <c r="C181" i="4"/>
  <c r="K180" i="4"/>
  <c r="J180" i="4"/>
  <c r="I180" i="4"/>
  <c r="H180" i="4"/>
  <c r="G180" i="4"/>
  <c r="F180" i="4"/>
  <c r="E180" i="4"/>
  <c r="D180" i="4"/>
  <c r="C180" i="4"/>
  <c r="K179" i="4"/>
  <c r="J179" i="4"/>
  <c r="I179" i="4"/>
  <c r="H179" i="4"/>
  <c r="G179" i="4"/>
  <c r="F179" i="4"/>
  <c r="E179" i="4"/>
  <c r="D179" i="4"/>
  <c r="C179" i="4"/>
  <c r="K178" i="4"/>
  <c r="J178" i="4"/>
  <c r="I178" i="4"/>
  <c r="H178" i="4"/>
  <c r="G178" i="4"/>
  <c r="F178" i="4"/>
  <c r="E178" i="4"/>
  <c r="D178" i="4"/>
  <c r="C178" i="4"/>
  <c r="K177" i="4"/>
  <c r="J177" i="4"/>
  <c r="I177" i="4"/>
  <c r="H177" i="4"/>
  <c r="G177" i="4"/>
  <c r="F177" i="4"/>
  <c r="E177" i="4"/>
  <c r="D177" i="4"/>
  <c r="C177" i="4"/>
  <c r="K176" i="4"/>
  <c r="J176" i="4"/>
  <c r="I176" i="4"/>
  <c r="H176" i="4"/>
  <c r="G176" i="4"/>
  <c r="F176" i="4"/>
  <c r="E176" i="4"/>
  <c r="D176" i="4"/>
  <c r="C176" i="4"/>
  <c r="K175" i="4"/>
  <c r="J175" i="4"/>
  <c r="I175" i="4"/>
  <c r="H175" i="4"/>
  <c r="G175" i="4"/>
  <c r="F175" i="4"/>
  <c r="E175" i="4"/>
  <c r="D175" i="4"/>
  <c r="C175" i="4"/>
  <c r="K174" i="4"/>
  <c r="J174" i="4"/>
  <c r="I174" i="4"/>
  <c r="H174" i="4"/>
  <c r="G174" i="4"/>
  <c r="F174" i="4"/>
  <c r="E174" i="4"/>
  <c r="D174" i="4"/>
  <c r="C174" i="4"/>
  <c r="K173" i="4"/>
  <c r="J173" i="4"/>
  <c r="I173" i="4"/>
  <c r="H173" i="4"/>
  <c r="G173" i="4"/>
  <c r="F173" i="4"/>
  <c r="E173" i="4"/>
  <c r="D173" i="4"/>
  <c r="C173" i="4"/>
  <c r="K172" i="4"/>
  <c r="J172" i="4"/>
  <c r="I172" i="4"/>
  <c r="H172" i="4"/>
  <c r="G172" i="4"/>
  <c r="F172" i="4"/>
  <c r="E172" i="4"/>
  <c r="D172" i="4"/>
  <c r="C172" i="4"/>
  <c r="K171" i="4"/>
  <c r="J171" i="4"/>
  <c r="I171" i="4"/>
  <c r="H171" i="4"/>
  <c r="G171" i="4"/>
  <c r="F171" i="4"/>
  <c r="E171" i="4"/>
  <c r="D171" i="4"/>
  <c r="C171" i="4"/>
  <c r="K170" i="4"/>
  <c r="J170" i="4"/>
  <c r="I170" i="4"/>
  <c r="H170" i="4"/>
  <c r="G170" i="4"/>
  <c r="F170" i="4"/>
  <c r="E170" i="4"/>
  <c r="D170" i="4"/>
  <c r="C170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C169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C168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C167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C166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C165" i="4"/>
  <c r="K164" i="4"/>
  <c r="J164" i="4"/>
  <c r="I164" i="4"/>
  <c r="H164" i="4"/>
  <c r="G164" i="4"/>
  <c r="F164" i="4"/>
  <c r="E164" i="4"/>
  <c r="D164" i="4"/>
  <c r="C164" i="4"/>
  <c r="K163" i="4"/>
  <c r="J163" i="4"/>
  <c r="I163" i="4"/>
  <c r="H163" i="4"/>
  <c r="G163" i="4"/>
  <c r="F163" i="4"/>
  <c r="E163" i="4"/>
  <c r="D163" i="4"/>
  <c r="C163" i="4"/>
  <c r="K162" i="4"/>
  <c r="J162" i="4"/>
  <c r="I162" i="4"/>
  <c r="H162" i="4"/>
  <c r="G162" i="4"/>
  <c r="F162" i="4"/>
  <c r="E162" i="4"/>
  <c r="D162" i="4"/>
  <c r="C162" i="4"/>
  <c r="K161" i="4"/>
  <c r="J161" i="4"/>
  <c r="I161" i="4"/>
  <c r="H161" i="4"/>
  <c r="G161" i="4"/>
  <c r="F161" i="4"/>
  <c r="E161" i="4"/>
  <c r="D161" i="4"/>
  <c r="C161" i="4"/>
  <c r="K160" i="4"/>
  <c r="J160" i="4"/>
  <c r="I160" i="4"/>
  <c r="H160" i="4"/>
  <c r="G160" i="4"/>
  <c r="F160" i="4"/>
  <c r="E160" i="4"/>
  <c r="D160" i="4"/>
  <c r="C160" i="4"/>
  <c r="K159" i="4"/>
  <c r="J159" i="4"/>
  <c r="I159" i="4"/>
  <c r="H159" i="4"/>
  <c r="G159" i="4"/>
  <c r="F159" i="4"/>
  <c r="E159" i="4"/>
  <c r="D159" i="4"/>
  <c r="C159" i="4"/>
  <c r="K158" i="4"/>
  <c r="J158" i="4"/>
  <c r="I158" i="4"/>
  <c r="H158" i="4"/>
  <c r="G158" i="4"/>
  <c r="F158" i="4"/>
  <c r="E158" i="4"/>
  <c r="D158" i="4"/>
  <c r="C158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C157" i="4"/>
  <c r="K156" i="4"/>
  <c r="J156" i="4"/>
  <c r="I156" i="4"/>
  <c r="H156" i="4"/>
  <c r="G156" i="4"/>
  <c r="F156" i="4"/>
  <c r="E156" i="4"/>
  <c r="D156" i="4"/>
  <c r="C156" i="4"/>
  <c r="K155" i="4"/>
  <c r="J155" i="4"/>
  <c r="I155" i="4"/>
  <c r="H155" i="4"/>
  <c r="G155" i="4"/>
  <c r="F155" i="4"/>
  <c r="E155" i="4"/>
  <c r="D155" i="4"/>
  <c r="C155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C154" i="4"/>
  <c r="K153" i="4"/>
  <c r="J153" i="4"/>
  <c r="I153" i="4"/>
  <c r="H153" i="4"/>
  <c r="G153" i="4"/>
  <c r="F153" i="4"/>
  <c r="E153" i="4"/>
  <c r="D153" i="4"/>
  <c r="C153" i="4"/>
  <c r="K152" i="4"/>
  <c r="J152" i="4"/>
  <c r="I152" i="4"/>
  <c r="H152" i="4"/>
  <c r="G152" i="4"/>
  <c r="F152" i="4"/>
  <c r="E152" i="4"/>
  <c r="D152" i="4"/>
  <c r="C152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C151" i="4"/>
  <c r="K150" i="4"/>
  <c r="J150" i="4"/>
  <c r="I150" i="4"/>
  <c r="H150" i="4"/>
  <c r="G150" i="4"/>
  <c r="F150" i="4"/>
  <c r="E150" i="4"/>
  <c r="D150" i="4"/>
  <c r="C150" i="4"/>
  <c r="K149" i="4"/>
  <c r="J149" i="4"/>
  <c r="I149" i="4"/>
  <c r="H149" i="4"/>
  <c r="G149" i="4"/>
  <c r="F149" i="4"/>
  <c r="E149" i="4"/>
  <c r="D149" i="4"/>
  <c r="C149" i="4"/>
  <c r="K148" i="4"/>
  <c r="J148" i="4"/>
  <c r="I148" i="4"/>
  <c r="H148" i="4"/>
  <c r="G148" i="4"/>
  <c r="F148" i="4"/>
  <c r="E148" i="4"/>
  <c r="D148" i="4"/>
  <c r="C148" i="4"/>
  <c r="K147" i="4"/>
  <c r="J147" i="4"/>
  <c r="I147" i="4"/>
  <c r="H147" i="4"/>
  <c r="G147" i="4"/>
  <c r="F147" i="4"/>
  <c r="E147" i="4"/>
  <c r="D147" i="4"/>
  <c r="C147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C146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C145" i="4"/>
  <c r="K144" i="4"/>
  <c r="J144" i="4"/>
  <c r="I144" i="4"/>
  <c r="H144" i="4"/>
  <c r="G144" i="4"/>
  <c r="F144" i="4"/>
  <c r="E144" i="4"/>
  <c r="D144" i="4"/>
  <c r="C144" i="4"/>
  <c r="K143" i="4"/>
  <c r="J143" i="4"/>
  <c r="I143" i="4"/>
  <c r="H143" i="4"/>
  <c r="G143" i="4"/>
  <c r="F143" i="4"/>
  <c r="E143" i="4"/>
  <c r="D143" i="4"/>
  <c r="C143" i="4"/>
  <c r="K142" i="4"/>
  <c r="J142" i="4"/>
  <c r="I142" i="4"/>
  <c r="H142" i="4"/>
  <c r="G142" i="4"/>
  <c r="F142" i="4"/>
  <c r="E142" i="4"/>
  <c r="D142" i="4"/>
  <c r="C142" i="4"/>
  <c r="K141" i="4"/>
  <c r="J141" i="4"/>
  <c r="I141" i="4"/>
  <c r="H141" i="4"/>
  <c r="G141" i="4"/>
  <c r="F141" i="4"/>
  <c r="E141" i="4"/>
  <c r="D141" i="4"/>
  <c r="C141" i="4"/>
  <c r="K140" i="4"/>
  <c r="J140" i="4"/>
  <c r="I140" i="4"/>
  <c r="H140" i="4"/>
  <c r="G140" i="4"/>
  <c r="F140" i="4"/>
  <c r="E140" i="4"/>
  <c r="D140" i="4"/>
  <c r="C140" i="4"/>
  <c r="K139" i="4"/>
  <c r="J139" i="4"/>
  <c r="I139" i="4"/>
  <c r="H139" i="4"/>
  <c r="G139" i="4"/>
  <c r="F139" i="4"/>
  <c r="E139" i="4"/>
  <c r="D139" i="4"/>
  <c r="C139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C138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C137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C136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C135" i="4"/>
  <c r="K134" i="4"/>
  <c r="J134" i="4"/>
  <c r="I134" i="4"/>
  <c r="H134" i="4"/>
  <c r="G134" i="4"/>
  <c r="F134" i="4"/>
  <c r="E134" i="4"/>
  <c r="D134" i="4"/>
  <c r="K133" i="4"/>
  <c r="J133" i="4"/>
  <c r="I133" i="4"/>
  <c r="H133" i="4"/>
  <c r="G133" i="4"/>
  <c r="F133" i="4"/>
  <c r="E133" i="4"/>
  <c r="D133" i="4"/>
  <c r="C133" i="4"/>
  <c r="K132" i="4"/>
  <c r="J132" i="4"/>
  <c r="I132" i="4"/>
  <c r="H132" i="4"/>
  <c r="G132" i="4"/>
  <c r="F132" i="4"/>
  <c r="E132" i="4"/>
  <c r="D132" i="4"/>
  <c r="C132" i="4"/>
  <c r="K131" i="4"/>
  <c r="J131" i="4"/>
  <c r="I131" i="4"/>
  <c r="H131" i="4"/>
  <c r="G131" i="4"/>
  <c r="F131" i="4"/>
  <c r="E131" i="4"/>
  <c r="D131" i="4"/>
  <c r="C131" i="4"/>
  <c r="K130" i="4"/>
  <c r="J130" i="4"/>
  <c r="I130" i="4"/>
  <c r="H130" i="4"/>
  <c r="G130" i="4"/>
  <c r="F130" i="4"/>
  <c r="E130" i="4"/>
  <c r="D130" i="4"/>
  <c r="C130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C129" i="4"/>
  <c r="K128" i="4"/>
  <c r="J128" i="4"/>
  <c r="I128" i="4"/>
  <c r="H128" i="4"/>
  <c r="G128" i="4"/>
  <c r="F128" i="4"/>
  <c r="E128" i="4"/>
  <c r="D128" i="4"/>
  <c r="C128" i="4"/>
  <c r="K127" i="4"/>
  <c r="J127" i="4"/>
  <c r="I127" i="4"/>
  <c r="H127" i="4"/>
  <c r="G127" i="4"/>
  <c r="F127" i="4"/>
  <c r="E127" i="4"/>
  <c r="D127" i="4"/>
  <c r="C127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C126" i="4"/>
  <c r="K125" i="4"/>
  <c r="J125" i="4"/>
  <c r="I125" i="4"/>
  <c r="H125" i="4"/>
  <c r="G125" i="4"/>
  <c r="F125" i="4"/>
  <c r="E125" i="4"/>
  <c r="D125" i="4"/>
  <c r="C125" i="4"/>
  <c r="K124" i="4"/>
  <c r="J124" i="4"/>
  <c r="I124" i="4"/>
  <c r="H124" i="4"/>
  <c r="G124" i="4"/>
  <c r="F124" i="4"/>
  <c r="E124" i="4"/>
  <c r="D124" i="4"/>
  <c r="C124" i="4"/>
  <c r="K123" i="4"/>
  <c r="J123" i="4"/>
  <c r="I123" i="4"/>
  <c r="H123" i="4"/>
  <c r="G123" i="4"/>
  <c r="F123" i="4"/>
  <c r="E123" i="4"/>
  <c r="D123" i="4"/>
  <c r="C123" i="4"/>
  <c r="K122" i="4"/>
  <c r="J122" i="4"/>
  <c r="I122" i="4"/>
  <c r="H122" i="4"/>
  <c r="G122" i="4"/>
  <c r="F122" i="4"/>
  <c r="E122" i="4"/>
  <c r="D122" i="4"/>
  <c r="C122" i="4"/>
  <c r="K121" i="4"/>
  <c r="J121" i="4"/>
  <c r="I121" i="4"/>
  <c r="H121" i="4"/>
  <c r="G121" i="4"/>
  <c r="F121" i="4"/>
  <c r="E121" i="4"/>
  <c r="D121" i="4"/>
  <c r="C121" i="4"/>
  <c r="K120" i="4"/>
  <c r="J120" i="4"/>
  <c r="I120" i="4"/>
  <c r="H120" i="4"/>
  <c r="G120" i="4"/>
  <c r="F120" i="4"/>
  <c r="E120" i="4"/>
  <c r="D120" i="4"/>
  <c r="C120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C119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C118" i="4"/>
  <c r="K117" i="4"/>
  <c r="J117" i="4"/>
  <c r="I117" i="4"/>
  <c r="H117" i="4"/>
  <c r="G117" i="4"/>
  <c r="F117" i="4"/>
  <c r="E117" i="4"/>
  <c r="D117" i="4"/>
  <c r="C117" i="4"/>
  <c r="K116" i="4"/>
  <c r="J116" i="4"/>
  <c r="I116" i="4"/>
  <c r="H116" i="4"/>
  <c r="G116" i="4"/>
  <c r="F116" i="4"/>
  <c r="E116" i="4"/>
  <c r="D116" i="4"/>
  <c r="C116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C115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C114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C113" i="4"/>
  <c r="K112" i="4"/>
  <c r="J112" i="4"/>
  <c r="I112" i="4"/>
  <c r="H112" i="4"/>
  <c r="G112" i="4"/>
  <c r="F112" i="4"/>
  <c r="E112" i="4"/>
  <c r="D112" i="4"/>
  <c r="C112" i="4"/>
  <c r="K111" i="4"/>
  <c r="J111" i="4"/>
  <c r="I111" i="4"/>
  <c r="H111" i="4"/>
  <c r="G111" i="4"/>
  <c r="F111" i="4"/>
  <c r="E111" i="4"/>
  <c r="D111" i="4"/>
  <c r="C111" i="4"/>
  <c r="K110" i="4"/>
  <c r="J110" i="4"/>
  <c r="I110" i="4"/>
  <c r="H110" i="4"/>
  <c r="G110" i="4"/>
  <c r="F110" i="4"/>
  <c r="E110" i="4"/>
  <c r="D110" i="4"/>
  <c r="C110" i="4"/>
  <c r="K109" i="4"/>
  <c r="J109" i="4"/>
  <c r="I109" i="4"/>
  <c r="H109" i="4"/>
  <c r="G109" i="4"/>
  <c r="F109" i="4"/>
  <c r="E109" i="4"/>
  <c r="D109" i="4"/>
  <c r="C109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C108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C107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C106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C105" i="4"/>
  <c r="K104" i="4"/>
  <c r="J104" i="4"/>
  <c r="I104" i="4"/>
  <c r="H104" i="4"/>
  <c r="G104" i="4"/>
  <c r="F104" i="4"/>
  <c r="E104" i="4"/>
  <c r="D104" i="4"/>
  <c r="C104" i="4"/>
  <c r="K103" i="4"/>
  <c r="J103" i="4"/>
  <c r="I103" i="4"/>
  <c r="H103" i="4"/>
  <c r="G103" i="4"/>
  <c r="F103" i="4"/>
  <c r="E103" i="4"/>
  <c r="D103" i="4"/>
  <c r="C103" i="4"/>
  <c r="K102" i="4"/>
  <c r="J102" i="4"/>
  <c r="I102" i="4"/>
  <c r="H102" i="4"/>
  <c r="G102" i="4"/>
  <c r="F102" i="4"/>
  <c r="E102" i="4"/>
  <c r="D102" i="4"/>
  <c r="C102" i="4"/>
  <c r="K101" i="4"/>
  <c r="J101" i="4"/>
  <c r="I101" i="4"/>
  <c r="H101" i="4"/>
  <c r="G101" i="4"/>
  <c r="F101" i="4"/>
  <c r="E101" i="4"/>
  <c r="D101" i="4"/>
  <c r="C101" i="4"/>
  <c r="K100" i="4"/>
  <c r="J100" i="4"/>
  <c r="I100" i="4"/>
  <c r="H100" i="4"/>
  <c r="G100" i="4"/>
  <c r="F100" i="4"/>
  <c r="E100" i="4"/>
  <c r="D100" i="4"/>
  <c r="C100" i="4"/>
  <c r="K99" i="4"/>
  <c r="J99" i="4"/>
  <c r="I99" i="4"/>
  <c r="H99" i="4"/>
  <c r="G99" i="4"/>
  <c r="F99" i="4"/>
  <c r="E99" i="4"/>
  <c r="D99" i="4"/>
  <c r="C99" i="4"/>
  <c r="K98" i="4"/>
  <c r="J98" i="4"/>
  <c r="I98" i="4"/>
  <c r="H98" i="4"/>
  <c r="G98" i="4"/>
  <c r="F98" i="4"/>
  <c r="E98" i="4"/>
  <c r="D98" i="4"/>
  <c r="C98" i="4"/>
  <c r="K97" i="4"/>
  <c r="J97" i="4"/>
  <c r="I97" i="4"/>
  <c r="H97" i="4"/>
  <c r="G97" i="4"/>
  <c r="F97" i="4"/>
  <c r="E97" i="4"/>
  <c r="D97" i="4"/>
  <c r="C97" i="4"/>
  <c r="K96" i="4"/>
  <c r="J96" i="4"/>
  <c r="I96" i="4"/>
  <c r="H96" i="4"/>
  <c r="G96" i="4"/>
  <c r="F96" i="4"/>
  <c r="E96" i="4"/>
  <c r="D96" i="4"/>
  <c r="C96" i="4"/>
  <c r="K95" i="4"/>
  <c r="J95" i="4"/>
  <c r="I95" i="4"/>
  <c r="H95" i="4"/>
  <c r="G95" i="4"/>
  <c r="F95" i="4"/>
  <c r="E95" i="4"/>
  <c r="D95" i="4"/>
  <c r="C95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C94" i="4"/>
  <c r="K93" i="4"/>
  <c r="J93" i="4"/>
  <c r="I93" i="4"/>
  <c r="H93" i="4"/>
  <c r="G93" i="4"/>
  <c r="F93" i="4"/>
  <c r="E93" i="4"/>
  <c r="D93" i="4"/>
  <c r="C93" i="4"/>
  <c r="K92" i="4"/>
  <c r="J92" i="4"/>
  <c r="I92" i="4"/>
  <c r="H92" i="4"/>
  <c r="G92" i="4"/>
  <c r="F92" i="4"/>
  <c r="E92" i="4"/>
  <c r="D92" i="4"/>
  <c r="C92" i="4"/>
  <c r="K91" i="4"/>
  <c r="J91" i="4"/>
  <c r="I91" i="4"/>
  <c r="H91" i="4"/>
  <c r="G91" i="4"/>
  <c r="F91" i="4"/>
  <c r="E91" i="4"/>
  <c r="D91" i="4"/>
  <c r="C91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C90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C89" i="4"/>
  <c r="K88" i="4"/>
  <c r="J88" i="4"/>
  <c r="I88" i="4"/>
  <c r="H88" i="4"/>
  <c r="G88" i="4"/>
  <c r="F88" i="4"/>
  <c r="E88" i="4"/>
  <c r="D88" i="4"/>
  <c r="C88" i="4"/>
  <c r="K87" i="4"/>
  <c r="J87" i="4"/>
  <c r="I87" i="4"/>
  <c r="H87" i="4"/>
  <c r="G87" i="4"/>
  <c r="F87" i="4"/>
  <c r="E87" i="4"/>
  <c r="D87" i="4"/>
  <c r="C87" i="4"/>
  <c r="K86" i="4"/>
  <c r="J86" i="4"/>
  <c r="I86" i="4"/>
  <c r="H86" i="4"/>
  <c r="G86" i="4"/>
  <c r="F86" i="4"/>
  <c r="E86" i="4"/>
  <c r="D86" i="4"/>
  <c r="C86" i="4"/>
  <c r="K85" i="4"/>
  <c r="J85" i="4"/>
  <c r="I85" i="4"/>
  <c r="H85" i="4"/>
  <c r="G85" i="4"/>
  <c r="F85" i="4"/>
  <c r="E85" i="4"/>
  <c r="D85" i="4"/>
  <c r="C85" i="4"/>
  <c r="K84" i="4"/>
  <c r="J84" i="4"/>
  <c r="I84" i="4"/>
  <c r="H84" i="4"/>
  <c r="G84" i="4"/>
  <c r="F84" i="4"/>
  <c r="E84" i="4"/>
  <c r="D84" i="4"/>
  <c r="C84" i="4"/>
  <c r="K83" i="4"/>
  <c r="J83" i="4"/>
  <c r="I83" i="4"/>
  <c r="H83" i="4"/>
  <c r="G83" i="4"/>
  <c r="F83" i="4"/>
  <c r="E83" i="4"/>
  <c r="D83" i="4"/>
  <c r="C83" i="4"/>
  <c r="K82" i="4"/>
  <c r="J82" i="4"/>
  <c r="I82" i="4"/>
  <c r="H82" i="4"/>
  <c r="G82" i="4"/>
  <c r="F82" i="4"/>
  <c r="E82" i="4"/>
  <c r="D82" i="4"/>
  <c r="C82" i="4"/>
  <c r="K81" i="4"/>
  <c r="J81" i="4"/>
  <c r="I81" i="4"/>
  <c r="H81" i="4"/>
  <c r="G81" i="4"/>
  <c r="F81" i="4"/>
  <c r="E81" i="4"/>
  <c r="D81" i="4"/>
  <c r="C81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C80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C79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C78" i="4"/>
  <c r="K77" i="4"/>
  <c r="J77" i="4"/>
  <c r="I77" i="4"/>
  <c r="H77" i="4"/>
  <c r="G77" i="4"/>
  <c r="F77" i="4"/>
  <c r="E77" i="4"/>
  <c r="D77" i="4"/>
  <c r="C77" i="4"/>
  <c r="K76" i="4"/>
  <c r="J76" i="4"/>
  <c r="I76" i="4"/>
  <c r="H76" i="4"/>
  <c r="G76" i="4"/>
  <c r="F76" i="4"/>
  <c r="E76" i="4"/>
  <c r="D76" i="4"/>
  <c r="C76" i="4"/>
  <c r="K75" i="4"/>
  <c r="J75" i="4"/>
  <c r="I75" i="4"/>
  <c r="H75" i="4"/>
  <c r="G75" i="4"/>
  <c r="F75" i="4"/>
  <c r="E75" i="4"/>
  <c r="D75" i="4"/>
  <c r="C75" i="4"/>
  <c r="K74" i="4"/>
  <c r="J74" i="4"/>
  <c r="I74" i="4"/>
  <c r="H74" i="4"/>
  <c r="G74" i="4"/>
  <c r="F74" i="4"/>
  <c r="E74" i="4"/>
  <c r="D74" i="4"/>
  <c r="C74" i="4"/>
  <c r="K73" i="4"/>
  <c r="J73" i="4"/>
  <c r="I73" i="4"/>
  <c r="H73" i="4"/>
  <c r="G73" i="4"/>
  <c r="F73" i="4"/>
  <c r="E73" i="4"/>
  <c r="D73" i="4"/>
  <c r="C73" i="4"/>
  <c r="K72" i="4"/>
  <c r="J72" i="4"/>
  <c r="I72" i="4"/>
  <c r="H72" i="4"/>
  <c r="G72" i="4"/>
  <c r="F72" i="4"/>
  <c r="E72" i="4"/>
  <c r="D72" i="4"/>
  <c r="C72" i="4"/>
  <c r="K71" i="4"/>
  <c r="J71" i="4"/>
  <c r="I71" i="4"/>
  <c r="H71" i="4"/>
  <c r="G71" i="4"/>
  <c r="F71" i="4"/>
  <c r="E71" i="4"/>
  <c r="D71" i="4"/>
  <c r="C71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C70" i="4"/>
  <c r="K69" i="4"/>
  <c r="J69" i="4"/>
  <c r="I69" i="4"/>
  <c r="H69" i="4"/>
  <c r="G69" i="4"/>
  <c r="F69" i="4"/>
  <c r="E69" i="4"/>
  <c r="D69" i="4"/>
  <c r="C69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C68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C67" i="4"/>
  <c r="K66" i="4"/>
  <c r="J66" i="4"/>
  <c r="I66" i="4"/>
  <c r="H66" i="4"/>
  <c r="G66" i="4"/>
  <c r="F66" i="4"/>
  <c r="E66" i="4"/>
  <c r="D66" i="4"/>
  <c r="C66" i="4"/>
  <c r="K65" i="4"/>
  <c r="J65" i="4"/>
  <c r="I65" i="4"/>
  <c r="H65" i="4"/>
  <c r="G65" i="4"/>
  <c r="F65" i="4"/>
  <c r="E65" i="4"/>
  <c r="D65" i="4"/>
  <c r="C65" i="4"/>
  <c r="K64" i="4"/>
  <c r="J64" i="4"/>
  <c r="I64" i="4"/>
  <c r="H64" i="4"/>
  <c r="G64" i="4"/>
  <c r="F64" i="4"/>
  <c r="E64" i="4"/>
  <c r="D64" i="4"/>
  <c r="C64" i="4"/>
  <c r="K63" i="4"/>
  <c r="J63" i="4"/>
  <c r="I63" i="4"/>
  <c r="H63" i="4"/>
  <c r="G63" i="4"/>
  <c r="F63" i="4"/>
  <c r="E63" i="4"/>
  <c r="D63" i="4"/>
  <c r="C63" i="4"/>
  <c r="K62" i="4"/>
  <c r="J62" i="4"/>
  <c r="I62" i="4"/>
  <c r="H62" i="4"/>
  <c r="G62" i="4"/>
  <c r="F62" i="4"/>
  <c r="E62" i="4"/>
  <c r="D62" i="4"/>
  <c r="C62" i="4"/>
  <c r="K61" i="4"/>
  <c r="J61" i="4"/>
  <c r="I61" i="4"/>
  <c r="H61" i="4"/>
  <c r="G61" i="4"/>
  <c r="F61" i="4"/>
  <c r="E61" i="4"/>
  <c r="D61" i="4"/>
  <c r="C61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C60" i="4"/>
  <c r="K59" i="4"/>
  <c r="J59" i="4"/>
  <c r="I59" i="4"/>
  <c r="H59" i="4"/>
  <c r="G59" i="4"/>
  <c r="F59" i="4"/>
  <c r="E59" i="4"/>
  <c r="D59" i="4"/>
  <c r="C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C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C57" i="4"/>
  <c r="K56" i="4"/>
  <c r="J56" i="4"/>
  <c r="I56" i="4"/>
  <c r="H56" i="4"/>
  <c r="G56" i="4"/>
  <c r="F56" i="4"/>
  <c r="E56" i="4"/>
  <c r="D56" i="4"/>
  <c r="C56" i="4"/>
  <c r="K55" i="4"/>
  <c r="J55" i="4"/>
  <c r="I55" i="4"/>
  <c r="H55" i="4"/>
  <c r="G55" i="4"/>
  <c r="F55" i="4"/>
  <c r="E55" i="4"/>
  <c r="D55" i="4"/>
  <c r="C55" i="4"/>
  <c r="K54" i="4"/>
  <c r="J54" i="4"/>
  <c r="I54" i="4"/>
  <c r="H54" i="4"/>
  <c r="G54" i="4"/>
  <c r="F54" i="4"/>
  <c r="E54" i="4"/>
  <c r="D54" i="4"/>
  <c r="C54" i="4"/>
  <c r="K53" i="4"/>
  <c r="J53" i="4"/>
  <c r="I53" i="4"/>
  <c r="H53" i="4"/>
  <c r="G53" i="4"/>
  <c r="F53" i="4"/>
  <c r="E53" i="4"/>
  <c r="D53" i="4"/>
  <c r="C53" i="4"/>
  <c r="K52" i="4"/>
  <c r="J52" i="4"/>
  <c r="I52" i="4"/>
  <c r="H52" i="4"/>
  <c r="G52" i="4"/>
  <c r="F52" i="4"/>
  <c r="E52" i="4"/>
  <c r="D52" i="4"/>
  <c r="C52" i="4"/>
  <c r="K51" i="4"/>
  <c r="J51" i="4"/>
  <c r="I51" i="4"/>
  <c r="H51" i="4"/>
  <c r="G51" i="4"/>
  <c r="F51" i="4"/>
  <c r="E51" i="4"/>
  <c r="D51" i="4"/>
  <c r="C51" i="4"/>
  <c r="K50" i="4"/>
  <c r="J50" i="4"/>
  <c r="I50" i="4"/>
  <c r="H50" i="4"/>
  <c r="G50" i="4"/>
  <c r="F50" i="4"/>
  <c r="E50" i="4"/>
  <c r="D50" i="4"/>
  <c r="C50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C49" i="4"/>
  <c r="K48" i="4"/>
  <c r="J48" i="4"/>
  <c r="I48" i="4"/>
  <c r="H48" i="4"/>
  <c r="G48" i="4"/>
  <c r="F48" i="4"/>
  <c r="E48" i="4"/>
  <c r="D48" i="4"/>
  <c r="C48" i="4"/>
  <c r="K47" i="4"/>
  <c r="J47" i="4"/>
  <c r="I47" i="4"/>
  <c r="H47" i="4"/>
  <c r="G47" i="4"/>
  <c r="F47" i="4"/>
  <c r="E47" i="4"/>
  <c r="D47" i="4"/>
  <c r="C47" i="4"/>
  <c r="K46" i="4"/>
  <c r="J46" i="4"/>
  <c r="I46" i="4"/>
  <c r="H46" i="4"/>
  <c r="G46" i="4"/>
  <c r="F46" i="4"/>
  <c r="E46" i="4"/>
  <c r="D46" i="4"/>
  <c r="C46" i="4"/>
  <c r="K45" i="4"/>
  <c r="J45" i="4"/>
  <c r="I45" i="4"/>
  <c r="H45" i="4"/>
  <c r="G45" i="4"/>
  <c r="F45" i="4"/>
  <c r="E45" i="4"/>
  <c r="D45" i="4"/>
  <c r="C45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C44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C43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C42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C41" i="4"/>
  <c r="K40" i="4"/>
  <c r="J40" i="4"/>
  <c r="I40" i="4"/>
  <c r="H40" i="4"/>
  <c r="G40" i="4"/>
  <c r="F40" i="4"/>
  <c r="E40" i="4"/>
  <c r="D40" i="4"/>
  <c r="C40" i="4"/>
  <c r="K39" i="4"/>
  <c r="J39" i="4"/>
  <c r="I39" i="4"/>
  <c r="H39" i="4"/>
  <c r="G39" i="4"/>
  <c r="F39" i="4"/>
  <c r="E39" i="4"/>
  <c r="D39" i="4"/>
  <c r="C39" i="4"/>
  <c r="K38" i="4"/>
  <c r="J38" i="4"/>
  <c r="I38" i="4"/>
  <c r="H38" i="4"/>
  <c r="G38" i="4"/>
  <c r="F38" i="4"/>
  <c r="E38" i="4"/>
  <c r="D38" i="4"/>
  <c r="C38" i="4"/>
  <c r="K37" i="4"/>
  <c r="J37" i="4"/>
  <c r="I37" i="4"/>
  <c r="H37" i="4"/>
  <c r="G37" i="4"/>
  <c r="F37" i="4"/>
  <c r="E37" i="4"/>
  <c r="D37" i="4"/>
  <c r="C37" i="4"/>
  <c r="K36" i="4"/>
  <c r="J36" i="4"/>
  <c r="I36" i="4"/>
  <c r="H36" i="4"/>
  <c r="G36" i="4"/>
  <c r="F36" i="4"/>
  <c r="E36" i="4"/>
  <c r="D36" i="4"/>
  <c r="C36" i="4"/>
  <c r="K35" i="4"/>
  <c r="J35" i="4"/>
  <c r="I35" i="4"/>
  <c r="H35" i="4"/>
  <c r="G35" i="4"/>
  <c r="F35" i="4"/>
  <c r="E35" i="4"/>
  <c r="D35" i="4"/>
  <c r="C35" i="4"/>
  <c r="K34" i="4"/>
  <c r="J34" i="4"/>
  <c r="I34" i="4"/>
  <c r="H34" i="4"/>
  <c r="G34" i="4"/>
  <c r="F34" i="4"/>
  <c r="E34" i="4"/>
  <c r="D34" i="4"/>
  <c r="C34" i="4"/>
  <c r="K33" i="4"/>
  <c r="J33" i="4"/>
  <c r="I33" i="4"/>
  <c r="H33" i="4"/>
  <c r="G33" i="4"/>
  <c r="F33" i="4"/>
  <c r="E33" i="4"/>
  <c r="D33" i="4"/>
  <c r="C33" i="4"/>
  <c r="K32" i="4"/>
  <c r="J32" i="4"/>
  <c r="I32" i="4"/>
  <c r="H32" i="4"/>
  <c r="G32" i="4"/>
  <c r="F32" i="4"/>
  <c r="E32" i="4"/>
  <c r="D32" i="4"/>
  <c r="C32" i="4"/>
  <c r="K31" i="4"/>
  <c r="J31" i="4"/>
  <c r="I31" i="4"/>
  <c r="H31" i="4"/>
  <c r="G31" i="4"/>
  <c r="F31" i="4"/>
  <c r="E31" i="4"/>
  <c r="D31" i="4"/>
  <c r="C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C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C29" i="4"/>
  <c r="K28" i="4"/>
  <c r="J28" i="4"/>
  <c r="I28" i="4"/>
  <c r="H28" i="4"/>
  <c r="G28" i="4"/>
  <c r="F28" i="4"/>
  <c r="E28" i="4"/>
  <c r="D28" i="4"/>
  <c r="C28" i="4"/>
  <c r="K27" i="4"/>
  <c r="J27" i="4"/>
  <c r="I27" i="4"/>
  <c r="H27" i="4"/>
  <c r="G27" i="4"/>
  <c r="F27" i="4"/>
  <c r="E27" i="4"/>
  <c r="D27" i="4"/>
  <c r="C27" i="4"/>
  <c r="K26" i="4"/>
  <c r="J26" i="4"/>
  <c r="I26" i="4"/>
  <c r="H26" i="4"/>
  <c r="G26" i="4"/>
  <c r="F26" i="4"/>
  <c r="E26" i="4"/>
  <c r="D26" i="4"/>
  <c r="C26" i="4"/>
  <c r="K25" i="4"/>
  <c r="J25" i="4"/>
  <c r="I25" i="4"/>
  <c r="H25" i="4"/>
  <c r="G25" i="4"/>
  <c r="F25" i="4"/>
  <c r="E25" i="4"/>
  <c r="D25" i="4"/>
  <c r="C25" i="4"/>
  <c r="K24" i="4"/>
  <c r="J24" i="4"/>
  <c r="I24" i="4"/>
  <c r="H24" i="4"/>
  <c r="G24" i="4"/>
  <c r="F24" i="4"/>
  <c r="E24" i="4"/>
  <c r="D24" i="4"/>
  <c r="C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C23" i="4"/>
  <c r="K22" i="4"/>
  <c r="J22" i="4"/>
  <c r="I22" i="4"/>
  <c r="H22" i="4"/>
  <c r="G22" i="4"/>
  <c r="F22" i="4"/>
  <c r="E22" i="4"/>
  <c r="D22" i="4"/>
  <c r="C22" i="4"/>
  <c r="K21" i="4"/>
  <c r="J21" i="4"/>
  <c r="I21" i="4"/>
  <c r="H21" i="4"/>
  <c r="G21" i="4"/>
  <c r="F21" i="4"/>
  <c r="E21" i="4"/>
  <c r="D21" i="4"/>
  <c r="C21" i="4"/>
  <c r="K20" i="4"/>
  <c r="J20" i="4"/>
  <c r="I20" i="4"/>
  <c r="H20" i="4"/>
  <c r="G20" i="4"/>
  <c r="F20" i="4"/>
  <c r="E20" i="4"/>
  <c r="D20" i="4"/>
  <c r="C20" i="4"/>
  <c r="K19" i="4"/>
  <c r="J19" i="4"/>
  <c r="I19" i="4"/>
  <c r="H19" i="4"/>
  <c r="G19" i="4"/>
  <c r="F19" i="4"/>
  <c r="E19" i="4"/>
  <c r="D19" i="4"/>
  <c r="C19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C18" i="4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C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C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C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C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C11" i="4"/>
  <c r="C136" i="3"/>
  <c r="C135" i="3"/>
  <c r="C134" i="3"/>
  <c r="C133" i="3"/>
  <c r="C132" i="3"/>
  <c r="K131" i="3"/>
  <c r="J131" i="3"/>
  <c r="I131" i="3"/>
  <c r="H131" i="3"/>
  <c r="G131" i="3"/>
  <c r="F131" i="3"/>
  <c r="E131" i="3"/>
  <c r="D131" i="3"/>
  <c r="C131" i="3"/>
  <c r="K130" i="3"/>
  <c r="J130" i="3"/>
  <c r="I130" i="3"/>
  <c r="H130" i="3"/>
  <c r="G130" i="3"/>
  <c r="F130" i="3"/>
  <c r="E130" i="3"/>
  <c r="D130" i="3"/>
  <c r="C130" i="3"/>
  <c r="K129" i="3"/>
  <c r="J129" i="3"/>
  <c r="I129" i="3"/>
  <c r="H129" i="3"/>
  <c r="G129" i="3"/>
  <c r="F129" i="3"/>
  <c r="E129" i="3"/>
  <c r="D129" i="3"/>
  <c r="C129" i="3"/>
  <c r="K128" i="3"/>
  <c r="J128" i="3"/>
  <c r="I128" i="3"/>
  <c r="H128" i="3"/>
  <c r="G128" i="3"/>
  <c r="F128" i="3"/>
  <c r="E128" i="3"/>
  <c r="D128" i="3"/>
  <c r="C128" i="3"/>
  <c r="C127" i="3"/>
  <c r="K126" i="3"/>
  <c r="J126" i="3"/>
  <c r="I126" i="3"/>
  <c r="H126" i="3"/>
  <c r="G126" i="3"/>
  <c r="F126" i="3"/>
  <c r="E126" i="3"/>
  <c r="D126" i="3"/>
  <c r="C126" i="3"/>
  <c r="K125" i="3"/>
  <c r="J125" i="3"/>
  <c r="I125" i="3"/>
  <c r="H125" i="3"/>
  <c r="G125" i="3"/>
  <c r="F125" i="3"/>
  <c r="E125" i="3"/>
  <c r="D125" i="3"/>
  <c r="C125" i="3"/>
  <c r="K124" i="3"/>
  <c r="J124" i="3"/>
  <c r="I124" i="3"/>
  <c r="H124" i="3"/>
  <c r="G124" i="3"/>
  <c r="F124" i="3"/>
  <c r="E124" i="3"/>
  <c r="D124" i="3"/>
  <c r="C124" i="3"/>
  <c r="K123" i="3"/>
  <c r="J123" i="3"/>
  <c r="I123" i="3"/>
  <c r="H123" i="3"/>
  <c r="G123" i="3"/>
  <c r="F123" i="3"/>
  <c r="E123" i="3"/>
  <c r="D123" i="3"/>
  <c r="C123" i="3"/>
  <c r="C122" i="3"/>
  <c r="K121" i="3"/>
  <c r="J121" i="3"/>
  <c r="I121" i="3"/>
  <c r="H121" i="3"/>
  <c r="G121" i="3"/>
  <c r="F121" i="3"/>
  <c r="E121" i="3"/>
  <c r="D121" i="3"/>
  <c r="C121" i="3"/>
  <c r="K120" i="3"/>
  <c r="J120" i="3"/>
  <c r="I120" i="3"/>
  <c r="H120" i="3"/>
  <c r="G120" i="3"/>
  <c r="F120" i="3"/>
  <c r="E120" i="3"/>
  <c r="D120" i="3"/>
  <c r="C120" i="3"/>
  <c r="K119" i="3"/>
  <c r="J119" i="3"/>
  <c r="I119" i="3"/>
  <c r="H119" i="3"/>
  <c r="G119" i="3"/>
  <c r="F119" i="3"/>
  <c r="E119" i="3"/>
  <c r="D119" i="3"/>
  <c r="C119" i="3"/>
  <c r="K118" i="3"/>
  <c r="J118" i="3"/>
  <c r="I118" i="3"/>
  <c r="H118" i="3"/>
  <c r="G118" i="3"/>
  <c r="F118" i="3"/>
  <c r="E118" i="3"/>
  <c r="D118" i="3"/>
  <c r="C118" i="3"/>
  <c r="K117" i="3"/>
  <c r="J117" i="3"/>
  <c r="I117" i="3"/>
  <c r="H117" i="3"/>
  <c r="G117" i="3"/>
  <c r="F117" i="3"/>
  <c r="E117" i="3"/>
  <c r="D117" i="3"/>
  <c r="C117" i="3"/>
  <c r="K116" i="3"/>
  <c r="J116" i="3"/>
  <c r="I116" i="3"/>
  <c r="H116" i="3"/>
  <c r="G116" i="3"/>
  <c r="F116" i="3"/>
  <c r="E116" i="3"/>
  <c r="D116" i="3"/>
  <c r="C116" i="3"/>
  <c r="K115" i="3"/>
  <c r="J115" i="3"/>
  <c r="I115" i="3"/>
  <c r="H115" i="3"/>
  <c r="G115" i="3"/>
  <c r="F115" i="3"/>
  <c r="E115" i="3"/>
  <c r="D115" i="3"/>
  <c r="C115" i="3"/>
  <c r="K114" i="3"/>
  <c r="J114" i="3"/>
  <c r="I114" i="3"/>
  <c r="H114" i="3"/>
  <c r="G114" i="3"/>
  <c r="F114" i="3"/>
  <c r="E114" i="3"/>
  <c r="D114" i="3"/>
  <c r="C114" i="3"/>
  <c r="K113" i="3"/>
  <c r="J113" i="3"/>
  <c r="I113" i="3"/>
  <c r="H113" i="3"/>
  <c r="G113" i="3"/>
  <c r="F113" i="3"/>
  <c r="E113" i="3"/>
  <c r="D113" i="3"/>
  <c r="C113" i="3"/>
  <c r="K112" i="3"/>
  <c r="J112" i="3"/>
  <c r="I112" i="3"/>
  <c r="H112" i="3"/>
  <c r="G112" i="3"/>
  <c r="F112" i="3"/>
  <c r="E112" i="3"/>
  <c r="D112" i="3"/>
  <c r="C112" i="3"/>
  <c r="K111" i="3"/>
  <c r="J111" i="3"/>
  <c r="I111" i="3"/>
  <c r="H111" i="3"/>
  <c r="G111" i="3"/>
  <c r="F111" i="3"/>
  <c r="E111" i="3"/>
  <c r="D111" i="3"/>
  <c r="C111" i="3"/>
  <c r="C110" i="3"/>
  <c r="C109" i="3"/>
  <c r="K108" i="3"/>
  <c r="J108" i="3"/>
  <c r="I108" i="3"/>
  <c r="H108" i="3"/>
  <c r="G108" i="3"/>
  <c r="F108" i="3"/>
  <c r="E108" i="3"/>
  <c r="D108" i="3"/>
  <c r="C108" i="3"/>
  <c r="K107" i="3"/>
  <c r="J107" i="3"/>
  <c r="I107" i="3"/>
  <c r="H107" i="3"/>
  <c r="G107" i="3"/>
  <c r="F107" i="3"/>
  <c r="E107" i="3"/>
  <c r="D107" i="3"/>
  <c r="C107" i="3"/>
  <c r="K106" i="3"/>
  <c r="J106" i="3"/>
  <c r="I106" i="3"/>
  <c r="H106" i="3"/>
  <c r="G106" i="3"/>
  <c r="F106" i="3"/>
  <c r="E106" i="3"/>
  <c r="D106" i="3"/>
  <c r="C106" i="3"/>
  <c r="K105" i="3"/>
  <c r="J105" i="3"/>
  <c r="I105" i="3"/>
  <c r="H105" i="3"/>
  <c r="G105" i="3"/>
  <c r="F105" i="3"/>
  <c r="E105" i="3"/>
  <c r="D105" i="3"/>
  <c r="C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C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C103" i="3"/>
  <c r="C102" i="3"/>
  <c r="K101" i="3"/>
  <c r="J101" i="3"/>
  <c r="I101" i="3"/>
  <c r="H101" i="3"/>
  <c r="G101" i="3"/>
  <c r="F101" i="3"/>
  <c r="E101" i="3"/>
  <c r="D101" i="3"/>
  <c r="C101" i="3"/>
  <c r="K100" i="3"/>
  <c r="J100" i="3"/>
  <c r="I100" i="3"/>
  <c r="H100" i="3"/>
  <c r="G100" i="3"/>
  <c r="F100" i="3"/>
  <c r="E100" i="3"/>
  <c r="D100" i="3"/>
  <c r="C100" i="3"/>
  <c r="K99" i="3"/>
  <c r="J99" i="3"/>
  <c r="I99" i="3"/>
  <c r="H99" i="3"/>
  <c r="G99" i="3"/>
  <c r="F99" i="3"/>
  <c r="E99" i="3"/>
  <c r="D99" i="3"/>
  <c r="C99" i="3"/>
  <c r="K98" i="3"/>
  <c r="J98" i="3"/>
  <c r="I98" i="3"/>
  <c r="H98" i="3"/>
  <c r="G98" i="3"/>
  <c r="F98" i="3"/>
  <c r="E98" i="3"/>
  <c r="D98" i="3"/>
  <c r="C98" i="3"/>
  <c r="K97" i="3"/>
  <c r="J97" i="3"/>
  <c r="I97" i="3"/>
  <c r="H97" i="3"/>
  <c r="G97" i="3"/>
  <c r="F97" i="3"/>
  <c r="E97" i="3"/>
  <c r="D97" i="3"/>
  <c r="C97" i="3"/>
  <c r="K96" i="3"/>
  <c r="J96" i="3"/>
  <c r="I96" i="3"/>
  <c r="H96" i="3"/>
  <c r="G96" i="3"/>
  <c r="F96" i="3"/>
  <c r="E96" i="3"/>
  <c r="D96" i="3"/>
  <c r="C96" i="3"/>
  <c r="C95" i="3"/>
  <c r="K94" i="3"/>
  <c r="J94" i="3"/>
  <c r="I94" i="3"/>
  <c r="H94" i="3"/>
  <c r="G94" i="3"/>
  <c r="F94" i="3"/>
  <c r="E94" i="3"/>
  <c r="D94" i="3"/>
  <c r="C94" i="3"/>
  <c r="K93" i="3"/>
  <c r="J93" i="3"/>
  <c r="I93" i="3"/>
  <c r="H93" i="3"/>
  <c r="G93" i="3"/>
  <c r="F93" i="3"/>
  <c r="E93" i="3"/>
  <c r="D93" i="3"/>
  <c r="C93" i="3"/>
  <c r="K92" i="3"/>
  <c r="J92" i="3"/>
  <c r="I92" i="3"/>
  <c r="H92" i="3"/>
  <c r="G92" i="3"/>
  <c r="F92" i="3"/>
  <c r="E92" i="3"/>
  <c r="D92" i="3"/>
  <c r="C92" i="3"/>
  <c r="K91" i="3"/>
  <c r="J91" i="3"/>
  <c r="I91" i="3"/>
  <c r="H91" i="3"/>
  <c r="G91" i="3"/>
  <c r="F91" i="3"/>
  <c r="E91" i="3"/>
  <c r="D91" i="3"/>
  <c r="C91" i="3"/>
  <c r="K90" i="3"/>
  <c r="J90" i="3"/>
  <c r="I90" i="3"/>
  <c r="H90" i="3"/>
  <c r="G90" i="3"/>
  <c r="F90" i="3"/>
  <c r="E90" i="3"/>
  <c r="D90" i="3"/>
  <c r="C90" i="3"/>
  <c r="K89" i="3"/>
  <c r="J89" i="3"/>
  <c r="I89" i="3"/>
  <c r="H89" i="3"/>
  <c r="G89" i="3"/>
  <c r="F89" i="3"/>
  <c r="E89" i="3"/>
  <c r="D89" i="3"/>
  <c r="C89" i="3"/>
  <c r="K88" i="3"/>
  <c r="J88" i="3"/>
  <c r="I88" i="3"/>
  <c r="H88" i="3"/>
  <c r="G88" i="3"/>
  <c r="F88" i="3"/>
  <c r="E88" i="3"/>
  <c r="D88" i="3"/>
  <c r="C88" i="3"/>
  <c r="K87" i="3"/>
  <c r="J87" i="3"/>
  <c r="I87" i="3"/>
  <c r="H87" i="3"/>
  <c r="G87" i="3"/>
  <c r="F87" i="3"/>
  <c r="E87" i="3"/>
  <c r="D87" i="3"/>
  <c r="C87" i="3"/>
  <c r="K86" i="3"/>
  <c r="J86" i="3"/>
  <c r="I86" i="3"/>
  <c r="H86" i="3"/>
  <c r="G86" i="3"/>
  <c r="F86" i="3"/>
  <c r="E86" i="3"/>
  <c r="D86" i="3"/>
  <c r="C86" i="3"/>
  <c r="K85" i="3"/>
  <c r="J85" i="3"/>
  <c r="I85" i="3"/>
  <c r="H85" i="3"/>
  <c r="G85" i="3"/>
  <c r="F85" i="3"/>
  <c r="E85" i="3"/>
  <c r="D85" i="3"/>
  <c r="C85" i="3"/>
  <c r="K84" i="3"/>
  <c r="J84" i="3"/>
  <c r="I84" i="3"/>
  <c r="H84" i="3"/>
  <c r="G84" i="3"/>
  <c r="F84" i="3"/>
  <c r="E84" i="3"/>
  <c r="D84" i="3"/>
  <c r="C84" i="3"/>
  <c r="K83" i="3"/>
  <c r="J83" i="3"/>
  <c r="I83" i="3"/>
  <c r="H83" i="3"/>
  <c r="G83" i="3"/>
  <c r="F83" i="3"/>
  <c r="E83" i="3"/>
  <c r="D83" i="3"/>
  <c r="C83" i="3"/>
  <c r="C82" i="3"/>
  <c r="C81" i="3"/>
  <c r="K80" i="3"/>
  <c r="J80" i="3"/>
  <c r="I80" i="3"/>
  <c r="H80" i="3"/>
  <c r="G80" i="3"/>
  <c r="F80" i="3"/>
  <c r="E80" i="3"/>
  <c r="D80" i="3"/>
  <c r="C80" i="3"/>
  <c r="K79" i="3"/>
  <c r="J79" i="3"/>
  <c r="I79" i="3"/>
  <c r="H79" i="3"/>
  <c r="G79" i="3"/>
  <c r="F79" i="3"/>
  <c r="E79" i="3"/>
  <c r="D79" i="3"/>
  <c r="C79" i="3"/>
  <c r="K78" i="3"/>
  <c r="J78" i="3"/>
  <c r="I78" i="3"/>
  <c r="H78" i="3"/>
  <c r="G78" i="3"/>
  <c r="F78" i="3"/>
  <c r="E78" i="3"/>
  <c r="D78" i="3"/>
  <c r="C78" i="3"/>
  <c r="K77" i="3"/>
  <c r="J77" i="3"/>
  <c r="I77" i="3"/>
  <c r="H77" i="3"/>
  <c r="G77" i="3"/>
  <c r="F77" i="3"/>
  <c r="E77" i="3"/>
  <c r="D77" i="3"/>
  <c r="C77" i="3"/>
  <c r="K76" i="3"/>
  <c r="J76" i="3"/>
  <c r="I76" i="3"/>
  <c r="H76" i="3"/>
  <c r="G76" i="3"/>
  <c r="F76" i="3"/>
  <c r="E76" i="3"/>
  <c r="D76" i="3"/>
  <c r="C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C75" i="3"/>
  <c r="K74" i="3"/>
  <c r="J74" i="3"/>
  <c r="I74" i="3"/>
  <c r="H74" i="3"/>
  <c r="G74" i="3"/>
  <c r="F74" i="3"/>
  <c r="E74" i="3"/>
  <c r="D74" i="3"/>
  <c r="C74" i="3"/>
  <c r="K73" i="3"/>
  <c r="J73" i="3"/>
  <c r="I73" i="3"/>
  <c r="H73" i="3"/>
  <c r="G73" i="3"/>
  <c r="F73" i="3"/>
  <c r="E73" i="3"/>
  <c r="D73" i="3"/>
  <c r="C73" i="3"/>
  <c r="K72" i="3"/>
  <c r="J72" i="3"/>
  <c r="I72" i="3"/>
  <c r="H72" i="3"/>
  <c r="G72" i="3"/>
  <c r="F72" i="3"/>
  <c r="E72" i="3"/>
  <c r="D72" i="3"/>
  <c r="C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C71" i="3"/>
  <c r="K70" i="3"/>
  <c r="J70" i="3"/>
  <c r="I70" i="3"/>
  <c r="H70" i="3"/>
  <c r="G70" i="3"/>
  <c r="F70" i="3"/>
  <c r="E70" i="3"/>
  <c r="D70" i="3"/>
  <c r="C70" i="3"/>
  <c r="K69" i="3"/>
  <c r="J69" i="3"/>
  <c r="I69" i="3"/>
  <c r="H69" i="3"/>
  <c r="G69" i="3"/>
  <c r="F69" i="3"/>
  <c r="E69" i="3"/>
  <c r="D69" i="3"/>
  <c r="C69" i="3"/>
  <c r="K68" i="3"/>
  <c r="J68" i="3"/>
  <c r="I68" i="3"/>
  <c r="H68" i="3"/>
  <c r="G68" i="3"/>
  <c r="F68" i="3"/>
  <c r="E68" i="3"/>
  <c r="D68" i="3"/>
  <c r="C68" i="3"/>
  <c r="K67" i="3"/>
  <c r="J67" i="3"/>
  <c r="I67" i="3"/>
  <c r="H67" i="3"/>
  <c r="G67" i="3"/>
  <c r="F67" i="3"/>
  <c r="E67" i="3"/>
  <c r="D67" i="3"/>
  <c r="C67" i="3"/>
  <c r="K66" i="3"/>
  <c r="J66" i="3"/>
  <c r="I66" i="3"/>
  <c r="H66" i="3"/>
  <c r="G66" i="3"/>
  <c r="F66" i="3"/>
  <c r="E66" i="3"/>
  <c r="D66" i="3"/>
  <c r="C66" i="3"/>
  <c r="K65" i="3"/>
  <c r="J65" i="3"/>
  <c r="I65" i="3"/>
  <c r="H65" i="3"/>
  <c r="G65" i="3"/>
  <c r="F65" i="3"/>
  <c r="E65" i="3"/>
  <c r="D65" i="3"/>
  <c r="C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C64" i="3"/>
  <c r="K63" i="3"/>
  <c r="J63" i="3"/>
  <c r="I63" i="3"/>
  <c r="H63" i="3"/>
  <c r="G63" i="3"/>
  <c r="F63" i="3"/>
  <c r="E63" i="3"/>
  <c r="D63" i="3"/>
  <c r="C63" i="3"/>
  <c r="K62" i="3"/>
  <c r="J62" i="3"/>
  <c r="I62" i="3"/>
  <c r="H62" i="3"/>
  <c r="G62" i="3"/>
  <c r="F62" i="3"/>
  <c r="E62" i="3"/>
  <c r="D62" i="3"/>
  <c r="C62" i="3"/>
  <c r="K61" i="3"/>
  <c r="J61" i="3"/>
  <c r="I61" i="3"/>
  <c r="H61" i="3"/>
  <c r="G61" i="3"/>
  <c r="F61" i="3"/>
  <c r="E61" i="3"/>
  <c r="D61" i="3"/>
  <c r="C61" i="3"/>
  <c r="K60" i="3"/>
  <c r="J60" i="3"/>
  <c r="I60" i="3"/>
  <c r="H60" i="3"/>
  <c r="G60" i="3"/>
  <c r="F60" i="3"/>
  <c r="E60" i="3"/>
  <c r="D60" i="3"/>
  <c r="C60" i="3"/>
  <c r="K59" i="3"/>
  <c r="J59" i="3"/>
  <c r="I59" i="3"/>
  <c r="H59" i="3"/>
  <c r="G59" i="3"/>
  <c r="F59" i="3"/>
  <c r="E59" i="3"/>
  <c r="D59" i="3"/>
  <c r="C59" i="3"/>
  <c r="K58" i="3"/>
  <c r="J58" i="3"/>
  <c r="I58" i="3"/>
  <c r="H58" i="3"/>
  <c r="G58" i="3"/>
  <c r="F58" i="3"/>
  <c r="E58" i="3"/>
  <c r="D58" i="3"/>
  <c r="C58" i="3"/>
  <c r="K57" i="3"/>
  <c r="J57" i="3"/>
  <c r="I57" i="3"/>
  <c r="H57" i="3"/>
  <c r="G57" i="3"/>
  <c r="F57" i="3"/>
  <c r="E57" i="3"/>
  <c r="D57" i="3"/>
  <c r="C57" i="3"/>
  <c r="K56" i="3"/>
  <c r="J56" i="3"/>
  <c r="I56" i="3"/>
  <c r="H56" i="3"/>
  <c r="G56" i="3"/>
  <c r="F56" i="3"/>
  <c r="E56" i="3"/>
  <c r="D56" i="3"/>
  <c r="C56" i="3"/>
  <c r="K55" i="3"/>
  <c r="J55" i="3"/>
  <c r="I55" i="3"/>
  <c r="H55" i="3"/>
  <c r="G55" i="3"/>
  <c r="F55" i="3"/>
  <c r="E55" i="3"/>
  <c r="D55" i="3"/>
  <c r="C55" i="3"/>
  <c r="K54" i="3"/>
  <c r="J54" i="3"/>
  <c r="I54" i="3"/>
  <c r="H54" i="3"/>
  <c r="G54" i="3"/>
  <c r="F54" i="3"/>
  <c r="E54" i="3"/>
  <c r="D54" i="3"/>
  <c r="C54" i="3"/>
  <c r="K53" i="3"/>
  <c r="J53" i="3"/>
  <c r="I53" i="3"/>
  <c r="H53" i="3"/>
  <c r="G53" i="3"/>
  <c r="F53" i="3"/>
  <c r="E53" i="3"/>
  <c r="D53" i="3"/>
  <c r="C53" i="3"/>
  <c r="K52" i="3"/>
  <c r="J52" i="3"/>
  <c r="I52" i="3"/>
  <c r="H52" i="3"/>
  <c r="G52" i="3"/>
  <c r="F52" i="3"/>
  <c r="E52" i="3"/>
  <c r="D52" i="3"/>
  <c r="C52" i="3"/>
  <c r="K51" i="3"/>
  <c r="J51" i="3"/>
  <c r="I51" i="3"/>
  <c r="H51" i="3"/>
  <c r="G51" i="3"/>
  <c r="F51" i="3"/>
  <c r="E51" i="3"/>
  <c r="D51" i="3"/>
  <c r="C51" i="3"/>
  <c r="K50" i="3"/>
  <c r="J50" i="3"/>
  <c r="I50" i="3"/>
  <c r="H50" i="3"/>
  <c r="G50" i="3"/>
  <c r="F50" i="3"/>
  <c r="E50" i="3"/>
  <c r="D50" i="3"/>
  <c r="C50" i="3"/>
  <c r="K49" i="3"/>
  <c r="J49" i="3"/>
  <c r="I49" i="3"/>
  <c r="H49" i="3"/>
  <c r="G49" i="3"/>
  <c r="F49" i="3"/>
  <c r="E49" i="3"/>
  <c r="D49" i="3"/>
  <c r="C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C48" i="3"/>
  <c r="K47" i="3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F46" i="3"/>
  <c r="E46" i="3"/>
  <c r="D46" i="3"/>
  <c r="C46" i="3"/>
  <c r="K45" i="3"/>
  <c r="J45" i="3"/>
  <c r="I45" i="3"/>
  <c r="H45" i="3"/>
  <c r="G45" i="3"/>
  <c r="F45" i="3"/>
  <c r="E45" i="3"/>
  <c r="D45" i="3"/>
  <c r="C45" i="3"/>
  <c r="K44" i="3"/>
  <c r="J44" i="3"/>
  <c r="I44" i="3"/>
  <c r="H44" i="3"/>
  <c r="G44" i="3"/>
  <c r="F44" i="3"/>
  <c r="E44" i="3"/>
  <c r="D44" i="3"/>
  <c r="C44" i="3"/>
  <c r="K43" i="3"/>
  <c r="J43" i="3"/>
  <c r="I43" i="3"/>
  <c r="H43" i="3"/>
  <c r="G43" i="3"/>
  <c r="F43" i="3"/>
  <c r="E43" i="3"/>
  <c r="D43" i="3"/>
  <c r="C43" i="3"/>
  <c r="K42" i="3"/>
  <c r="J42" i="3"/>
  <c r="I42" i="3"/>
  <c r="H42" i="3"/>
  <c r="G42" i="3"/>
  <c r="F42" i="3"/>
  <c r="E42" i="3"/>
  <c r="D42" i="3"/>
  <c r="C42" i="3"/>
  <c r="K41" i="3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K35" i="3"/>
  <c r="J35" i="3"/>
  <c r="I35" i="3"/>
  <c r="H35" i="3"/>
  <c r="G35" i="3"/>
  <c r="F35" i="3"/>
  <c r="E35" i="3"/>
  <c r="D35" i="3"/>
  <c r="C35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C34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C33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C20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C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C11" i="3"/>
  <c r="C74" i="2"/>
  <c r="C73" i="2"/>
  <c r="C72" i="2"/>
  <c r="C71" i="2"/>
  <c r="C70" i="2"/>
  <c r="K69" i="2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K67" i="2"/>
  <c r="J67" i="2"/>
  <c r="I67" i="2"/>
  <c r="H67" i="2"/>
  <c r="G67" i="2"/>
  <c r="F67" i="2"/>
  <c r="E67" i="2"/>
  <c r="D67" i="2"/>
  <c r="C67" i="2"/>
  <c r="K66" i="2"/>
  <c r="J66" i="2"/>
  <c r="I66" i="2"/>
  <c r="H66" i="2"/>
  <c r="G66" i="2"/>
  <c r="F66" i="2"/>
  <c r="E66" i="2"/>
  <c r="D66" i="2"/>
  <c r="C66" i="2"/>
  <c r="K65" i="2"/>
  <c r="J65" i="2"/>
  <c r="I65" i="2"/>
  <c r="H65" i="2"/>
  <c r="G65" i="2"/>
  <c r="F65" i="2"/>
  <c r="E65" i="2"/>
  <c r="D65" i="2"/>
  <c r="C65" i="2"/>
  <c r="K64" i="2"/>
  <c r="J64" i="2"/>
  <c r="I64" i="2"/>
  <c r="H64" i="2"/>
  <c r="G64" i="2"/>
  <c r="F64" i="2"/>
  <c r="E64" i="2"/>
  <c r="D64" i="2"/>
  <c r="C64" i="2"/>
  <c r="K63" i="2"/>
  <c r="J63" i="2"/>
  <c r="I63" i="2"/>
  <c r="H63" i="2"/>
  <c r="G63" i="2"/>
  <c r="F63" i="2"/>
  <c r="E63" i="2"/>
  <c r="D63" i="2"/>
  <c r="C63" i="2"/>
  <c r="K62" i="2"/>
  <c r="J62" i="2"/>
  <c r="I62" i="2"/>
  <c r="H62" i="2"/>
  <c r="G62" i="2"/>
  <c r="F62" i="2"/>
  <c r="E62" i="2"/>
  <c r="D62" i="2"/>
  <c r="C62" i="2"/>
  <c r="K61" i="2"/>
  <c r="J61" i="2"/>
  <c r="I61" i="2"/>
  <c r="H61" i="2"/>
  <c r="G61" i="2"/>
  <c r="F61" i="2"/>
  <c r="E61" i="2"/>
  <c r="D61" i="2"/>
  <c r="C61" i="2"/>
  <c r="K60" i="2"/>
  <c r="J60" i="2"/>
  <c r="I60" i="2"/>
  <c r="H60" i="2"/>
  <c r="G60" i="2"/>
  <c r="F60" i="2"/>
  <c r="E60" i="2"/>
  <c r="D60" i="2"/>
  <c r="C60" i="2"/>
  <c r="K59" i="2"/>
  <c r="J59" i="2"/>
  <c r="I59" i="2"/>
  <c r="H59" i="2"/>
  <c r="G59" i="2"/>
  <c r="F59" i="2"/>
  <c r="E59" i="2"/>
  <c r="D59" i="2"/>
  <c r="C59" i="2"/>
  <c r="C58" i="2"/>
  <c r="K57" i="2"/>
  <c r="J57" i="2"/>
  <c r="I57" i="2"/>
  <c r="H57" i="2"/>
  <c r="G57" i="2"/>
  <c r="F57" i="2"/>
  <c r="E57" i="2"/>
  <c r="D57" i="2"/>
  <c r="C57" i="2"/>
  <c r="K56" i="2"/>
  <c r="J56" i="2"/>
  <c r="I56" i="2"/>
  <c r="H56" i="2"/>
  <c r="G56" i="2"/>
  <c r="F56" i="2"/>
  <c r="E56" i="2"/>
  <c r="D56" i="2"/>
  <c r="C56" i="2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E104" i="3" l="1"/>
  <c r="K166" i="4"/>
  <c r="K198" i="4"/>
  <c r="G168" i="4"/>
  <c r="G226" i="4"/>
  <c r="D167" i="4"/>
  <c r="D185" i="4"/>
  <c r="H189" i="4"/>
  <c r="F43" i="4"/>
  <c r="K58" i="4"/>
  <c r="K108" i="4"/>
  <c r="H119" i="4"/>
  <c r="H137" i="4"/>
  <c r="F169" i="4"/>
  <c r="D204" i="4"/>
  <c r="K114" i="4"/>
  <c r="K118" i="4"/>
  <c r="J185" i="4"/>
  <c r="K218" i="4"/>
  <c r="J43" i="4"/>
  <c r="J79" i="4"/>
  <c r="I146" i="4"/>
  <c r="K44" i="4"/>
  <c r="H49" i="4"/>
  <c r="F79" i="4"/>
  <c r="J105" i="4"/>
  <c r="I106" i="4"/>
  <c r="D137" i="4"/>
  <c r="E189" i="4"/>
  <c r="G70" i="4"/>
  <c r="K126" i="4"/>
  <c r="E138" i="4"/>
  <c r="F167" i="4"/>
  <c r="H105" i="4"/>
  <c r="J137" i="4"/>
  <c r="E168" i="4"/>
  <c r="H169" i="4"/>
  <c r="K182" i="4"/>
  <c r="D189" i="4"/>
  <c r="D212" i="4"/>
  <c r="E11" i="4"/>
  <c r="F11" i="4"/>
  <c r="E90" i="4"/>
  <c r="I108" i="4"/>
  <c r="I118" i="4"/>
  <c r="G12" i="5"/>
  <c r="K32" i="3"/>
  <c r="D64" i="3"/>
  <c r="F71" i="3"/>
  <c r="D75" i="3"/>
  <c r="J67" i="4"/>
  <c r="F67" i="4"/>
  <c r="I94" i="4"/>
  <c r="J89" i="4"/>
  <c r="D89" i="4"/>
  <c r="K94" i="4"/>
  <c r="E126" i="4"/>
  <c r="F145" i="4"/>
  <c r="D151" i="4"/>
  <c r="E154" i="4"/>
  <c r="G126" i="4"/>
  <c r="H157" i="4"/>
  <c r="J135" i="4"/>
  <c r="D136" i="4"/>
  <c r="H126" i="4"/>
  <c r="E108" i="4"/>
  <c r="J119" i="4"/>
  <c r="J129" i="4"/>
  <c r="H135" i="4"/>
  <c r="I138" i="4"/>
  <c r="E146" i="4"/>
  <c r="J151" i="4"/>
  <c r="H108" i="4"/>
  <c r="H115" i="4"/>
  <c r="F118" i="4"/>
  <c r="H107" i="4"/>
  <c r="G114" i="4"/>
  <c r="G157" i="4"/>
  <c r="E113" i="4"/>
  <c r="F135" i="4"/>
  <c r="K138" i="4"/>
  <c r="D145" i="4"/>
  <c r="I114" i="4"/>
  <c r="J115" i="4"/>
  <c r="H145" i="4"/>
  <c r="G44" i="4"/>
  <c r="D60" i="4"/>
  <c r="E78" i="4"/>
  <c r="K14" i="4"/>
  <c r="H41" i="4"/>
  <c r="I42" i="4"/>
  <c r="F94" i="4"/>
  <c r="D67" i="4"/>
  <c r="K90" i="4"/>
  <c r="E18" i="4"/>
  <c r="I30" i="4"/>
  <c r="F12" i="4"/>
  <c r="E42" i="4"/>
  <c r="I58" i="4"/>
  <c r="H89" i="4"/>
  <c r="D49" i="4"/>
  <c r="E57" i="4"/>
  <c r="G58" i="4"/>
  <c r="G78" i="4"/>
  <c r="D80" i="4"/>
  <c r="E12" i="4"/>
  <c r="H23" i="4"/>
  <c r="F58" i="4"/>
  <c r="F41" i="4"/>
  <c r="F49" i="4"/>
  <c r="K70" i="4"/>
  <c r="H79" i="4"/>
  <c r="I90" i="4"/>
  <c r="H29" i="4"/>
  <c r="E14" i="4"/>
  <c r="G14" i="4"/>
  <c r="G18" i="4"/>
  <c r="E23" i="4"/>
  <c r="K30" i="4"/>
  <c r="I13" i="4"/>
  <c r="I14" i="4"/>
  <c r="K18" i="4"/>
  <c r="J23" i="4"/>
  <c r="J30" i="4"/>
  <c r="J14" i="4"/>
  <c r="I29" i="4"/>
  <c r="F13" i="4"/>
  <c r="F29" i="4"/>
  <c r="E30" i="4"/>
  <c r="G30" i="4"/>
  <c r="D85" i="5"/>
  <c r="D97" i="5"/>
  <c r="J90" i="5"/>
  <c r="F106" i="5"/>
  <c r="G107" i="5"/>
  <c r="F26" i="5"/>
  <c r="D38" i="5"/>
  <c r="K17" i="5"/>
  <c r="K15" i="5"/>
  <c r="J16" i="5"/>
  <c r="E12" i="5"/>
  <c r="E17" i="5"/>
  <c r="F40" i="5"/>
  <c r="K31" i="5"/>
  <c r="D46" i="5"/>
  <c r="K47" i="5"/>
  <c r="H46" i="5"/>
  <c r="D16" i="5"/>
  <c r="E46" i="5"/>
  <c r="D26" i="5"/>
  <c r="I63" i="5"/>
  <c r="D63" i="5"/>
  <c r="G67" i="5"/>
  <c r="K71" i="5"/>
  <c r="G24" i="3"/>
  <c r="K103" i="3"/>
  <c r="J39" i="3"/>
  <c r="K33" i="3"/>
  <c r="K48" i="3"/>
  <c r="D34" i="3"/>
  <c r="I15" i="3"/>
  <c r="F27" i="3"/>
  <c r="D27" i="3"/>
  <c r="H32" i="3"/>
  <c r="G19" i="3"/>
  <c r="J11" i="3"/>
  <c r="K12" i="3"/>
  <c r="F24" i="3"/>
  <c r="H20" i="3"/>
  <c r="D20" i="3"/>
  <c r="J32" i="3"/>
  <c r="I39" i="3"/>
  <c r="H12" i="3"/>
  <c r="F19" i="3"/>
  <c r="I20" i="3"/>
  <c r="E27" i="3"/>
  <c r="D71" i="3"/>
  <c r="E75" i="3"/>
  <c r="H48" i="3"/>
  <c r="G20" i="3"/>
  <c r="I11" i="3"/>
  <c r="J12" i="3"/>
  <c r="J15" i="3"/>
  <c r="E24" i="3"/>
  <c r="J34" i="3"/>
  <c r="J64" i="3"/>
  <c r="J104" i="3"/>
  <c r="D104" i="3"/>
  <c r="J48" i="3"/>
  <c r="G71" i="3"/>
  <c r="K11" i="3"/>
  <c r="D12" i="3"/>
  <c r="K15" i="3"/>
  <c r="I19" i="3"/>
  <c r="J20" i="3"/>
  <c r="H24" i="3"/>
  <c r="G27" i="3"/>
  <c r="D32" i="3"/>
  <c r="E33" i="3"/>
  <c r="F34" i="3"/>
  <c r="K39" i="3"/>
  <c r="D48" i="3"/>
  <c r="F64" i="3"/>
  <c r="I71" i="3"/>
  <c r="G75" i="3"/>
  <c r="E103" i="3"/>
  <c r="F104" i="3"/>
  <c r="G11" i="4"/>
  <c r="H12" i="4"/>
  <c r="E43" i="4"/>
  <c r="D43" i="4"/>
  <c r="K43" i="4"/>
  <c r="I43" i="4"/>
  <c r="F44" i="4"/>
  <c r="G89" i="4"/>
  <c r="F89" i="4"/>
  <c r="E89" i="4"/>
  <c r="K89" i="4"/>
  <c r="I89" i="4"/>
  <c r="F105" i="4"/>
  <c r="E106" i="4"/>
  <c r="J106" i="4"/>
  <c r="D115" i="4"/>
  <c r="G137" i="4"/>
  <c r="F137" i="4"/>
  <c r="E137" i="4"/>
  <c r="K137" i="4"/>
  <c r="I137" i="4"/>
  <c r="H166" i="4"/>
  <c r="H182" i="4"/>
  <c r="H198" i="4"/>
  <c r="E212" i="4"/>
  <c r="F12" i="5"/>
  <c r="G15" i="5"/>
  <c r="H31" i="5"/>
  <c r="F47" i="5"/>
  <c r="K63" i="5"/>
  <c r="I71" i="5"/>
  <c r="I97" i="5"/>
  <c r="K103" i="5"/>
  <c r="G12" i="4"/>
  <c r="J68" i="4"/>
  <c r="I68" i="4"/>
  <c r="H68" i="4"/>
  <c r="F68" i="4"/>
  <c r="D68" i="4"/>
  <c r="E12" i="3"/>
  <c r="D15" i="3"/>
  <c r="K20" i="3"/>
  <c r="I24" i="3"/>
  <c r="E32" i="3"/>
  <c r="G34" i="3"/>
  <c r="E48" i="3"/>
  <c r="G64" i="3"/>
  <c r="J71" i="3"/>
  <c r="H75" i="3"/>
  <c r="F103" i="3"/>
  <c r="G104" i="3"/>
  <c r="H11" i="4"/>
  <c r="I12" i="4"/>
  <c r="J13" i="4"/>
  <c r="H18" i="4"/>
  <c r="I41" i="4"/>
  <c r="D57" i="4"/>
  <c r="K57" i="4"/>
  <c r="G60" i="4"/>
  <c r="I78" i="4"/>
  <c r="E80" i="4"/>
  <c r="J80" i="4"/>
  <c r="D113" i="4"/>
  <c r="I113" i="4"/>
  <c r="G119" i="4"/>
  <c r="F119" i="4"/>
  <c r="E119" i="4"/>
  <c r="K119" i="4"/>
  <c r="I119" i="4"/>
  <c r="F136" i="4"/>
  <c r="E136" i="4"/>
  <c r="J136" i="4"/>
  <c r="I151" i="4"/>
  <c r="H151" i="4"/>
  <c r="G151" i="4"/>
  <c r="F151" i="4"/>
  <c r="E151" i="4"/>
  <c r="K151" i="4"/>
  <c r="J166" i="4"/>
  <c r="I166" i="4"/>
  <c r="F166" i="4"/>
  <c r="D166" i="4"/>
  <c r="K167" i="4"/>
  <c r="J167" i="4"/>
  <c r="I167" i="4"/>
  <c r="H167" i="4"/>
  <c r="G167" i="4"/>
  <c r="E167" i="4"/>
  <c r="J182" i="4"/>
  <c r="I182" i="4"/>
  <c r="F182" i="4"/>
  <c r="D182" i="4"/>
  <c r="F212" i="4"/>
  <c r="J212" i="4"/>
  <c r="I16" i="5"/>
  <c r="H16" i="5"/>
  <c r="G16" i="5"/>
  <c r="F16" i="5"/>
  <c r="E16" i="5"/>
  <c r="K16" i="5"/>
  <c r="K40" i="5"/>
  <c r="J40" i="5"/>
  <c r="I40" i="5"/>
  <c r="H40" i="5"/>
  <c r="G40" i="5"/>
  <c r="E40" i="5"/>
  <c r="F61" i="5"/>
  <c r="E61" i="5"/>
  <c r="J61" i="5"/>
  <c r="H61" i="5"/>
  <c r="J71" i="5"/>
  <c r="D71" i="5"/>
  <c r="H75" i="5"/>
  <c r="D75" i="5"/>
  <c r="K97" i="5"/>
  <c r="D103" i="5"/>
  <c r="J103" i="5"/>
  <c r="I103" i="5"/>
  <c r="H103" i="5"/>
  <c r="D33" i="3"/>
  <c r="E64" i="3"/>
  <c r="H71" i="3"/>
  <c r="D103" i="3"/>
  <c r="E116" i="5"/>
  <c r="D116" i="5"/>
  <c r="J116" i="5"/>
  <c r="G116" i="5"/>
  <c r="D11" i="3"/>
  <c r="J19" i="3"/>
  <c r="H27" i="3"/>
  <c r="F33" i="3"/>
  <c r="D39" i="3"/>
  <c r="E11" i="3"/>
  <c r="F12" i="3"/>
  <c r="E15" i="3"/>
  <c r="K19" i="3"/>
  <c r="J24" i="3"/>
  <c r="I27" i="3"/>
  <c r="F32" i="3"/>
  <c r="G33" i="3"/>
  <c r="H34" i="3"/>
  <c r="E39" i="3"/>
  <c r="F48" i="3"/>
  <c r="H64" i="3"/>
  <c r="K71" i="3"/>
  <c r="I75" i="3"/>
  <c r="G103" i="3"/>
  <c r="H104" i="3"/>
  <c r="I11" i="4"/>
  <c r="J12" i="4"/>
  <c r="K13" i="4"/>
  <c r="G23" i="4"/>
  <c r="F23" i="4"/>
  <c r="K23" i="4"/>
  <c r="I23" i="4"/>
  <c r="K29" i="4"/>
  <c r="J29" i="4"/>
  <c r="G29" i="4"/>
  <c r="E29" i="4"/>
  <c r="K41" i="4"/>
  <c r="J41" i="4"/>
  <c r="G41" i="4"/>
  <c r="E41" i="4"/>
  <c r="G42" i="4"/>
  <c r="I60" i="4"/>
  <c r="J70" i="4"/>
  <c r="I70" i="4"/>
  <c r="H70" i="4"/>
  <c r="F70" i="4"/>
  <c r="D70" i="4"/>
  <c r="F78" i="4"/>
  <c r="H90" i="4"/>
  <c r="D94" i="4"/>
  <c r="J94" i="4"/>
  <c r="G106" i="4"/>
  <c r="D108" i="4"/>
  <c r="F114" i="4"/>
  <c r="E118" i="4"/>
  <c r="J118" i="4"/>
  <c r="J126" i="4"/>
  <c r="I126" i="4"/>
  <c r="F126" i="4"/>
  <c r="D126" i="4"/>
  <c r="D129" i="4"/>
  <c r="H138" i="4"/>
  <c r="K145" i="4"/>
  <c r="J145" i="4"/>
  <c r="I145" i="4"/>
  <c r="G145" i="4"/>
  <c r="E145" i="4"/>
  <c r="G146" i="4"/>
  <c r="I154" i="4"/>
  <c r="K168" i="4"/>
  <c r="F189" i="4"/>
  <c r="E218" i="4"/>
  <c r="E226" i="4"/>
  <c r="G11" i="5"/>
  <c r="D13" i="5"/>
  <c r="H17" i="5"/>
  <c r="F46" i="5"/>
  <c r="E67" i="5"/>
  <c r="I75" i="5"/>
  <c r="H97" i="5"/>
  <c r="E107" i="5"/>
  <c r="H13" i="4"/>
  <c r="I94" i="5"/>
  <c r="H94" i="5"/>
  <c r="G94" i="5"/>
  <c r="F94" i="5"/>
  <c r="E94" i="5"/>
  <c r="K94" i="5"/>
  <c r="E20" i="3"/>
  <c r="K24" i="3"/>
  <c r="J27" i="3"/>
  <c r="G32" i="3"/>
  <c r="G48" i="3"/>
  <c r="I64" i="3"/>
  <c r="J75" i="3"/>
  <c r="H103" i="3"/>
  <c r="I104" i="3"/>
  <c r="J11" i="4"/>
  <c r="K12" i="4"/>
  <c r="D13" i="4"/>
  <c r="D44" i="4"/>
  <c r="K60" i="4"/>
  <c r="E68" i="4"/>
  <c r="D78" i="4"/>
  <c r="K78" i="4"/>
  <c r="J78" i="4"/>
  <c r="H78" i="4"/>
  <c r="G80" i="4"/>
  <c r="D90" i="4"/>
  <c r="E105" i="4"/>
  <c r="G115" i="4"/>
  <c r="F115" i="4"/>
  <c r="E115" i="4"/>
  <c r="K115" i="4"/>
  <c r="I115" i="4"/>
  <c r="F129" i="4"/>
  <c r="G136" i="4"/>
  <c r="D138" i="4"/>
  <c r="K154" i="4"/>
  <c r="D157" i="4"/>
  <c r="D168" i="4"/>
  <c r="K169" i="4"/>
  <c r="I185" i="4"/>
  <c r="H185" i="4"/>
  <c r="G185" i="4"/>
  <c r="F185" i="4"/>
  <c r="E185" i="4"/>
  <c r="K185" i="4"/>
  <c r="G189" i="4"/>
  <c r="I11" i="5"/>
  <c r="H12" i="5"/>
  <c r="H13" i="5"/>
  <c r="J17" i="5"/>
  <c r="I17" i="5"/>
  <c r="F17" i="5"/>
  <c r="D17" i="5"/>
  <c r="K26" i="5"/>
  <c r="J26" i="5"/>
  <c r="I26" i="5"/>
  <c r="H26" i="5"/>
  <c r="G26" i="5"/>
  <c r="E26" i="5"/>
  <c r="G46" i="5"/>
  <c r="I46" i="5"/>
  <c r="F63" i="5"/>
  <c r="E63" i="5"/>
  <c r="J63" i="5"/>
  <c r="H63" i="5"/>
  <c r="K75" i="5"/>
  <c r="D84" i="5"/>
  <c r="I90" i="5"/>
  <c r="H90" i="5"/>
  <c r="G90" i="5"/>
  <c r="F90" i="5"/>
  <c r="E90" i="5"/>
  <c r="K90" i="5"/>
  <c r="D93" i="5"/>
  <c r="K106" i="5"/>
  <c r="J106" i="5"/>
  <c r="I106" i="5"/>
  <c r="H106" i="5"/>
  <c r="G106" i="5"/>
  <c r="E106" i="5"/>
  <c r="F116" i="5"/>
  <c r="E34" i="3"/>
  <c r="F75" i="3"/>
  <c r="E60" i="5"/>
  <c r="D60" i="5"/>
  <c r="I60" i="5"/>
  <c r="G60" i="5"/>
  <c r="F11" i="3"/>
  <c r="G12" i="3"/>
  <c r="F15" i="3"/>
  <c r="D19" i="3"/>
  <c r="H33" i="3"/>
  <c r="I34" i="3"/>
  <c r="F39" i="3"/>
  <c r="G11" i="3"/>
  <c r="G15" i="3"/>
  <c r="E19" i="3"/>
  <c r="F20" i="3"/>
  <c r="D24" i="3"/>
  <c r="K27" i="3"/>
  <c r="I33" i="3"/>
  <c r="G39" i="3"/>
  <c r="E71" i="3"/>
  <c r="K75" i="3"/>
  <c r="I103" i="3"/>
  <c r="K11" i="4"/>
  <c r="D12" i="4"/>
  <c r="E13" i="4"/>
  <c r="J18" i="4"/>
  <c r="I18" i="4"/>
  <c r="F18" i="4"/>
  <c r="D18" i="4"/>
  <c r="K42" i="4"/>
  <c r="H43" i="4"/>
  <c r="F57" i="4"/>
  <c r="D58" i="4"/>
  <c r="F60" i="4"/>
  <c r="I67" i="4"/>
  <c r="H67" i="4"/>
  <c r="G67" i="4"/>
  <c r="E67" i="4"/>
  <c r="K67" i="4"/>
  <c r="G68" i="4"/>
  <c r="E79" i="4"/>
  <c r="I80" i="4"/>
  <c r="G94" i="4"/>
  <c r="K106" i="4"/>
  <c r="D107" i="4"/>
  <c r="F113" i="4"/>
  <c r="E114" i="4"/>
  <c r="J114" i="4"/>
  <c r="G118" i="4"/>
  <c r="E135" i="4"/>
  <c r="I136" i="4"/>
  <c r="J146" i="4"/>
  <c r="F154" i="4"/>
  <c r="D169" i="4"/>
  <c r="E204" i="4"/>
  <c r="G212" i="4"/>
  <c r="H218" i="4"/>
  <c r="K226" i="4"/>
  <c r="K11" i="5"/>
  <c r="J12" i="5"/>
  <c r="I13" i="5"/>
  <c r="D15" i="5"/>
  <c r="H60" i="5"/>
  <c r="G61" i="5"/>
  <c r="K67" i="5"/>
  <c r="G75" i="5"/>
  <c r="E85" i="5"/>
  <c r="I93" i="5"/>
  <c r="K107" i="5"/>
  <c r="H116" i="5"/>
  <c r="H19" i="3"/>
  <c r="I165" i="4"/>
  <c r="H165" i="4"/>
  <c r="G165" i="4"/>
  <c r="F165" i="4"/>
  <c r="E165" i="4"/>
  <c r="K165" i="4"/>
  <c r="K86" i="5"/>
  <c r="J86" i="5"/>
  <c r="I86" i="5"/>
  <c r="H86" i="5"/>
  <c r="G86" i="5"/>
  <c r="E86" i="5"/>
  <c r="I48" i="3"/>
  <c r="K64" i="3"/>
  <c r="J103" i="3"/>
  <c r="K104" i="3"/>
  <c r="D11" i="4"/>
  <c r="D42" i="4"/>
  <c r="J42" i="4"/>
  <c r="H57" i="4"/>
  <c r="K68" i="4"/>
  <c r="K80" i="4"/>
  <c r="D105" i="4"/>
  <c r="I105" i="4"/>
  <c r="H113" i="4"/>
  <c r="I129" i="4"/>
  <c r="H129" i="4"/>
  <c r="G129" i="4"/>
  <c r="E129" i="4"/>
  <c r="K129" i="4"/>
  <c r="K136" i="4"/>
  <c r="D146" i="4"/>
  <c r="K146" i="4"/>
  <c r="H154" i="4"/>
  <c r="D165" i="4"/>
  <c r="E169" i="4"/>
  <c r="D198" i="4"/>
  <c r="G204" i="4"/>
  <c r="I212" i="4"/>
  <c r="J218" i="4"/>
  <c r="I218" i="4"/>
  <c r="F218" i="4"/>
  <c r="D218" i="4"/>
  <c r="D226" i="4"/>
  <c r="D11" i="5"/>
  <c r="H15" i="5"/>
  <c r="D31" i="5"/>
  <c r="H47" i="5"/>
  <c r="G47" i="5"/>
  <c r="D47" i="5"/>
  <c r="J47" i="5"/>
  <c r="K60" i="5"/>
  <c r="I61" i="5"/>
  <c r="D67" i="5"/>
  <c r="I84" i="5"/>
  <c r="H84" i="5"/>
  <c r="G84" i="5"/>
  <c r="F84" i="5"/>
  <c r="E84" i="5"/>
  <c r="K84" i="5"/>
  <c r="K85" i="5"/>
  <c r="D86" i="5"/>
  <c r="D94" i="5"/>
  <c r="D107" i="5"/>
  <c r="J107" i="5"/>
  <c r="I107" i="5"/>
  <c r="H107" i="5"/>
  <c r="F107" i="5"/>
  <c r="K116" i="5"/>
  <c r="G107" i="4"/>
  <c r="F107" i="4"/>
  <c r="E107" i="4"/>
  <c r="K107" i="4"/>
  <c r="I107" i="4"/>
  <c r="K38" i="5"/>
  <c r="J38" i="5"/>
  <c r="I38" i="5"/>
  <c r="H38" i="5"/>
  <c r="G38" i="5"/>
  <c r="E38" i="5"/>
  <c r="H11" i="3"/>
  <c r="I12" i="3"/>
  <c r="H15" i="3"/>
  <c r="I32" i="3"/>
  <c r="J33" i="3"/>
  <c r="K34" i="3"/>
  <c r="H39" i="3"/>
  <c r="G13" i="4"/>
  <c r="D14" i="4"/>
  <c r="H14" i="4"/>
  <c r="D23" i="4"/>
  <c r="D29" i="4"/>
  <c r="D30" i="4"/>
  <c r="D41" i="4"/>
  <c r="G43" i="4"/>
  <c r="I44" i="4"/>
  <c r="K49" i="4"/>
  <c r="J49" i="4"/>
  <c r="I49" i="4"/>
  <c r="G49" i="4"/>
  <c r="E49" i="4"/>
  <c r="J57" i="4"/>
  <c r="E70" i="4"/>
  <c r="D79" i="4"/>
  <c r="I79" i="4"/>
  <c r="F80" i="4"/>
  <c r="F106" i="4"/>
  <c r="J107" i="4"/>
  <c r="J113" i="4"/>
  <c r="D119" i="4"/>
  <c r="D135" i="4"/>
  <c r="I135" i="4"/>
  <c r="J157" i="4"/>
  <c r="J165" i="4"/>
  <c r="E166" i="4"/>
  <c r="E182" i="4"/>
  <c r="J189" i="4"/>
  <c r="I198" i="4"/>
  <c r="K204" i="4"/>
  <c r="E11" i="5"/>
  <c r="G13" i="5"/>
  <c r="I15" i="5"/>
  <c r="I31" i="5"/>
  <c r="F38" i="5"/>
  <c r="J46" i="5"/>
  <c r="I47" i="5"/>
  <c r="G63" i="5"/>
  <c r="E71" i="5"/>
  <c r="J85" i="5"/>
  <c r="F86" i="5"/>
  <c r="H93" i="5"/>
  <c r="J94" i="5"/>
  <c r="E103" i="5"/>
  <c r="F14" i="4"/>
  <c r="F30" i="4"/>
  <c r="F42" i="4"/>
  <c r="H44" i="4"/>
  <c r="G57" i="4"/>
  <c r="H58" i="4"/>
  <c r="H60" i="4"/>
  <c r="G79" i="4"/>
  <c r="H80" i="4"/>
  <c r="J90" i="4"/>
  <c r="H94" i="4"/>
  <c r="G105" i="4"/>
  <c r="H106" i="4"/>
  <c r="J108" i="4"/>
  <c r="G113" i="4"/>
  <c r="H114" i="4"/>
  <c r="H118" i="4"/>
  <c r="G135" i="4"/>
  <c r="H136" i="4"/>
  <c r="J138" i="4"/>
  <c r="F146" i="4"/>
  <c r="J154" i="4"/>
  <c r="I157" i="4"/>
  <c r="F168" i="4"/>
  <c r="G169" i="4"/>
  <c r="I189" i="4"/>
  <c r="J198" i="4"/>
  <c r="F204" i="4"/>
  <c r="H212" i="4"/>
  <c r="F226" i="4"/>
  <c r="H11" i="5"/>
  <c r="I12" i="5"/>
  <c r="J13" i="5"/>
  <c r="J15" i="5"/>
  <c r="J31" i="5"/>
  <c r="F67" i="5"/>
  <c r="J75" i="5"/>
  <c r="J93" i="5"/>
  <c r="J97" i="5"/>
  <c r="F103" i="5"/>
  <c r="H30" i="4"/>
  <c r="H42" i="4"/>
  <c r="J44" i="4"/>
  <c r="I57" i="4"/>
  <c r="J58" i="4"/>
  <c r="J60" i="4"/>
  <c r="H146" i="4"/>
  <c r="D154" i="4"/>
  <c r="K157" i="4"/>
  <c r="H168" i="4"/>
  <c r="I169" i="4"/>
  <c r="K189" i="4"/>
  <c r="H204" i="4"/>
  <c r="H226" i="4"/>
  <c r="J11" i="5"/>
  <c r="K12" i="5"/>
  <c r="K46" i="5"/>
  <c r="H67" i="5"/>
  <c r="F71" i="5"/>
  <c r="F85" i="5"/>
  <c r="I116" i="5"/>
  <c r="G166" i="4"/>
  <c r="I168" i="4"/>
  <c r="J169" i="4"/>
  <c r="G182" i="4"/>
  <c r="E198" i="4"/>
  <c r="I204" i="4"/>
  <c r="K212" i="4"/>
  <c r="G218" i="4"/>
  <c r="I226" i="4"/>
  <c r="D12" i="5"/>
  <c r="E13" i="5"/>
  <c r="E15" i="5"/>
  <c r="G17" i="5"/>
  <c r="E31" i="5"/>
  <c r="E47" i="5"/>
  <c r="J60" i="5"/>
  <c r="K61" i="5"/>
  <c r="I67" i="5"/>
  <c r="G71" i="5"/>
  <c r="E75" i="5"/>
  <c r="G85" i="5"/>
  <c r="E93" i="5"/>
  <c r="E97" i="5"/>
  <c r="K79" i="4"/>
  <c r="F90" i="4"/>
  <c r="K105" i="4"/>
  <c r="D106" i="4"/>
  <c r="F108" i="4"/>
  <c r="K113" i="4"/>
  <c r="D114" i="4"/>
  <c r="D118" i="4"/>
  <c r="K135" i="4"/>
  <c r="F138" i="4"/>
  <c r="E157" i="4"/>
  <c r="J168" i="4"/>
  <c r="F198" i="4"/>
  <c r="J204" i="4"/>
  <c r="J226" i="4"/>
  <c r="F13" i="5"/>
  <c r="F15" i="5"/>
  <c r="F31" i="5"/>
  <c r="J67" i="5"/>
  <c r="H71" i="5"/>
  <c r="F75" i="5"/>
  <c r="H85" i="5"/>
  <c r="F93" i="5"/>
  <c r="F97" i="5"/>
  <c r="E44" i="4"/>
  <c r="E58" i="4"/>
  <c r="E60" i="4"/>
  <c r="G90" i="4"/>
  <c r="E94" i="4"/>
  <c r="G108" i="4"/>
  <c r="G138" i="4"/>
  <c r="G154" i="4"/>
  <c r="F157" i="4"/>
  <c r="G198" i="4"/>
  <c r="G31" i="5"/>
  <c r="I85" i="5"/>
  <c r="G93" i="5"/>
  <c r="G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X9" authorId="0" shapeId="0" xr:uid="{00000000-0006-0000-0000-000001000000}">
      <text>
        <r>
          <rPr>
            <sz val="11"/>
            <color rgb="FF010000"/>
            <rFont val="Calibri"/>
            <family val="2"/>
            <charset val="1"/>
          </rPr>
          <t>Morningstar Rating as of 27-Oct-2022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tc={B38BCC64-9824-4537-83B6-5976C97AABB2}</author>
  </authors>
  <commentList>
    <comment ref="D4" authorId="0" shapeId="0" xr:uid="{B38BCC64-9824-4537-83B6-5976C97AAB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More data available - hidden section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tc={6C9C4359-53A0-43EF-A450-33D353FCCE7E}</author>
  </authors>
  <commentList>
    <comment ref="C1" authorId="0" shapeId="0" xr:uid="{6C9C4359-53A0-43EF-A450-33D353FCCE7E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Amounts in Thousands, USD (except Ratios, Multiples &amp; per share items)</t>
      </text>
    </comment>
  </commentList>
</comments>
</file>

<file path=xl/sharedStrings.xml><?xml version="1.0" encoding="utf-8"?>
<sst xmlns="http://schemas.openxmlformats.org/spreadsheetml/2006/main" count="9027" uniqueCount="137">
  <si>
    <t xml:space="preserve">Downloaded on: 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</si>
  <si>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</si>
  <si>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</si>
  <si>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</si>
  <si>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</si>
  <si>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</si>
  <si>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</si>
  <si>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</si>
  <si>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</si>
  <si>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</si>
  <si>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 xml:space="preserve"> </t>
  </si>
  <si>
    <t>Public Fundamental Data provided by Morningstar, Inc.</t>
  </si>
  <si>
    <t>www.pitchbook.com</t>
  </si>
  <si>
    <t>H4sIAAAAAAAEAM2QvU7DMBSF0wZEEDyEdyIrDS2lQxYCAokORYlYqqo41hWx6tjBP0jpY/DCYEcpDCyM3MH32tL57vEJRkEQfLry3df52B1PK2ZofSPlDpVdCxotWaWI6mL0DEozKbI0SROc4gQnMcotN1ZBJsAaRXiMVrbijD5CV8odiExYzo89v/jGbnvsdsDiAhQjnO1JxSEntIbfLxelbJfwDry/3TJqnA2nDR33ZHAV5bJpiQIVPRBdF2wPQRhEH6Oi0wYanEvOoddpfA/CbaCHfvdm3TbTHQAvk/V6UBVGMfEao0ZTqTirfjKY+u//JYBqPiczOruaLC6nkFwvNptoPMR9Gg7DkR/+o1Vv7uwL+T20zScCAAA=</t>
  </si>
  <si>
    <t>Created for:</t>
  </si>
  <si>
    <t>Data pulled from:</t>
  </si>
  <si>
    <t>General Motors</t>
  </si>
  <si>
    <t>Data as of: 28-Oct-2022</t>
  </si>
  <si>
    <t>Companies</t>
  </si>
  <si>
    <t>EV/EBITDA (FY)</t>
  </si>
  <si>
    <t>EBITDA (Earnings Before Interest, Tax, Depreciation, &amp; Amortization) (FY)</t>
  </si>
  <si>
    <t>EBITDA (Earnings Before Interest, Tax, Depreciation, &amp; Amortization) (TTM)</t>
  </si>
  <si>
    <t>EBITDA % Growth (FY)</t>
  </si>
  <si>
    <t>Revenue % Growth (FY)</t>
  </si>
  <si>
    <t>EBT Margin (FQ)</t>
  </si>
  <si>
    <t>Net Income % Growth (TTM)</t>
  </si>
  <si>
    <t>EBIT % Growth (FY)</t>
  </si>
  <si>
    <t>EBITDA % Growth, 5 Year CAGR (FY)</t>
  </si>
  <si>
    <t>Net Income % Growth (FY)</t>
  </si>
  <si>
    <t>EV (FY)</t>
  </si>
  <si>
    <t>EBIT % Growth (TTM)</t>
  </si>
  <si>
    <t>Revenue % Growth (TTM)</t>
  </si>
  <si>
    <t>EBITDA % Growth (TTM)</t>
  </si>
  <si>
    <t>Net Income % Growth, 3 Year CAGR (FY)</t>
  </si>
  <si>
    <t>Price % Change 52 Week</t>
  </si>
  <si>
    <t>Price/Book (FY)</t>
  </si>
  <si>
    <t>EV (FQ)</t>
  </si>
  <si>
    <t>Stock Price</t>
  </si>
  <si>
    <t>Revenue % Growth, 3 Year CAGR (FY)</t>
  </si>
  <si>
    <t>EV/EBIT (FY)</t>
  </si>
  <si>
    <t>Market Cap</t>
  </si>
  <si>
    <t>EBITDA % Growth, 3 Year CAGR (FY)</t>
  </si>
  <si>
    <t>% of 52 Week High</t>
  </si>
  <si>
    <t>Total Revenue (TTM)</t>
  </si>
  <si>
    <t>Net Income after Non-Controlling/Minority Interests (TTM)</t>
  </si>
  <si>
    <t>EBIT (Earnings Before Interest and Tax) (TTM)</t>
  </si>
  <si>
    <t>Basic EPS (TTM)</t>
  </si>
  <si>
    <t>EV/Revenue (TTM)</t>
  </si>
  <si>
    <t>EV/EBIT (TTM)</t>
  </si>
  <si>
    <t>Fiscal Year End</t>
  </si>
  <si>
    <t>Total Assets (FY)</t>
  </si>
  <si>
    <t>Total Debt (FY)</t>
  </si>
  <si>
    <t>Net Debt (FY)</t>
  </si>
  <si>
    <t>Debt to Capital (FY)</t>
  </si>
  <si>
    <t>Total Debt to Equity (FY)</t>
  </si>
  <si>
    <t>Employees</t>
  </si>
  <si>
    <t>Ticker</t>
  </si>
  <si>
    <t>Exchange</t>
  </si>
  <si>
    <t>HQ City</t>
  </si>
  <si>
    <t>HQ State/Province</t>
  </si>
  <si>
    <t>Primary Industry Sector</t>
  </si>
  <si>
    <t>Primary Industry Group</t>
  </si>
  <si>
    <t>Primary Industry Code</t>
  </si>
  <si>
    <t>Latest Stock Analyst Note</t>
  </si>
  <si>
    <t>Latest Cash Flow Model</t>
  </si>
  <si>
    <t>Morningstar Rating</t>
  </si>
  <si>
    <t>Active Coverage</t>
  </si>
  <si>
    <t>SIC Codes</t>
  </si>
  <si>
    <t>SIC Code Descriptions</t>
  </si>
  <si>
    <t>SIC Group Descriptions</t>
  </si>
  <si>
    <t>SIC Sector Descriptions</t>
  </si>
  <si>
    <t>Website</t>
  </si>
  <si>
    <t>As of Date</t>
  </si>
  <si>
    <t>General Motors (NYS: GM)</t>
  </si>
  <si>
    <t>GM</t>
  </si>
  <si>
    <t>NYS</t>
  </si>
  <si>
    <t>Detroit</t>
  </si>
  <si>
    <t>Michigan</t>
  </si>
  <si>
    <t>Consumer Products and Services (B2C)</t>
  </si>
  <si>
    <t>Transportation</t>
  </si>
  <si>
    <t>Automotive</t>
  </si>
  <si>
    <t>25-10-2022</t>
  </si>
  <si>
    <t>5 Stars</t>
  </si>
  <si>
    <t>Yes</t>
  </si>
  <si>
    <t>3711</t>
  </si>
  <si>
    <t>Motor vehicles &amp; passenger car bodies</t>
  </si>
  <si>
    <t>Transportation Equipment</t>
  </si>
  <si>
    <t>Manufacturing</t>
  </si>
  <si>
    <t>www.gm.com</t>
  </si>
  <si>
    <t>© PitchBook Data, Inc. 2022</t>
  </si>
  <si>
    <t>Financial amounts in Thousands, USD</t>
  </si>
  <si>
    <t>Stock price is in USD</t>
  </si>
  <si>
    <t>* Exchange Rate Disclaimer: Rates provided are from the Morningstar OTC contributed forex data feed. The rate used is a composite of all OTC
contributors and not a rate from a specific contributor. In general, exchange rates fluctuate daily and intraday, thus the rate used herein could
result in the value being higher or lower than what is shown.</t>
  </si>
  <si>
    <t>Key Metrics (Fiscal Year)</t>
  </si>
  <si>
    <t>Downloaded On: 27-Oct-2022</t>
  </si>
  <si>
    <t>Company: General Motors (NYS: GM)</t>
  </si>
  <si>
    <t>Amounts in Thousands, USD (except Ratios, Multiples &amp; per share items)</t>
  </si>
  <si>
    <t>FY 2021</t>
  </si>
  <si>
    <t>Filed:  02-Feb-2022</t>
  </si>
  <si>
    <t>View 10-K</t>
  </si>
  <si>
    <t>FY 2020</t>
  </si>
  <si>
    <t>FY 2019</t>
  </si>
  <si>
    <t>FY 2018</t>
  </si>
  <si>
    <t>Filed:  10-Feb-2021</t>
  </si>
  <si>
    <t>FY 2017</t>
  </si>
  <si>
    <t>Filed:  05-Feb-2020</t>
  </si>
  <si>
    <t>FY 2016</t>
  </si>
  <si>
    <t>Filed:  06-Feb-2019</t>
  </si>
  <si>
    <t>FY 2015</t>
  </si>
  <si>
    <t>Filed:  06-Feb-2018</t>
  </si>
  <si>
    <t>FY 2014</t>
  </si>
  <si>
    <t>Filed:  07-Feb-2017</t>
  </si>
  <si>
    <t>FY 2013</t>
  </si>
  <si>
    <t>Filed:  03-Feb-2016</t>
  </si>
  <si>
    <t>FY 2012</t>
  </si>
  <si>
    <t>Filed:  31-Dec-2012</t>
  </si>
  <si>
    <t>FY 2011</t>
  </si>
  <si>
    <t>Filed:  31-Dec-2011</t>
  </si>
  <si>
    <t>FY 2010</t>
  </si>
  <si>
    <t>Filed:  31-Dec-2010</t>
  </si>
  <si>
    <t>FY 2009</t>
  </si>
  <si>
    <t>Filed:  31-Dec-2009</t>
  </si>
  <si>
    <t>FY 2008</t>
  </si>
  <si>
    <t>Filed:  31-Dec-2008</t>
  </si>
  <si>
    <t/>
  </si>
  <si>
    <t>No</t>
  </si>
  <si>
    <t>Income Statement (Fiscal Year)</t>
  </si>
  <si>
    <t>Balance Sheet (Fiscal Year)</t>
  </si>
  <si>
    <t>Filed:  04-Feb-2015</t>
  </si>
  <si>
    <t>Cash Flow (Fiscal Year)</t>
  </si>
  <si>
    <t>Ratios (Fiscal Year)</t>
  </si>
  <si>
    <t>Segments (Fiscal Year)</t>
  </si>
  <si>
    <t>Estimates (Fiscal Year)</t>
  </si>
  <si>
    <t>FY 2024</t>
  </si>
  <si>
    <t>FY 2023</t>
  </si>
  <si>
    <t>FY 2022</t>
  </si>
  <si>
    <t>©2022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</si>
</sst>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/d/yyyy"/>
    <numFmt numFmtId="165" formatCode="#,##0;[Red]\(#,##0\)"/>
    <numFmt numFmtId="166" formatCode="#,##0.00;[Red]\(#,##0.00\)"/>
    <numFmt numFmtId="167" formatCode="[$-409]#,##0.00_);[Red]\(#,##0.00\)"/>
    <numFmt numFmtId="168" formatCode="#,##0.00%;[Red]\-#,##0.00%"/>
    <numFmt numFmtId="169" formatCode="d\-mmm\-yyyy"/>
    <numFmt numFmtId="170" formatCode="dd\-mmm\-yyyy"/>
  </numFmts>
  <fonts count="26" x14ac:knownFonts="1">
    <font>
      <sz val="11"/>
      <color rgb="FF010000"/>
      <name val="Calibri"/>
      <family val="2"/>
      <charset val="1"/>
    </font>
    <font>
      <sz val="8"/>
      <color rgb="FF010000"/>
      <name val="Arial"/>
      <family val="2"/>
      <charset val="1"/>
    </font>
    <font>
      <sz val="8"/>
      <color rgb="FF010000"/>
      <name val="Arial"/>
      <family val="2"/>
      <charset val="204"/>
    </font>
    <font>
      <b/>
      <sz val="8"/>
      <color rgb="FF800000"/>
      <name val="Arial"/>
      <family val="2"/>
      <charset val="204"/>
    </font>
    <font>
      <b/>
      <i/>
      <sz val="14"/>
      <color rgb="FF010000"/>
      <name val="Calibri"/>
      <family val="2"/>
      <charset val="204"/>
    </font>
    <font>
      <b/>
      <sz val="16"/>
      <color rgb="FF010000"/>
      <name val="Calibri"/>
      <family val="2"/>
      <charset val="204"/>
    </font>
    <font>
      <b/>
      <sz val="10"/>
      <color rgb="FF010000"/>
      <name val="Calibri"/>
      <family val="2"/>
      <charset val="204"/>
    </font>
    <font>
      <i/>
      <sz val="9"/>
      <color rgb="FF010000"/>
      <name val="Calibri"/>
      <family val="2"/>
      <charset val="204"/>
    </font>
    <font>
      <u/>
      <sz val="11"/>
      <color rgb="FF0000FF"/>
      <name val="Calibri"/>
      <family val="2"/>
      <charset val="1"/>
    </font>
    <font>
      <sz val="10"/>
      <color rgb="FF010000"/>
      <name val="Calibri"/>
      <family val="2"/>
      <charset val="1"/>
    </font>
    <font>
      <b/>
      <sz val="10"/>
      <color rgb="FF010000"/>
      <name val="Calibri"/>
      <family val="2"/>
      <charset val="1"/>
    </font>
    <font>
      <b/>
      <u/>
      <sz val="10"/>
      <color rgb="FF558ED5"/>
      <name val="Calibri"/>
      <family val="2"/>
      <charset val="1"/>
    </font>
    <font>
      <sz val="8"/>
      <color rgb="FF010000"/>
      <name val="Calibri"/>
      <family val="2"/>
      <charset val="1"/>
    </font>
    <font>
      <sz val="8"/>
      <color rgb="FF333399"/>
      <name val="Calibri"/>
      <family val="2"/>
      <charset val="1"/>
    </font>
    <font>
      <b/>
      <sz val="8"/>
      <color rgb="FFFFFFFF"/>
      <name val="Arial"/>
      <family val="2"/>
      <charset val="204"/>
    </font>
    <font>
      <sz val="8"/>
      <name val="Arial"/>
    </font>
    <font>
      <sz val="8"/>
      <color indexed="12"/>
      <name val="Arial"/>
    </font>
    <font>
      <sz val="8"/>
      <color indexed="12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11"/>
      <color rgb="FF01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8D8D8"/>
        <bgColor rgb="FFBFBFBF"/>
      </patternFill>
    </fill>
    <fill>
      <patternFill patternType="solid">
        <fgColor rgb="FF376092"/>
        <bgColor rgb="FF1F497D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2F2F2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F2F2F2"/>
      </patternFill>
    </fill>
    <fill>
      <patternFill patternType="solid">
        <fgColor rgb="FFFF0000"/>
        <bgColor rgb="FFF2F2F2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theme="9"/>
        <bgColor rgb="FFF2F2F2"/>
      </patternFill>
    </fill>
  </fills>
  <borders count="20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7F7F7F"/>
      </left>
      <right style="thin">
        <color rgb="FFFFFFFF"/>
      </right>
      <top style="thin">
        <color rgb="FF7F7F7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7F7F7F"/>
      </top>
      <bottom style="thin">
        <color rgb="FFFFFFFF"/>
      </bottom>
      <diagonal/>
    </border>
    <border>
      <left style="thin">
        <color rgb="FFFFFFFF"/>
      </left>
      <right style="medium">
        <color rgb="FF7F7F7F"/>
      </right>
      <top style="thin">
        <color rgb="FF7F7F7F"/>
      </top>
      <bottom style="thin">
        <color rgb="FFFFFFFF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7F7F7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7F7F7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FFFFFF"/>
      </right>
      <top style="thin">
        <color rgb="FFFFFFFF"/>
      </top>
      <bottom style="medium">
        <color rgb="FF7F7F7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7F7F7F"/>
      </bottom>
      <diagonal/>
    </border>
    <border>
      <left style="thin">
        <color rgb="FFFFFFFF"/>
      </left>
      <right style="medium">
        <color rgb="FF7F7F7F"/>
      </right>
      <top style="thin">
        <color rgb="FFFFFFFF"/>
      </top>
      <bottom style="medium">
        <color rgb="FF7F7F7F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medium">
        <color rgb="FF808080"/>
      </left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5" fillId="0" borderId="0"/>
  </cellStyleXfs>
  <cellXfs count="15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2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ont="1" applyFill="1" applyBorder="1"/>
    <xf numFmtId="0" fontId="0" fillId="3" borderId="10" xfId="0" applyFill="1" applyBorder="1"/>
    <xf numFmtId="0" fontId="8" fillId="3" borderId="9" xfId="1" applyFont="1" applyFill="1" applyBorder="1" applyAlignment="1" applyProtection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9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165" fontId="9" fillId="2" borderId="0" xfId="0" applyNumberFormat="1" applyFont="1" applyFill="1" applyBorder="1" applyAlignment="1">
      <alignment horizontal="right" vertical="top"/>
    </xf>
    <xf numFmtId="166" fontId="9" fillId="2" borderId="0" xfId="0" applyNumberFormat="1" applyFont="1" applyFill="1" applyBorder="1" applyAlignment="1">
      <alignment horizontal="right" vertical="top"/>
    </xf>
    <xf numFmtId="167" fontId="9" fillId="2" borderId="0" xfId="0" applyNumberFormat="1" applyFont="1" applyFill="1" applyBorder="1" applyAlignment="1">
      <alignment horizontal="right" vertical="top"/>
    </xf>
    <xf numFmtId="168" fontId="9" fillId="2" borderId="0" xfId="0" applyNumberFormat="1" applyFont="1" applyFill="1" applyBorder="1" applyAlignment="1">
      <alignment horizontal="right" vertical="top"/>
    </xf>
    <xf numFmtId="49" fontId="9" fillId="2" borderId="0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Border="1" applyAlignment="1">
      <alignment horizontal="right" vertical="top"/>
    </xf>
    <xf numFmtId="166" fontId="9" fillId="3" borderId="0" xfId="0" applyNumberFormat="1" applyFont="1" applyFill="1" applyBorder="1" applyAlignment="1">
      <alignment horizontal="right" vertical="top"/>
    </xf>
    <xf numFmtId="167" fontId="9" fillId="3" borderId="0" xfId="0" applyNumberFormat="1" applyFont="1" applyFill="1" applyBorder="1" applyAlignment="1">
      <alignment horizontal="right" vertical="top"/>
    </xf>
    <xf numFmtId="168" fontId="9" fillId="3" borderId="0" xfId="0" applyNumberFormat="1" applyFont="1" applyFill="1" applyBorder="1" applyAlignment="1">
      <alignment horizontal="right" vertical="top"/>
    </xf>
    <xf numFmtId="49" fontId="9" fillId="3" borderId="0" xfId="0" applyNumberFormat="1" applyFont="1" applyFill="1" applyBorder="1" applyAlignment="1">
      <alignment horizontal="right" vertical="top"/>
    </xf>
    <xf numFmtId="0" fontId="5" fillId="2" borderId="9" xfId="0" applyFont="1" applyFill="1" applyBorder="1" applyAlignment="1"/>
    <xf numFmtId="165" fontId="6" fillId="2" borderId="0" xfId="0" applyNumberFormat="1" applyFont="1" applyFill="1" applyBorder="1" applyAlignment="1">
      <alignment horizontal="right" vertical="top"/>
    </xf>
    <xf numFmtId="166" fontId="6" fillId="2" borderId="0" xfId="0" applyNumberFormat="1" applyFont="1" applyFill="1" applyBorder="1" applyAlignment="1">
      <alignment horizontal="right" vertical="top"/>
    </xf>
    <xf numFmtId="165" fontId="6" fillId="2" borderId="19" xfId="0" applyNumberFormat="1" applyFont="1" applyFill="1" applyBorder="1" applyAlignment="1">
      <alignment horizontal="right" vertical="top"/>
    </xf>
    <xf numFmtId="166" fontId="6" fillId="2" borderId="19" xfId="0" applyNumberFormat="1" applyFont="1" applyFill="1" applyBorder="1" applyAlignment="1">
      <alignment horizontal="right" vertical="top"/>
    </xf>
    <xf numFmtId="165" fontId="6" fillId="3" borderId="19" xfId="0" applyNumberFormat="1" applyFont="1" applyFill="1" applyBorder="1" applyAlignment="1">
      <alignment horizontal="right" vertical="top"/>
    </xf>
    <xf numFmtId="0" fontId="11" fillId="3" borderId="9" xfId="0" applyFont="1" applyFill="1" applyBorder="1" applyAlignment="1">
      <alignment horizontal="left" vertical="top" wrapText="1"/>
    </xf>
    <xf numFmtId="169" fontId="12" fillId="3" borderId="9" xfId="0" applyNumberFormat="1" applyFont="1" applyFill="1" applyBorder="1" applyAlignment="1">
      <alignment horizontal="left"/>
    </xf>
    <xf numFmtId="0" fontId="13" fillId="3" borderId="9" xfId="0" applyFont="1" applyFill="1" applyBorder="1" applyAlignment="1">
      <alignment horizontal="left" vertical="top" wrapText="1"/>
    </xf>
    <xf numFmtId="0" fontId="14" fillId="5" borderId="9" xfId="0" applyFont="1" applyFill="1" applyBorder="1" applyAlignment="1">
      <alignment horizontal="right" vertical="top" wrapText="1"/>
    </xf>
    <xf numFmtId="0" fontId="15" fillId="0" borderId="0" xfId="0" applyFont="1" applyAlignment="1">
      <alignment wrapText="1"/>
    </xf>
    <xf numFmtId="0" fontId="2" fillId="6" borderId="9" xfId="0" applyFont="1" applyFill="1" applyBorder="1" applyAlignment="1">
      <alignment horizontal="left"/>
    </xf>
    <xf numFmtId="40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40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40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6" fontId="2" fillId="6" borderId="9" xfId="0" applyNumberFormat="1" applyFont="1" applyFill="1" applyBorder="1" applyAlignment="1">
      <alignment horizontal="right"/>
    </xf>
    <xf numFmtId="40" fontId="2" fillId="6" borderId="9" xfId="0" applyNumberFormat="1" applyFont="1" applyFill="1" applyBorder="1" applyAlignment="1">
      <alignment horizontal="right"/>
    </xf>
    <xf numFmtId="40" fontId="2" fillId="6" borderId="9" xfId="0" applyNumberFormat="1" applyFont="1" applyFill="1" applyBorder="1" applyAlignment="1">
      <alignment horizontal="right"/>
    </xf>
    <xf numFmtId="170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40" fontId="2" fillId="6" borderId="9" xfId="0" applyNumberFormat="1" applyFont="1" applyFill="1" applyBorder="1" applyAlignment="1">
      <alignment horizontal="right"/>
    </xf>
    <xf numFmtId="40" fontId="2" fillId="6" borderId="9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49" fontId="2" fillId="6" borderId="9" xfId="0" applyNumberFormat="1" applyFont="1" applyFill="1" applyBorder="1" applyAlignment="1">
      <alignment horizontal="left" wrapText="1"/>
    </xf>
    <xf numFmtId="49" fontId="2" fillId="6" borderId="9" xfId="0" applyNumberFormat="1" applyFont="1" applyFill="1" applyBorder="1" applyAlignment="1">
      <alignment horizontal="left" wrapText="1"/>
    </xf>
    <xf numFmtId="49" fontId="2" fillId="6" borderId="9" xfId="0" applyNumberFormat="1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" fillId="6" borderId="9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49" fontId="2" fillId="6" borderId="9" xfId="0" applyNumberFormat="1" applyFont="1" applyFill="1" applyBorder="1" applyAlignment="1">
      <alignment horizontal="left" wrapText="1"/>
    </xf>
    <xf numFmtId="49" fontId="2" fillId="6" borderId="9" xfId="0" applyNumberFormat="1" applyFont="1" applyFill="1" applyBorder="1" applyAlignment="1">
      <alignment horizontal="left" wrapText="1"/>
    </xf>
    <xf numFmtId="49" fontId="2" fillId="6" borderId="9" xfId="0" applyNumberFormat="1" applyFont="1" applyFill="1" applyBorder="1" applyAlignment="1">
      <alignment horizontal="left" wrapText="1"/>
    </xf>
    <xf numFmtId="49" fontId="2" fillId="6" borderId="9" xfId="0" applyNumberFormat="1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left"/>
    </xf>
    <xf numFmtId="170" fontId="2" fillId="6" borderId="9" xfId="0" applyNumberFormat="1" applyFont="1" applyFill="1" applyBorder="1" applyAlignment="1">
      <alignment horizontal="right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165" fontId="6" fillId="7" borderId="19" xfId="0" applyNumberFormat="1" applyFont="1" applyFill="1" applyBorder="1" applyAlignment="1">
      <alignment horizontal="right" vertical="top"/>
    </xf>
    <xf numFmtId="166" fontId="6" fillId="7" borderId="19" xfId="0" applyNumberFormat="1" applyFont="1" applyFill="1" applyBorder="1" applyAlignment="1">
      <alignment horizontal="right" vertical="top"/>
    </xf>
    <xf numFmtId="0" fontId="10" fillId="8" borderId="0" xfId="0" applyFont="1" applyFill="1" applyBorder="1" applyAlignment="1">
      <alignment horizontal="left" vertical="top"/>
    </xf>
    <xf numFmtId="165" fontId="6" fillId="8" borderId="19" xfId="0" applyNumberFormat="1" applyFont="1" applyFill="1" applyBorder="1" applyAlignment="1">
      <alignment horizontal="right" vertical="top"/>
    </xf>
    <xf numFmtId="0" fontId="9" fillId="8" borderId="0" xfId="0" applyFont="1" applyFill="1" applyBorder="1" applyAlignment="1">
      <alignment horizontal="left" vertical="top"/>
    </xf>
    <xf numFmtId="166" fontId="9" fillId="7" borderId="0" xfId="0" applyNumberFormat="1" applyFont="1" applyFill="1" applyBorder="1" applyAlignment="1">
      <alignment horizontal="right" vertical="top"/>
    </xf>
    <xf numFmtId="166" fontId="9" fillId="8" borderId="0" xfId="0" applyNumberFormat="1" applyFont="1" applyFill="1" applyBorder="1" applyAlignment="1">
      <alignment horizontal="right" vertical="top"/>
    </xf>
    <xf numFmtId="165" fontId="9" fillId="8" borderId="0" xfId="0" applyNumberFormat="1" applyFont="1" applyFill="1" applyBorder="1" applyAlignment="1">
      <alignment horizontal="right" vertical="top"/>
    </xf>
    <xf numFmtId="168" fontId="9" fillId="8" borderId="0" xfId="0" applyNumberFormat="1" applyFont="1" applyFill="1" applyBorder="1" applyAlignment="1">
      <alignment horizontal="right" vertical="top"/>
    </xf>
    <xf numFmtId="168" fontId="9" fillId="7" borderId="0" xfId="0" applyNumberFormat="1" applyFont="1" applyFill="1" applyBorder="1" applyAlignment="1">
      <alignment horizontal="right" vertical="top"/>
    </xf>
    <xf numFmtId="0" fontId="6" fillId="9" borderId="1" xfId="0" applyFont="1" applyFill="1" applyBorder="1" applyAlignment="1">
      <alignment horizontal="left" vertical="top" wrapText="1"/>
    </xf>
    <xf numFmtId="166" fontId="6" fillId="9" borderId="0" xfId="0" applyNumberFormat="1" applyFont="1" applyFill="1" applyBorder="1" applyAlignment="1">
      <alignment horizontal="right" vertical="top"/>
    </xf>
    <xf numFmtId="0" fontId="9" fillId="10" borderId="0" xfId="0" applyFont="1" applyFill="1" applyBorder="1" applyAlignment="1">
      <alignment horizontal="left" vertical="top"/>
    </xf>
    <xf numFmtId="168" fontId="9" fillId="9" borderId="0" xfId="0" applyNumberFormat="1" applyFont="1" applyFill="1" applyBorder="1" applyAlignment="1">
      <alignment horizontal="right" vertical="top"/>
    </xf>
    <xf numFmtId="166" fontId="9" fillId="9" borderId="0" xfId="0" applyNumberFormat="1" applyFont="1" applyFill="1" applyBorder="1" applyAlignment="1">
      <alignment horizontal="right" vertical="top"/>
    </xf>
    <xf numFmtId="168" fontId="9" fillId="10" borderId="0" xfId="0" applyNumberFormat="1" applyFont="1" applyFill="1" applyBorder="1" applyAlignment="1">
      <alignment horizontal="right" vertical="top"/>
    </xf>
    <xf numFmtId="0" fontId="9" fillId="11" borderId="0" xfId="0" applyFont="1" applyFill="1" applyBorder="1" applyAlignment="1">
      <alignment horizontal="left" vertical="top"/>
    </xf>
    <xf numFmtId="165" fontId="9" fillId="12" borderId="0" xfId="0" applyNumberFormat="1" applyFont="1" applyFill="1" applyBorder="1" applyAlignment="1">
      <alignment horizontal="right" vertical="top"/>
    </xf>
    <xf numFmtId="166" fontId="9" fillId="12" borderId="0" xfId="0" applyNumberFormat="1" applyFont="1" applyFill="1" applyBorder="1" applyAlignment="1">
      <alignment horizontal="right" vertical="top"/>
    </xf>
    <xf numFmtId="165" fontId="9" fillId="11" borderId="0" xfId="0" applyNumberFormat="1" applyFont="1" applyFill="1" applyBorder="1" applyAlignment="1">
      <alignment horizontal="right" vertical="top"/>
    </xf>
    <xf numFmtId="167" fontId="9" fillId="7" borderId="0" xfId="0" applyNumberFormat="1" applyFont="1" applyFill="1" applyBorder="1" applyAlignment="1">
      <alignment horizontal="right" vertical="top"/>
    </xf>
    <xf numFmtId="0" fontId="10" fillId="13" borderId="0" xfId="0" applyFont="1" applyFill="1" applyBorder="1" applyAlignment="1">
      <alignment horizontal="left" vertical="top"/>
    </xf>
    <xf numFmtId="0" fontId="9" fillId="14" borderId="0" xfId="0" applyFont="1" applyFill="1" applyBorder="1" applyAlignment="1">
      <alignment horizontal="left" vertical="top"/>
    </xf>
    <xf numFmtId="0" fontId="9" fillId="15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67" fontId="9" fillId="13" borderId="0" xfId="0" applyNumberFormat="1" applyFont="1" applyFill="1" applyBorder="1" applyAlignment="1">
      <alignment horizontal="right" vertical="top"/>
    </xf>
    <xf numFmtId="166" fontId="9" fillId="13" borderId="0" xfId="0" applyNumberFormat="1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7"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376092"/>
      <rgbColor rgb="FF7F7F7F"/>
      <rgbColor rgb="FF1F497D"/>
      <rgbColor rgb="FF339966"/>
      <rgbColor rgb="FF01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152280</xdr:colOff>
      <xdr:row>1</xdr:row>
      <xdr:rowOff>85680</xdr:rowOff>
    </xdr:from>
    <xdr:to>
      <xdr:col>2</xdr:col>
      <xdr:colOff>1931400</xdr:colOff>
      <xdr:row>2</xdr:row>
      <xdr:rowOff>245520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4800" y="276120"/>
          <a:ext cx="2134800" cy="30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1</xdr:row>
      <xdr:rowOff>74520</xdr:rowOff>
    </xdr:from>
    <xdr:to>
      <xdr:col>3</xdr:col>
      <xdr:colOff>93000</xdr:colOff>
      <xdr:row>1</xdr:row>
      <xdr:rowOff>380520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09440" y="26496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83880</xdr:rowOff>
    </xdr:from>
    <xdr:to>
      <xdr:col>2</xdr:col>
      <xdr:colOff>607320</xdr:colOff>
      <xdr:row>0</xdr:row>
      <xdr:rowOff>389880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0360" y="27432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123840</xdr:colOff>
      <xdr:row>1</xdr:row>
      <xdr:rowOff>74520</xdr:rowOff>
    </xdr:from>
    <xdr:to>
      <xdr:col>2</xdr:col>
      <xdr:colOff>1969200</xdr:colOff>
      <xdr:row>1</xdr:row>
      <xdr:rowOff>380520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6360" y="264960"/>
          <a:ext cx="202320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83880</xdr:rowOff>
    </xdr:from>
    <xdr:to>
      <xdr:col>2</xdr:col>
      <xdr:colOff>1978920</xdr:colOff>
      <xdr:row>1</xdr:row>
      <xdr:rowOff>389880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0360" y="27432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83880</xdr:rowOff>
    </xdr:from>
    <xdr:to>
      <xdr:col>2</xdr:col>
      <xdr:colOff>1978920</xdr:colOff>
      <xdr:row>1</xdr:row>
      <xdr:rowOff>389880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3D18A25-51AC-4C4B-9547-D2801587CBD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0900" y="27438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93600</xdr:rowOff>
    </xdr:from>
    <xdr:to>
      <xdr:col>2</xdr:col>
      <xdr:colOff>1978920</xdr:colOff>
      <xdr:row>1</xdr:row>
      <xdr:rowOff>399600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0360" y="28404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83880</xdr:rowOff>
    </xdr:from>
    <xdr:to>
      <xdr:col>2</xdr:col>
      <xdr:colOff>1978920</xdr:colOff>
      <xdr:row>1</xdr:row>
      <xdr:rowOff>389880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DED9284-F529-4D87-BDEC-48E1AC653C2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2950" y="27438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542880</xdr:colOff>
      <xdr:row>4</xdr:row>
      <xdr:rowOff>129240</xdr:rowOff>
    </xdr:from>
    <xdr:to>
      <xdr:col>3</xdr:col>
      <xdr:colOff>736200</xdr:colOff>
      <xdr:row>5</xdr:row>
      <xdr:rowOff>164160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74520" y="815040"/>
          <a:ext cx="1883160" cy="2253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veloping%20Stor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Stor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 Gaikhe" id="{0ECAA94D-AC6D-41B7-8D03-C7484B1E79D6}" userId="7e3d221c77140e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2-10-30T15:44:56.71" personId="{0ECAA94D-AC6D-41B7-8D03-C7484B1E79D6}" id="{B38BCC64-9824-4537-83B6-5976C97AABB2}">
    <text xml:space="preserve">More data available - hidden section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0-30T15:21:49.61" personId="{0ECAA94D-AC6D-41B7-8D03-C7484B1E79D6}" id="{6C9C4359-53A0-43EF-A450-33D353FCCE7E}">
    <text>Amounts in Thousands, USD (except Ratios, Multiples &amp; per share items)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no-track.pitchbook.com/?rcpubr=343405" TargetMode="External"/><Relationship Id="rId1" Type="http://schemas.openxmlformats.org/officeDocument/2006/relationships/hyperlink" Target="https://no-track.pitchbook.com/?rcpubr=3434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pitchbook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sec_f=25019129250&amp;financialGroup=INCOME_STATEMENT&amp;period=ANN%26exchangeId%3DNYS%26exchangeSymbol%3DGM" TargetMode="External"/><Relationship Id="rId13" Type="http://schemas.openxmlformats.org/officeDocument/2006/relationships/hyperlink" Target="https://my.pitchbook.com/?c=10688-23" TargetMode="External"/><Relationship Id="rId18" Type="http://schemas.openxmlformats.org/officeDocument/2006/relationships/hyperlink" Target="https://my.pitchbook.com/?sec_f=25019128930&amp;financialGroup=INCOME_STATEMENT&amp;period=ANN%26exchangeId%3DNYS%26exchangeSymbol%3DGM" TargetMode="External"/><Relationship Id="rId26" Type="http://schemas.openxmlformats.org/officeDocument/2006/relationships/hyperlink" Target="https://my.pitchbook.com/?sec_f=25019128674&amp;financialGroup=INCOME_STATEMENT&amp;period=ANN%26exchangeId%3DNYS%26exchangeSymbol%3DGM" TargetMode="External"/><Relationship Id="rId3" Type="http://schemas.openxmlformats.org/officeDocument/2006/relationships/hyperlink" Target="https://my.pitchbook.com/?c=10688-23" TargetMode="External"/><Relationship Id="rId21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sec_f=25019129122&amp;financialGroup=INCOME_STATEMENT&amp;period=ANN%26exchangeId%3DNYS%26exchangeSymbol%3DGM" TargetMode="External"/><Relationship Id="rId17" Type="http://schemas.openxmlformats.org/officeDocument/2006/relationships/hyperlink" Target="https://my.pitchbook.com/?c=10688-23" TargetMode="External"/><Relationship Id="rId25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sec_f=25019129442&amp;financialGroup=INCOME_STATEMENT&amp;period=ANN%26exchangeId%3DNYS%26exchangeSymbol%3DGM" TargetMode="External"/><Relationship Id="rId16" Type="http://schemas.openxmlformats.org/officeDocument/2006/relationships/hyperlink" Target="https://my.pitchbook.com/?sec_f=25019128994&amp;financialGroup=INCOME_STATEMENT&amp;period=ANN%26exchangeId%3DNYS%26exchangeSymbol%3DGM" TargetMode="External"/><Relationship Id="rId20" Type="http://schemas.openxmlformats.org/officeDocument/2006/relationships/hyperlink" Target="https://my.pitchbook.com/?sec_f=25019128866&amp;financialGroup=INCOME_STATEMENT&amp;period=ANN%26exchangeId%3DNYS%26exchangeSymbol%3DGM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sec_f=25019129314&amp;financialGroup=INCOME_STATEMENT&amp;period=ANN%26exchangeId%3DNYS%26exchangeSymbol%3DGM" TargetMode="External"/><Relationship Id="rId11" Type="http://schemas.openxmlformats.org/officeDocument/2006/relationships/hyperlink" Target="https://my.pitchbook.com/?c=10688-23" TargetMode="External"/><Relationship Id="rId24" Type="http://schemas.openxmlformats.org/officeDocument/2006/relationships/hyperlink" Target="https://my.pitchbook.com/?sec_f=25019128738&amp;financialGroup=INCOME_STATEMENT&amp;period=ANN%26exchangeId%3DNYS%26exchangeSymbol%3DGM" TargetMode="External"/><Relationship Id="rId5" Type="http://schemas.openxmlformats.org/officeDocument/2006/relationships/hyperlink" Target="https://my.pitchbook.com/?c=10688-23" TargetMode="External"/><Relationship Id="rId15" Type="http://schemas.openxmlformats.org/officeDocument/2006/relationships/hyperlink" Target="https://my.pitchbook.com/?c=10688-23" TargetMode="External"/><Relationship Id="rId23" Type="http://schemas.openxmlformats.org/officeDocument/2006/relationships/hyperlink" Target="https://my.pitchbook.com/?c=10688-23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my.pitchbook.com/?sec_f=25019129186&amp;financialGroup=INCOME_STATEMENT&amp;period=ANN%26exchangeId%3DNYS%26exchangeSymbol%3DGM" TargetMode="External"/><Relationship Id="rId19" Type="http://schemas.openxmlformats.org/officeDocument/2006/relationships/hyperlink" Target="https://my.pitchbook.com/?c=10688-23" TargetMode="External"/><Relationship Id="rId31" Type="http://schemas.microsoft.com/office/2017/10/relationships/threadedComment" Target="../threadedComments/threadedComment1.xml"/><Relationship Id="rId4" Type="http://schemas.openxmlformats.org/officeDocument/2006/relationships/hyperlink" Target="https://my.pitchbook.com/?sec_f=25019129378&amp;financialGroup=INCOME_STATEMENT&amp;period=ANN%26exchangeId%3DNYS%26exchangeSymbol%3DGM" TargetMode="External"/><Relationship Id="rId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sec_f=25019129058&amp;financialGroup=INCOME_STATEMENT&amp;period=ANN%26exchangeId%3DNYS%26exchangeSymbol%3DGM" TargetMode="External"/><Relationship Id="rId22" Type="http://schemas.openxmlformats.org/officeDocument/2006/relationships/hyperlink" Target="https://my.pitchbook.com/?sec_f=25019128802&amp;financialGroup=INCOME_STATEMENT&amp;period=ANN%26exchangeId%3DNYS%26exchangeSymbol%3DGM" TargetMode="External"/><Relationship Id="rId27" Type="http://schemas.openxmlformats.org/officeDocument/2006/relationships/hyperlink" Target="https://my.pitchbook.com/?c=10688-23" TargetMode="External"/><Relationship Id="rId30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sec_f=25019129250&amp;financialGroup=KEY_METRICS&amp;period=ANN%26exchangeId%3DNYS%26exchangeSymbol%3DGM" TargetMode="External"/><Relationship Id="rId13" Type="http://schemas.openxmlformats.org/officeDocument/2006/relationships/hyperlink" Target="https://my.pitchbook.com/?c=10688-23" TargetMode="External"/><Relationship Id="rId18" Type="http://schemas.openxmlformats.org/officeDocument/2006/relationships/hyperlink" Target="https://my.pitchbook.com/?sec_f=25019128930&amp;financialGroup=KEY_METRICS&amp;period=ANN%26exchangeId%3DNYS%26exchangeSymbol%3DGM" TargetMode="External"/><Relationship Id="rId26" Type="http://schemas.openxmlformats.org/officeDocument/2006/relationships/hyperlink" Target="https://my.pitchbook.com/?sec_f=25019128674&amp;financialGroup=KEY_METRICS&amp;period=ANN%26exchangeId%3DNYS%26exchangeSymbol%3DGM" TargetMode="External"/><Relationship Id="rId3" Type="http://schemas.openxmlformats.org/officeDocument/2006/relationships/hyperlink" Target="https://my.pitchbook.com/?c=10688-23" TargetMode="External"/><Relationship Id="rId21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sec_f=25019129122&amp;financialGroup=KEY_METRICS&amp;period=ANN%26exchangeId%3DNYS%26exchangeSymbol%3DGM" TargetMode="External"/><Relationship Id="rId17" Type="http://schemas.openxmlformats.org/officeDocument/2006/relationships/hyperlink" Target="https://my.pitchbook.com/?c=10688-23" TargetMode="External"/><Relationship Id="rId25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sec_f=25019129442&amp;financialGroup=KEY_METRICS&amp;period=ANN%26exchangeId%3DNYS%26exchangeSymbol%3DGM" TargetMode="External"/><Relationship Id="rId16" Type="http://schemas.openxmlformats.org/officeDocument/2006/relationships/hyperlink" Target="https://my.pitchbook.com/?sec_f=25019128994&amp;financialGroup=KEY_METRICS&amp;period=ANN%26exchangeId%3DNYS%26exchangeSymbol%3DGM" TargetMode="External"/><Relationship Id="rId20" Type="http://schemas.openxmlformats.org/officeDocument/2006/relationships/hyperlink" Target="https://my.pitchbook.com/?sec_f=25019128866&amp;financialGroup=KEY_METRICS&amp;period=ANN%26exchangeId%3DNYS%26exchangeSymbol%3DGM" TargetMode="External"/><Relationship Id="rId29" Type="http://schemas.openxmlformats.org/officeDocument/2006/relationships/vmlDrawing" Target="../drawings/vmlDrawing3.vm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sec_f=25019129314&amp;financialGroup=KEY_METRICS&amp;period=ANN%26exchangeId%3DNYS%26exchangeSymbol%3DGM" TargetMode="External"/><Relationship Id="rId11" Type="http://schemas.openxmlformats.org/officeDocument/2006/relationships/hyperlink" Target="https://my.pitchbook.com/?c=10688-23" TargetMode="External"/><Relationship Id="rId24" Type="http://schemas.openxmlformats.org/officeDocument/2006/relationships/hyperlink" Target="https://my.pitchbook.com/?sec_f=25019128738&amp;financialGroup=KEY_METRICS&amp;period=ANN%26exchangeId%3DNYS%26exchangeSymbol%3DGM" TargetMode="External"/><Relationship Id="rId5" Type="http://schemas.openxmlformats.org/officeDocument/2006/relationships/hyperlink" Target="https://my.pitchbook.com/?c=10688-23" TargetMode="External"/><Relationship Id="rId15" Type="http://schemas.openxmlformats.org/officeDocument/2006/relationships/hyperlink" Target="https://my.pitchbook.com/?c=10688-23" TargetMode="External"/><Relationship Id="rId23" Type="http://schemas.openxmlformats.org/officeDocument/2006/relationships/hyperlink" Target="https://my.pitchbook.com/?c=10688-23" TargetMode="External"/><Relationship Id="rId28" Type="http://schemas.openxmlformats.org/officeDocument/2006/relationships/drawing" Target="../drawings/drawing3.xml"/><Relationship Id="rId10" Type="http://schemas.openxmlformats.org/officeDocument/2006/relationships/hyperlink" Target="https://my.pitchbook.com/?sec_f=25019129186&amp;financialGroup=KEY_METRICS&amp;period=ANN%26exchangeId%3DNYS%26exchangeSymbol%3DGM" TargetMode="External"/><Relationship Id="rId19" Type="http://schemas.openxmlformats.org/officeDocument/2006/relationships/hyperlink" Target="https://my.pitchbook.com/?c=10688-23" TargetMode="External"/><Relationship Id="rId31" Type="http://schemas.microsoft.com/office/2017/10/relationships/threadedComment" Target="../threadedComments/threadedComment2.xml"/><Relationship Id="rId4" Type="http://schemas.openxmlformats.org/officeDocument/2006/relationships/hyperlink" Target="https://my.pitchbook.com/?sec_f=25019129378&amp;financialGroup=KEY_METRICS&amp;period=ANN%26exchangeId%3DNYS%26exchangeSymbol%3DGM" TargetMode="External"/><Relationship Id="rId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sec_f=25019129058&amp;financialGroup=KEY_METRICS&amp;period=ANN%26exchangeId%3DNYS%26exchangeSymbol%3DGM" TargetMode="External"/><Relationship Id="rId22" Type="http://schemas.openxmlformats.org/officeDocument/2006/relationships/hyperlink" Target="https://my.pitchbook.com/?sec_f=25019128802&amp;financialGroup=KEY_METRICS&amp;period=ANN%26exchangeId%3DNYS%26exchangeSymbol%3DGM" TargetMode="External"/><Relationship Id="rId27" Type="http://schemas.openxmlformats.org/officeDocument/2006/relationships/hyperlink" Target="https://my.pitchbook.com/?c=10688-23" TargetMode="External"/><Relationship Id="rId30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sec_f=25019129250&amp;financialGroup=BALANCE_SHEET&amp;period=ANN%26exchangeId%3DNYS%26exchangeSymbol%3DGM" TargetMode="External"/><Relationship Id="rId13" Type="http://schemas.openxmlformats.org/officeDocument/2006/relationships/hyperlink" Target="https://my.pitchbook.com/?c=10688-23" TargetMode="External"/><Relationship Id="rId18" Type="http://schemas.openxmlformats.org/officeDocument/2006/relationships/hyperlink" Target="https://my.pitchbook.com/?sec_f=25019128930&amp;financialGroup=BALANCE_SHEET&amp;period=ANN%26exchangeId%3DNYS%26exchangeSymbol%3DGM" TargetMode="External"/><Relationship Id="rId26" Type="http://schemas.openxmlformats.org/officeDocument/2006/relationships/hyperlink" Target="https://my.pitchbook.com/?sec_f=25019128674&amp;financialGroup=BALANCE_SHEET&amp;period=ANN%26exchangeId%3DNYS%26exchangeSymbol%3DGM" TargetMode="External"/><Relationship Id="rId3" Type="http://schemas.openxmlformats.org/officeDocument/2006/relationships/hyperlink" Target="https://my.pitchbook.com/?c=10688-23" TargetMode="External"/><Relationship Id="rId21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sec_f=25019129122&amp;financialGroup=BALANCE_SHEET&amp;period=ANN%26exchangeId%3DNYS%26exchangeSymbol%3DGM" TargetMode="External"/><Relationship Id="rId17" Type="http://schemas.openxmlformats.org/officeDocument/2006/relationships/hyperlink" Target="https://my.pitchbook.com/?c=10688-23" TargetMode="External"/><Relationship Id="rId25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sec_f=25019129442&amp;financialGroup=BALANCE_SHEET&amp;period=ANN%26exchangeId%3DNYS%26exchangeSymbol%3DGM" TargetMode="External"/><Relationship Id="rId16" Type="http://schemas.openxmlformats.org/officeDocument/2006/relationships/hyperlink" Target="https://my.pitchbook.com/?sec_f=25019128994&amp;financialGroup=BALANCE_SHEET&amp;period=ANN%26exchangeId%3DNYS%26exchangeSymbol%3DGM" TargetMode="External"/><Relationship Id="rId20" Type="http://schemas.openxmlformats.org/officeDocument/2006/relationships/hyperlink" Target="https://my.pitchbook.com/?sec_f=25019128866&amp;financialGroup=BALANCE_SHEET&amp;period=ANN%26exchangeId%3DNYS%26exchangeSymbol%3DGM" TargetMode="Externa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sec_f=25019129314&amp;financialGroup=BALANCE_SHEET&amp;period=ANN%26exchangeId%3DNYS%26exchangeSymbol%3DGM" TargetMode="External"/><Relationship Id="rId11" Type="http://schemas.openxmlformats.org/officeDocument/2006/relationships/hyperlink" Target="https://my.pitchbook.com/?c=10688-23" TargetMode="External"/><Relationship Id="rId24" Type="http://schemas.openxmlformats.org/officeDocument/2006/relationships/hyperlink" Target="https://my.pitchbook.com/?sec_f=25019128738&amp;financialGroup=BALANCE_SHEET&amp;period=ANN%26exchangeId%3DNYS%26exchangeSymbol%3DGM" TargetMode="External"/><Relationship Id="rId5" Type="http://schemas.openxmlformats.org/officeDocument/2006/relationships/hyperlink" Target="https://my.pitchbook.com/?c=10688-23" TargetMode="External"/><Relationship Id="rId15" Type="http://schemas.openxmlformats.org/officeDocument/2006/relationships/hyperlink" Target="https://my.pitchbook.com/?c=10688-23" TargetMode="External"/><Relationship Id="rId23" Type="http://schemas.openxmlformats.org/officeDocument/2006/relationships/hyperlink" Target="https://my.pitchbook.com/?c=10688-23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my.pitchbook.com/?sec_f=25019129186&amp;financialGroup=BALANCE_SHEET&amp;period=ANN%26exchangeId%3DNYS%26exchangeSymbol%3DGM" TargetMode="External"/><Relationship Id="rId19" Type="http://schemas.openxmlformats.org/officeDocument/2006/relationships/hyperlink" Target="https://my.pitchbook.com/?c=10688-23" TargetMode="External"/><Relationship Id="rId4" Type="http://schemas.openxmlformats.org/officeDocument/2006/relationships/hyperlink" Target="https://my.pitchbook.com/?sec_f=25019129378&amp;financialGroup=BALANCE_SHEET&amp;period=ANN%26exchangeId%3DNYS%26exchangeSymbol%3DGM" TargetMode="External"/><Relationship Id="rId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sec_f=25019129058&amp;financialGroup=BALANCE_SHEET&amp;period=ANN%26exchangeId%3DNYS%26exchangeSymbol%3DGM" TargetMode="External"/><Relationship Id="rId22" Type="http://schemas.openxmlformats.org/officeDocument/2006/relationships/hyperlink" Target="https://my.pitchbook.com/?sec_f=25019128802&amp;financialGroup=BALANCE_SHEET&amp;period=ANN%26exchangeId%3DNYS%26exchangeSymbol%3DGM" TargetMode="External"/><Relationship Id="rId27" Type="http://schemas.openxmlformats.org/officeDocument/2006/relationships/hyperlink" Target="https://my.pitchbook.com/?c=10688-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sec_f=25019129250&amp;financialGroup=CASH_FLOW&amp;period=ANN%26exchangeId%3DNYS%26exchangeSymbol%3DGM" TargetMode="External"/><Relationship Id="rId13" Type="http://schemas.openxmlformats.org/officeDocument/2006/relationships/hyperlink" Target="https://my.pitchbook.com/?c=10688-23" TargetMode="External"/><Relationship Id="rId18" Type="http://schemas.openxmlformats.org/officeDocument/2006/relationships/hyperlink" Target="https://my.pitchbook.com/?sec_f=25019128930&amp;financialGroup=CASH_FLOW&amp;period=ANN%26exchangeId%3DNYS%26exchangeSymbol%3DGM" TargetMode="External"/><Relationship Id="rId26" Type="http://schemas.openxmlformats.org/officeDocument/2006/relationships/hyperlink" Target="https://my.pitchbook.com/?sec_f=25019128674&amp;financialGroup=CASH_FLOW&amp;period=ANN%26exchangeId%3DNYS%26exchangeSymbol%3DGM" TargetMode="External"/><Relationship Id="rId3" Type="http://schemas.openxmlformats.org/officeDocument/2006/relationships/hyperlink" Target="https://my.pitchbook.com/?c=10688-23" TargetMode="External"/><Relationship Id="rId21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sec_f=25019129122&amp;financialGroup=CASH_FLOW&amp;period=ANN%26exchangeId%3DNYS%26exchangeSymbol%3DGM" TargetMode="External"/><Relationship Id="rId17" Type="http://schemas.openxmlformats.org/officeDocument/2006/relationships/hyperlink" Target="https://my.pitchbook.com/?c=10688-23" TargetMode="External"/><Relationship Id="rId25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sec_f=25019129442&amp;financialGroup=CASH_FLOW&amp;period=ANN%26exchangeId%3DNYS%26exchangeSymbol%3DGM" TargetMode="External"/><Relationship Id="rId16" Type="http://schemas.openxmlformats.org/officeDocument/2006/relationships/hyperlink" Target="https://my.pitchbook.com/?sec_f=25019128994&amp;financialGroup=CASH_FLOW&amp;period=ANN%26exchangeId%3DNYS%26exchangeSymbol%3DGM" TargetMode="External"/><Relationship Id="rId20" Type="http://schemas.openxmlformats.org/officeDocument/2006/relationships/hyperlink" Target="https://my.pitchbook.com/?sec_f=25019128866&amp;financialGroup=CASH_FLOW&amp;period=ANN%26exchangeId%3DNYS%26exchangeSymbol%3DGM" TargetMode="Externa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sec_f=25019129314&amp;financialGroup=CASH_FLOW&amp;period=ANN%26exchangeId%3DNYS%26exchangeSymbol%3DGM" TargetMode="External"/><Relationship Id="rId11" Type="http://schemas.openxmlformats.org/officeDocument/2006/relationships/hyperlink" Target="https://my.pitchbook.com/?c=10688-23" TargetMode="External"/><Relationship Id="rId24" Type="http://schemas.openxmlformats.org/officeDocument/2006/relationships/hyperlink" Target="https://my.pitchbook.com/?sec_f=25019128738&amp;financialGroup=CASH_FLOW&amp;period=ANN%26exchangeId%3DNYS%26exchangeSymbol%3DGM" TargetMode="External"/><Relationship Id="rId5" Type="http://schemas.openxmlformats.org/officeDocument/2006/relationships/hyperlink" Target="https://my.pitchbook.com/?c=10688-23" TargetMode="External"/><Relationship Id="rId15" Type="http://schemas.openxmlformats.org/officeDocument/2006/relationships/hyperlink" Target="https://my.pitchbook.com/?c=10688-23" TargetMode="External"/><Relationship Id="rId23" Type="http://schemas.openxmlformats.org/officeDocument/2006/relationships/hyperlink" Target="https://my.pitchbook.com/?c=10688-23" TargetMode="External"/><Relationship Id="rId28" Type="http://schemas.openxmlformats.org/officeDocument/2006/relationships/drawing" Target="../drawings/drawing5.xml"/><Relationship Id="rId10" Type="http://schemas.openxmlformats.org/officeDocument/2006/relationships/hyperlink" Target="https://my.pitchbook.com/?sec_f=25019129186&amp;financialGroup=CASH_FLOW&amp;period=ANN%26exchangeId%3DNYS%26exchangeSymbol%3DGM" TargetMode="External"/><Relationship Id="rId19" Type="http://schemas.openxmlformats.org/officeDocument/2006/relationships/hyperlink" Target="https://my.pitchbook.com/?c=10688-23" TargetMode="External"/><Relationship Id="rId4" Type="http://schemas.openxmlformats.org/officeDocument/2006/relationships/hyperlink" Target="https://my.pitchbook.com/?sec_f=25019129378&amp;financialGroup=CASH_FLOW&amp;period=ANN%26exchangeId%3DNYS%26exchangeSymbol%3DGM" TargetMode="External"/><Relationship Id="rId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sec_f=25019129058&amp;financialGroup=CASH_FLOW&amp;period=ANN%26exchangeId%3DNYS%26exchangeSymbol%3DGM" TargetMode="External"/><Relationship Id="rId22" Type="http://schemas.openxmlformats.org/officeDocument/2006/relationships/hyperlink" Target="https://my.pitchbook.com/?sec_f=25019128802&amp;financialGroup=CASH_FLOW&amp;period=ANN%26exchangeId%3DNYS%26exchangeSymbol%3DGM" TargetMode="External"/><Relationship Id="rId27" Type="http://schemas.openxmlformats.org/officeDocument/2006/relationships/hyperlink" Target="https://my.pitchbook.com/?c=10688-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pitchbook.com/?c=10688-23" TargetMode="External"/><Relationship Id="rId18" Type="http://schemas.openxmlformats.org/officeDocument/2006/relationships/hyperlink" Target="https://my.pitchbook.com/?c=10688-23" TargetMode="External"/><Relationship Id="rId26" Type="http://schemas.openxmlformats.org/officeDocument/2006/relationships/hyperlink" Target="https://my.pitchbook.com/?c=10688-23" TargetMode="External"/><Relationship Id="rId39" Type="http://schemas.openxmlformats.org/officeDocument/2006/relationships/hyperlink" Target="https://my.pitchbook.com/?c=10688-23" TargetMode="External"/><Relationship Id="rId21" Type="http://schemas.openxmlformats.org/officeDocument/2006/relationships/hyperlink" Target="https://my.pitchbook.com/?c=10688-23" TargetMode="External"/><Relationship Id="rId34" Type="http://schemas.openxmlformats.org/officeDocument/2006/relationships/hyperlink" Target="https://my.pitchbook.com/?c=10688-23" TargetMode="External"/><Relationship Id="rId42" Type="http://schemas.openxmlformats.org/officeDocument/2006/relationships/hyperlink" Target="https://my.pitchbook.com/?c=10688-23" TargetMode="External"/><Relationship Id="rId47" Type="http://schemas.openxmlformats.org/officeDocument/2006/relationships/hyperlink" Target="https://my.pitchbook.com/?c=10688-23" TargetMode="External"/><Relationship Id="rId50" Type="http://schemas.openxmlformats.org/officeDocument/2006/relationships/hyperlink" Target="https://my.pitchbook.com/?c=10688-23" TargetMode="External"/><Relationship Id="rId55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c=10688-23" TargetMode="External"/><Relationship Id="rId16" Type="http://schemas.openxmlformats.org/officeDocument/2006/relationships/hyperlink" Target="https://my.pitchbook.com/?c=10688-23" TargetMode="External"/><Relationship Id="rId29" Type="http://schemas.openxmlformats.org/officeDocument/2006/relationships/hyperlink" Target="https://my.pitchbook.com/?c=10688-23" TargetMode="External"/><Relationship Id="rId11" Type="http://schemas.openxmlformats.org/officeDocument/2006/relationships/hyperlink" Target="https://my.pitchbook.com/?c=10688-23" TargetMode="External"/><Relationship Id="rId24" Type="http://schemas.openxmlformats.org/officeDocument/2006/relationships/hyperlink" Target="https://my.pitchbook.com/?c=10688-23" TargetMode="External"/><Relationship Id="rId32" Type="http://schemas.openxmlformats.org/officeDocument/2006/relationships/hyperlink" Target="https://my.pitchbook.com/?c=10688-23" TargetMode="External"/><Relationship Id="rId37" Type="http://schemas.openxmlformats.org/officeDocument/2006/relationships/hyperlink" Target="https://my.pitchbook.com/?c=10688-23" TargetMode="External"/><Relationship Id="rId40" Type="http://schemas.openxmlformats.org/officeDocument/2006/relationships/hyperlink" Target="https://my.pitchbook.com/?c=10688-23" TargetMode="External"/><Relationship Id="rId45" Type="http://schemas.openxmlformats.org/officeDocument/2006/relationships/hyperlink" Target="https://my.pitchbook.com/?c=10688-23" TargetMode="External"/><Relationship Id="rId53" Type="http://schemas.openxmlformats.org/officeDocument/2006/relationships/hyperlink" Target="https://my.pitchbook.com/?c=10688-23" TargetMode="External"/><Relationship Id="rId58" Type="http://schemas.openxmlformats.org/officeDocument/2006/relationships/hyperlink" Target="https://my.pitchbook.com/?c=10688-23" TargetMode="External"/><Relationship Id="rId5" Type="http://schemas.openxmlformats.org/officeDocument/2006/relationships/hyperlink" Target="https://my.pitchbook.com/?c=10688-23" TargetMode="External"/><Relationship Id="rId61" Type="http://schemas.openxmlformats.org/officeDocument/2006/relationships/drawing" Target="../drawings/drawing6.xml"/><Relationship Id="rId1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c=10688-23" TargetMode="External"/><Relationship Id="rId22" Type="http://schemas.openxmlformats.org/officeDocument/2006/relationships/hyperlink" Target="https://my.pitchbook.com/?c=10688-23" TargetMode="External"/><Relationship Id="rId27" Type="http://schemas.openxmlformats.org/officeDocument/2006/relationships/hyperlink" Target="https://my.pitchbook.com/?c=10688-23" TargetMode="External"/><Relationship Id="rId30" Type="http://schemas.openxmlformats.org/officeDocument/2006/relationships/hyperlink" Target="https://my.pitchbook.com/?c=10688-23" TargetMode="External"/><Relationship Id="rId35" Type="http://schemas.openxmlformats.org/officeDocument/2006/relationships/hyperlink" Target="https://my.pitchbook.com/?c=10688-23" TargetMode="External"/><Relationship Id="rId43" Type="http://schemas.openxmlformats.org/officeDocument/2006/relationships/hyperlink" Target="https://my.pitchbook.com/?c=10688-23" TargetMode="External"/><Relationship Id="rId48" Type="http://schemas.openxmlformats.org/officeDocument/2006/relationships/hyperlink" Target="https://my.pitchbook.com/?c=10688-23" TargetMode="External"/><Relationship Id="rId56" Type="http://schemas.openxmlformats.org/officeDocument/2006/relationships/hyperlink" Target="https://my.pitchbook.com/?c=10688-23" TargetMode="External"/><Relationship Id="rId8" Type="http://schemas.openxmlformats.org/officeDocument/2006/relationships/hyperlink" Target="https://my.pitchbook.com/?c=10688-23" TargetMode="External"/><Relationship Id="rId51" Type="http://schemas.openxmlformats.org/officeDocument/2006/relationships/hyperlink" Target="https://my.pitchbook.com/?c=10688-23" TargetMode="External"/><Relationship Id="rId3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c=10688-23" TargetMode="External"/><Relationship Id="rId17" Type="http://schemas.openxmlformats.org/officeDocument/2006/relationships/hyperlink" Target="https://my.pitchbook.com/?c=10688-23" TargetMode="External"/><Relationship Id="rId25" Type="http://schemas.openxmlformats.org/officeDocument/2006/relationships/hyperlink" Target="https://my.pitchbook.com/?c=10688-23" TargetMode="External"/><Relationship Id="rId33" Type="http://schemas.openxmlformats.org/officeDocument/2006/relationships/hyperlink" Target="https://my.pitchbook.com/?c=10688-23" TargetMode="External"/><Relationship Id="rId38" Type="http://schemas.openxmlformats.org/officeDocument/2006/relationships/hyperlink" Target="https://my.pitchbook.com/?c=10688-23" TargetMode="External"/><Relationship Id="rId46" Type="http://schemas.openxmlformats.org/officeDocument/2006/relationships/hyperlink" Target="https://my.pitchbook.com/?c=10688-23" TargetMode="External"/><Relationship Id="rId59" Type="http://schemas.openxmlformats.org/officeDocument/2006/relationships/hyperlink" Target="https://my.pitchbook.com/?c=10688-23" TargetMode="External"/><Relationship Id="rId20" Type="http://schemas.openxmlformats.org/officeDocument/2006/relationships/hyperlink" Target="https://my.pitchbook.com/?c=10688-23" TargetMode="External"/><Relationship Id="rId41" Type="http://schemas.openxmlformats.org/officeDocument/2006/relationships/hyperlink" Target="https://my.pitchbook.com/?c=10688-23" TargetMode="External"/><Relationship Id="rId54" Type="http://schemas.openxmlformats.org/officeDocument/2006/relationships/hyperlink" Target="https://my.pitchbook.com/?c=10688-23" TargetMode="Externa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c=10688-23" TargetMode="External"/><Relationship Id="rId15" Type="http://schemas.openxmlformats.org/officeDocument/2006/relationships/hyperlink" Target="https://my.pitchbook.com/?c=10688-23" TargetMode="External"/><Relationship Id="rId23" Type="http://schemas.openxmlformats.org/officeDocument/2006/relationships/hyperlink" Target="https://my.pitchbook.com/?c=10688-23" TargetMode="External"/><Relationship Id="rId28" Type="http://schemas.openxmlformats.org/officeDocument/2006/relationships/hyperlink" Target="https://my.pitchbook.com/?c=10688-23" TargetMode="External"/><Relationship Id="rId36" Type="http://schemas.openxmlformats.org/officeDocument/2006/relationships/hyperlink" Target="https://my.pitchbook.com/?c=10688-23" TargetMode="External"/><Relationship Id="rId49" Type="http://schemas.openxmlformats.org/officeDocument/2006/relationships/hyperlink" Target="https://my.pitchbook.com/?c=10688-23" TargetMode="External"/><Relationship Id="rId57" Type="http://schemas.openxmlformats.org/officeDocument/2006/relationships/hyperlink" Target="https://my.pitchbook.com/?c=10688-23" TargetMode="External"/><Relationship Id="rId10" Type="http://schemas.openxmlformats.org/officeDocument/2006/relationships/hyperlink" Target="https://my.pitchbook.com/?c=10688-23" TargetMode="External"/><Relationship Id="rId31" Type="http://schemas.openxmlformats.org/officeDocument/2006/relationships/hyperlink" Target="https://my.pitchbook.com/?c=10688-23" TargetMode="External"/><Relationship Id="rId44" Type="http://schemas.openxmlformats.org/officeDocument/2006/relationships/hyperlink" Target="https://my.pitchbook.com/?c=10688-23" TargetMode="External"/><Relationship Id="rId52" Type="http://schemas.openxmlformats.org/officeDocument/2006/relationships/hyperlink" Target="https://my.pitchbook.com/?c=10688-23" TargetMode="External"/><Relationship Id="rId60" Type="http://schemas.openxmlformats.org/officeDocument/2006/relationships/hyperlink" Target="https://my.pitchbook.com/?c=10688-23" TargetMode="External"/><Relationship Id="rId4" Type="http://schemas.openxmlformats.org/officeDocument/2006/relationships/hyperlink" Target="https://my.pitchbook.com/?c=10688-23" TargetMode="External"/><Relationship Id="rId9" Type="http://schemas.openxmlformats.org/officeDocument/2006/relationships/hyperlink" Target="https://my.pitchbook.com/?c=10688-2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y.pitchbook.com/?c=10688-23" TargetMode="External"/><Relationship Id="rId13" Type="http://schemas.openxmlformats.org/officeDocument/2006/relationships/hyperlink" Target="https://my.pitchbook.com/?c=10688-23" TargetMode="External"/><Relationship Id="rId3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c=10688-23" TargetMode="Externa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c=10688-23" TargetMode="External"/><Relationship Id="rId11" Type="http://schemas.openxmlformats.org/officeDocument/2006/relationships/hyperlink" Target="https://my.pitchbook.com/?c=10688-23" TargetMode="External"/><Relationship Id="rId5" Type="http://schemas.openxmlformats.org/officeDocument/2006/relationships/hyperlink" Target="https://my.pitchbook.com/?c=10688-23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my.pitchbook.com/?c=10688-23" TargetMode="External"/><Relationship Id="rId4" Type="http://schemas.openxmlformats.org/officeDocument/2006/relationships/hyperlink" Target="https://my.pitchbook.com/?c=10688-23" TargetMode="External"/><Relationship Id="rId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c=10688-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my.pitchbook.com/?c=10688-23" TargetMode="External"/><Relationship Id="rId21" Type="http://schemas.openxmlformats.org/officeDocument/2006/relationships/hyperlink" Target="https://my.pitchbook.com/?c=10688-23" TargetMode="External"/><Relationship Id="rId42" Type="http://schemas.openxmlformats.org/officeDocument/2006/relationships/hyperlink" Target="https://my.pitchbook.com/?c=10688-23" TargetMode="External"/><Relationship Id="rId47" Type="http://schemas.openxmlformats.org/officeDocument/2006/relationships/hyperlink" Target="https://my.pitchbook.com/?c=10688-23" TargetMode="External"/><Relationship Id="rId63" Type="http://schemas.openxmlformats.org/officeDocument/2006/relationships/hyperlink" Target="https://my.pitchbook.com/?c=10688-23" TargetMode="External"/><Relationship Id="rId68" Type="http://schemas.openxmlformats.org/officeDocument/2006/relationships/hyperlink" Target="https://my.pitchbook.com/?c=10688-23" TargetMode="External"/><Relationship Id="rId16" Type="http://schemas.openxmlformats.org/officeDocument/2006/relationships/hyperlink" Target="https://my.pitchbook.com/?c=10688-23" TargetMode="External"/><Relationship Id="rId11" Type="http://schemas.openxmlformats.org/officeDocument/2006/relationships/hyperlink" Target="https://my.pitchbook.com/?c=10688-23" TargetMode="External"/><Relationship Id="rId32" Type="http://schemas.openxmlformats.org/officeDocument/2006/relationships/hyperlink" Target="https://my.pitchbook.com/?c=10688-23" TargetMode="External"/><Relationship Id="rId37" Type="http://schemas.openxmlformats.org/officeDocument/2006/relationships/hyperlink" Target="https://my.pitchbook.com/?c=10688-23" TargetMode="External"/><Relationship Id="rId53" Type="http://schemas.openxmlformats.org/officeDocument/2006/relationships/hyperlink" Target="https://my.pitchbook.com/?c=10688-23" TargetMode="External"/><Relationship Id="rId58" Type="http://schemas.openxmlformats.org/officeDocument/2006/relationships/hyperlink" Target="https://my.pitchbook.com/?c=10688-23" TargetMode="External"/><Relationship Id="rId74" Type="http://schemas.openxmlformats.org/officeDocument/2006/relationships/hyperlink" Target="https://my.pitchbook.com/?c=10688-23" TargetMode="External"/><Relationship Id="rId79" Type="http://schemas.openxmlformats.org/officeDocument/2006/relationships/hyperlink" Target="https://my.pitchbook.com/?c=10688-23" TargetMode="External"/><Relationship Id="rId5" Type="http://schemas.openxmlformats.org/officeDocument/2006/relationships/hyperlink" Target="https://my.pitchbook.com/?c=10688-23" TargetMode="External"/><Relationship Id="rId61" Type="http://schemas.openxmlformats.org/officeDocument/2006/relationships/hyperlink" Target="https://my.pitchbook.com/?c=10688-23" TargetMode="External"/><Relationship Id="rId19" Type="http://schemas.openxmlformats.org/officeDocument/2006/relationships/hyperlink" Target="https://my.pitchbook.com/?c=10688-23" TargetMode="External"/><Relationship Id="rId14" Type="http://schemas.openxmlformats.org/officeDocument/2006/relationships/hyperlink" Target="https://my.pitchbook.com/?c=10688-23" TargetMode="External"/><Relationship Id="rId22" Type="http://schemas.openxmlformats.org/officeDocument/2006/relationships/hyperlink" Target="https://my.pitchbook.com/?c=10688-23" TargetMode="External"/><Relationship Id="rId27" Type="http://schemas.openxmlformats.org/officeDocument/2006/relationships/hyperlink" Target="https://my.pitchbook.com/?c=10688-23" TargetMode="External"/><Relationship Id="rId30" Type="http://schemas.openxmlformats.org/officeDocument/2006/relationships/hyperlink" Target="https://my.pitchbook.com/?c=10688-23" TargetMode="External"/><Relationship Id="rId35" Type="http://schemas.openxmlformats.org/officeDocument/2006/relationships/hyperlink" Target="https://my.pitchbook.com/?c=10688-23" TargetMode="External"/><Relationship Id="rId43" Type="http://schemas.openxmlformats.org/officeDocument/2006/relationships/hyperlink" Target="https://my.pitchbook.com/?c=10688-23" TargetMode="External"/><Relationship Id="rId48" Type="http://schemas.openxmlformats.org/officeDocument/2006/relationships/hyperlink" Target="https://my.pitchbook.com/?c=10688-23" TargetMode="External"/><Relationship Id="rId56" Type="http://schemas.openxmlformats.org/officeDocument/2006/relationships/hyperlink" Target="https://my.pitchbook.com/?c=10688-23" TargetMode="External"/><Relationship Id="rId64" Type="http://schemas.openxmlformats.org/officeDocument/2006/relationships/hyperlink" Target="https://my.pitchbook.com/?c=10688-23" TargetMode="External"/><Relationship Id="rId69" Type="http://schemas.openxmlformats.org/officeDocument/2006/relationships/hyperlink" Target="https://my.pitchbook.com/?c=10688-23" TargetMode="External"/><Relationship Id="rId77" Type="http://schemas.openxmlformats.org/officeDocument/2006/relationships/hyperlink" Target="https://my.pitchbook.com/?c=10688-23" TargetMode="External"/><Relationship Id="rId8" Type="http://schemas.openxmlformats.org/officeDocument/2006/relationships/hyperlink" Target="https://my.pitchbook.com/?c=10688-23" TargetMode="External"/><Relationship Id="rId51" Type="http://schemas.openxmlformats.org/officeDocument/2006/relationships/hyperlink" Target="https://my.pitchbook.com/?c=10688-23" TargetMode="External"/><Relationship Id="rId72" Type="http://schemas.openxmlformats.org/officeDocument/2006/relationships/hyperlink" Target="https://my.pitchbook.com/?c=10688-23" TargetMode="External"/><Relationship Id="rId80" Type="http://schemas.openxmlformats.org/officeDocument/2006/relationships/hyperlink" Target="https://my.pitchbook.com/?c=10688-23" TargetMode="External"/><Relationship Id="rId3" Type="http://schemas.openxmlformats.org/officeDocument/2006/relationships/hyperlink" Target="https://my.pitchbook.com/?c=10688-23" TargetMode="External"/><Relationship Id="rId12" Type="http://schemas.openxmlformats.org/officeDocument/2006/relationships/hyperlink" Target="https://my.pitchbook.com/?c=10688-23" TargetMode="External"/><Relationship Id="rId17" Type="http://schemas.openxmlformats.org/officeDocument/2006/relationships/hyperlink" Target="https://my.pitchbook.com/?c=10688-23" TargetMode="External"/><Relationship Id="rId25" Type="http://schemas.openxmlformats.org/officeDocument/2006/relationships/hyperlink" Target="https://my.pitchbook.com/?c=10688-23" TargetMode="External"/><Relationship Id="rId33" Type="http://schemas.openxmlformats.org/officeDocument/2006/relationships/hyperlink" Target="https://my.pitchbook.com/?c=10688-23" TargetMode="External"/><Relationship Id="rId38" Type="http://schemas.openxmlformats.org/officeDocument/2006/relationships/hyperlink" Target="https://my.pitchbook.com/?c=10688-23" TargetMode="External"/><Relationship Id="rId46" Type="http://schemas.openxmlformats.org/officeDocument/2006/relationships/hyperlink" Target="https://my.pitchbook.com/?c=10688-23" TargetMode="External"/><Relationship Id="rId59" Type="http://schemas.openxmlformats.org/officeDocument/2006/relationships/hyperlink" Target="https://my.pitchbook.com/?c=10688-23" TargetMode="External"/><Relationship Id="rId67" Type="http://schemas.openxmlformats.org/officeDocument/2006/relationships/hyperlink" Target="https://my.pitchbook.com/?c=10688-23" TargetMode="External"/><Relationship Id="rId20" Type="http://schemas.openxmlformats.org/officeDocument/2006/relationships/hyperlink" Target="https://my.pitchbook.com/?c=10688-23" TargetMode="External"/><Relationship Id="rId41" Type="http://schemas.openxmlformats.org/officeDocument/2006/relationships/hyperlink" Target="https://my.pitchbook.com/?c=10688-23" TargetMode="External"/><Relationship Id="rId54" Type="http://schemas.openxmlformats.org/officeDocument/2006/relationships/hyperlink" Target="https://my.pitchbook.com/?c=10688-23" TargetMode="External"/><Relationship Id="rId62" Type="http://schemas.openxmlformats.org/officeDocument/2006/relationships/hyperlink" Target="https://my.pitchbook.com/?c=10688-23" TargetMode="External"/><Relationship Id="rId70" Type="http://schemas.openxmlformats.org/officeDocument/2006/relationships/hyperlink" Target="https://my.pitchbook.com/?c=10688-23" TargetMode="External"/><Relationship Id="rId75" Type="http://schemas.openxmlformats.org/officeDocument/2006/relationships/hyperlink" Target="https://my.pitchbook.com/?c=10688-23" TargetMode="External"/><Relationship Id="rId1" Type="http://schemas.openxmlformats.org/officeDocument/2006/relationships/hyperlink" Target="https://my.pitchbook.com/?c=10688-23" TargetMode="External"/><Relationship Id="rId6" Type="http://schemas.openxmlformats.org/officeDocument/2006/relationships/hyperlink" Target="https://my.pitchbook.com/?c=10688-23" TargetMode="External"/><Relationship Id="rId15" Type="http://schemas.openxmlformats.org/officeDocument/2006/relationships/hyperlink" Target="https://my.pitchbook.com/?c=10688-23" TargetMode="External"/><Relationship Id="rId23" Type="http://schemas.openxmlformats.org/officeDocument/2006/relationships/hyperlink" Target="https://my.pitchbook.com/?c=10688-23" TargetMode="External"/><Relationship Id="rId28" Type="http://schemas.openxmlformats.org/officeDocument/2006/relationships/hyperlink" Target="https://my.pitchbook.com/?c=10688-23" TargetMode="External"/><Relationship Id="rId36" Type="http://schemas.openxmlformats.org/officeDocument/2006/relationships/hyperlink" Target="https://my.pitchbook.com/?c=10688-23" TargetMode="External"/><Relationship Id="rId49" Type="http://schemas.openxmlformats.org/officeDocument/2006/relationships/hyperlink" Target="https://my.pitchbook.com/?c=10688-23" TargetMode="External"/><Relationship Id="rId57" Type="http://schemas.openxmlformats.org/officeDocument/2006/relationships/hyperlink" Target="https://my.pitchbook.com/?c=10688-23" TargetMode="External"/><Relationship Id="rId10" Type="http://schemas.openxmlformats.org/officeDocument/2006/relationships/hyperlink" Target="https://my.pitchbook.com/?c=10688-23" TargetMode="External"/><Relationship Id="rId31" Type="http://schemas.openxmlformats.org/officeDocument/2006/relationships/hyperlink" Target="https://my.pitchbook.com/?c=10688-23" TargetMode="External"/><Relationship Id="rId44" Type="http://schemas.openxmlformats.org/officeDocument/2006/relationships/hyperlink" Target="https://my.pitchbook.com/?c=10688-23" TargetMode="External"/><Relationship Id="rId52" Type="http://schemas.openxmlformats.org/officeDocument/2006/relationships/hyperlink" Target="https://my.pitchbook.com/?c=10688-23" TargetMode="External"/><Relationship Id="rId60" Type="http://schemas.openxmlformats.org/officeDocument/2006/relationships/hyperlink" Target="https://my.pitchbook.com/?c=10688-23" TargetMode="External"/><Relationship Id="rId65" Type="http://schemas.openxmlformats.org/officeDocument/2006/relationships/hyperlink" Target="https://my.pitchbook.com/?c=10688-23" TargetMode="External"/><Relationship Id="rId73" Type="http://schemas.openxmlformats.org/officeDocument/2006/relationships/hyperlink" Target="https://my.pitchbook.com/?c=10688-23" TargetMode="External"/><Relationship Id="rId78" Type="http://schemas.openxmlformats.org/officeDocument/2006/relationships/hyperlink" Target="https://my.pitchbook.com/?c=10688-23" TargetMode="External"/><Relationship Id="rId81" Type="http://schemas.openxmlformats.org/officeDocument/2006/relationships/drawing" Target="../drawings/drawing8.xml"/><Relationship Id="rId4" Type="http://schemas.openxmlformats.org/officeDocument/2006/relationships/hyperlink" Target="https://my.pitchbook.com/?c=10688-23" TargetMode="External"/><Relationship Id="rId9" Type="http://schemas.openxmlformats.org/officeDocument/2006/relationships/hyperlink" Target="https://my.pitchbook.com/?c=10688-23" TargetMode="External"/><Relationship Id="rId13" Type="http://schemas.openxmlformats.org/officeDocument/2006/relationships/hyperlink" Target="https://my.pitchbook.com/?c=10688-23" TargetMode="External"/><Relationship Id="rId18" Type="http://schemas.openxmlformats.org/officeDocument/2006/relationships/hyperlink" Target="https://my.pitchbook.com/?c=10688-23" TargetMode="External"/><Relationship Id="rId39" Type="http://schemas.openxmlformats.org/officeDocument/2006/relationships/hyperlink" Target="https://my.pitchbook.com/?c=10688-23" TargetMode="External"/><Relationship Id="rId34" Type="http://schemas.openxmlformats.org/officeDocument/2006/relationships/hyperlink" Target="https://my.pitchbook.com/?c=10688-23" TargetMode="External"/><Relationship Id="rId50" Type="http://schemas.openxmlformats.org/officeDocument/2006/relationships/hyperlink" Target="https://my.pitchbook.com/?c=10688-23" TargetMode="External"/><Relationship Id="rId55" Type="http://schemas.openxmlformats.org/officeDocument/2006/relationships/hyperlink" Target="https://my.pitchbook.com/?c=10688-23" TargetMode="External"/><Relationship Id="rId76" Type="http://schemas.openxmlformats.org/officeDocument/2006/relationships/hyperlink" Target="https://my.pitchbook.com/?c=10688-23" TargetMode="External"/><Relationship Id="rId7" Type="http://schemas.openxmlformats.org/officeDocument/2006/relationships/hyperlink" Target="https://my.pitchbook.com/?c=10688-23" TargetMode="External"/><Relationship Id="rId71" Type="http://schemas.openxmlformats.org/officeDocument/2006/relationships/hyperlink" Target="https://my.pitchbook.com/?c=10688-23" TargetMode="External"/><Relationship Id="rId2" Type="http://schemas.openxmlformats.org/officeDocument/2006/relationships/hyperlink" Target="https://my.pitchbook.com/?c=10688-23" TargetMode="External"/><Relationship Id="rId29" Type="http://schemas.openxmlformats.org/officeDocument/2006/relationships/hyperlink" Target="https://my.pitchbook.com/?c=10688-23" TargetMode="External"/><Relationship Id="rId24" Type="http://schemas.openxmlformats.org/officeDocument/2006/relationships/hyperlink" Target="https://my.pitchbook.com/?c=10688-23" TargetMode="External"/><Relationship Id="rId40" Type="http://schemas.openxmlformats.org/officeDocument/2006/relationships/hyperlink" Target="https://my.pitchbook.com/?c=10688-23" TargetMode="External"/><Relationship Id="rId45" Type="http://schemas.openxmlformats.org/officeDocument/2006/relationships/hyperlink" Target="https://my.pitchbook.com/?c=10688-23" TargetMode="External"/><Relationship Id="rId66" Type="http://schemas.openxmlformats.org/officeDocument/2006/relationships/hyperlink" Target="https://my.pitchbook.com/?c=10688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showGridLines="0" zoomScaleNormal="100" workbookViewId="0">
      <pane xSplit="3" ySplit="8" topLeftCell="AU9" activePane="bottomRight" state="frozen"/>
      <selection pane="topRight" activeCell="D1" sqref="D1"/>
      <selection pane="bottomLeft" activeCell="A9" sqref="A9"/>
      <selection pane="bottomRight" activeCell="C13" sqref="C13"/>
    </sheetView>
  </sheetViews>
  <sheetFormatPr defaultColWidth="8.85546875" defaultRowHeight="15" x14ac:dyDescent="0.25"/>
  <cols>
    <col min="1" max="1" width="1" style="1" customWidth="1"/>
    <col min="2" max="2" width="4" style="1" customWidth="1"/>
    <col min="3" max="3" width="57.85546875" style="1" customWidth="1"/>
    <col min="4" max="6" width="18.85546875" style="1" customWidth="1"/>
    <col min="7" max="39" width="18.85546875" style="1" customWidth="1" collapsed="1"/>
    <col min="40" max="40" width="17.42578125" style="1" customWidth="1" collapsed="1"/>
    <col min="41" max="41" width="14.42578125" style="1" customWidth="1" collapsed="1"/>
    <col min="42" max="42" width="17.140625" style="1" customWidth="1" collapsed="1"/>
    <col min="43" max="43" width="15.85546875" style="1" customWidth="1" collapsed="1"/>
    <col min="44" max="44" width="23.85546875" style="1" customWidth="1" collapsed="1"/>
    <col min="45" max="45" width="36.85546875" style="1" customWidth="1" collapsed="1"/>
    <col min="46" max="46" width="31.85546875" style="1" customWidth="1" collapsed="1"/>
    <col min="47" max="47" width="36.85546875" style="1" customWidth="1" collapsed="1"/>
    <col min="48" max="49" width="25.140625" style="1" customWidth="1" collapsed="1"/>
    <col min="50" max="50" width="16.140625" style="1" customWidth="1" collapsed="1"/>
    <col min="51" max="51" width="25.140625" style="1" customWidth="1" collapsed="1"/>
    <col min="52" max="55" width="30.5703125" style="1" customWidth="1" collapsed="1"/>
    <col min="56" max="56" width="21.5703125" style="1" customWidth="1" collapsed="1"/>
    <col min="57" max="57" width="10.85546875" style="1" customWidth="1" collapsed="1"/>
    <col min="58" max="58" width="1.85546875" style="1" customWidth="1" collapsed="1"/>
    <col min="59" max="1025" width="9.140625" style="1" customWidth="1" collapsed="1"/>
  </cols>
  <sheetData>
    <row r="1" spans="1:80" ht="6.4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</row>
    <row r="2" spans="1:80" ht="11.25" customHeight="1" x14ac:dyDescent="0.25">
      <c r="A2" s="29"/>
      <c r="BG2" s="30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</row>
    <row r="3" spans="1:80" ht="33.75" customHeight="1" x14ac:dyDescent="0.25">
      <c r="A3" s="29"/>
      <c r="C3" s="2"/>
      <c r="D3" s="143"/>
      <c r="E3" s="143"/>
      <c r="F3" s="143"/>
      <c r="G3" s="3"/>
      <c r="H3" s="4"/>
      <c r="I3" s="4"/>
      <c r="J3" s="4"/>
      <c r="BG3" s="30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</row>
    <row r="4" spans="1:80" x14ac:dyDescent="0.25">
      <c r="A4" s="29"/>
      <c r="C4" s="5" t="s">
        <v>0</v>
      </c>
      <c r="D4" s="144"/>
      <c r="E4" s="144"/>
      <c r="F4" s="144"/>
      <c r="G4" s="144"/>
      <c r="BG4" s="30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</row>
    <row r="5" spans="1:80" x14ac:dyDescent="0.25">
      <c r="A5" s="29"/>
      <c r="C5" s="5" t="s">
        <v>14</v>
      </c>
      <c r="D5" s="145"/>
      <c r="E5" s="145"/>
      <c r="F5" s="145"/>
      <c r="G5" s="145"/>
      <c r="BG5" s="30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</row>
    <row r="6" spans="1:80" ht="35.25" customHeight="1" x14ac:dyDescent="0.25">
      <c r="A6" s="29"/>
      <c r="C6" s="5" t="s">
        <v>15</v>
      </c>
      <c r="D6" s="146" t="s">
        <v>16</v>
      </c>
      <c r="E6" s="146"/>
      <c r="F6" s="146"/>
      <c r="G6" s="146"/>
      <c r="H6" s="146"/>
      <c r="I6" s="146"/>
      <c r="BG6" s="30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</row>
    <row r="7" spans="1:80" x14ac:dyDescent="0.25">
      <c r="A7" s="29"/>
      <c r="C7" t="s">
        <v>17</v>
      </c>
      <c r="BG7" s="30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</row>
    <row r="8" spans="1:80" ht="33.75" customHeight="1" x14ac:dyDescent="0.25">
      <c r="A8" s="29"/>
      <c r="C8" s="51" t="s">
        <v>18</v>
      </c>
      <c r="D8" s="51" t="s">
        <v>19</v>
      </c>
      <c r="E8" s="51" t="s">
        <v>20</v>
      </c>
      <c r="F8" s="51" t="s">
        <v>21</v>
      </c>
      <c r="G8" s="51" t="s">
        <v>22</v>
      </c>
      <c r="H8" s="51" t="s">
        <v>23</v>
      </c>
      <c r="I8" s="51" t="s">
        <v>24</v>
      </c>
      <c r="J8" s="51" t="s">
        <v>25</v>
      </c>
      <c r="K8" s="51" t="s">
        <v>26</v>
      </c>
      <c r="L8" s="51" t="s">
        <v>27</v>
      </c>
      <c r="M8" s="51" t="s">
        <v>28</v>
      </c>
      <c r="N8" s="51" t="s">
        <v>29</v>
      </c>
      <c r="O8" s="51" t="s">
        <v>30</v>
      </c>
      <c r="P8" s="51" t="s">
        <v>31</v>
      </c>
      <c r="Q8" s="51" t="s">
        <v>32</v>
      </c>
      <c r="R8" s="51" t="s">
        <v>33</v>
      </c>
      <c r="S8" s="51" t="s">
        <v>34</v>
      </c>
      <c r="T8" s="51" t="s">
        <v>35</v>
      </c>
      <c r="U8" s="51" t="s">
        <v>36</v>
      </c>
      <c r="V8" s="51" t="s">
        <v>37</v>
      </c>
      <c r="W8" s="51" t="s">
        <v>38</v>
      </c>
      <c r="X8" s="51" t="s">
        <v>39</v>
      </c>
      <c r="Y8" s="51" t="s">
        <v>40</v>
      </c>
      <c r="Z8" s="51" t="s">
        <v>41</v>
      </c>
      <c r="AA8" s="51" t="s">
        <v>42</v>
      </c>
      <c r="AB8" s="51" t="s">
        <v>43</v>
      </c>
      <c r="AC8" s="51" t="s">
        <v>44</v>
      </c>
      <c r="AD8" s="51" t="s">
        <v>45</v>
      </c>
      <c r="AE8" s="51" t="s">
        <v>46</v>
      </c>
      <c r="AF8" s="51" t="s">
        <v>47</v>
      </c>
      <c r="AG8" s="51" t="s">
        <v>48</v>
      </c>
      <c r="AH8" s="51" t="s">
        <v>49</v>
      </c>
      <c r="AI8" s="51" t="s">
        <v>50</v>
      </c>
      <c r="AJ8" s="51" t="s">
        <v>51</v>
      </c>
      <c r="AK8" s="51" t="s">
        <v>52</v>
      </c>
      <c r="AL8" s="51" t="s">
        <v>53</v>
      </c>
      <c r="AM8" s="51" t="s">
        <v>54</v>
      </c>
      <c r="AN8" s="51" t="s">
        <v>55</v>
      </c>
      <c r="AO8" s="51" t="s">
        <v>56</v>
      </c>
      <c r="AP8" s="51" t="s">
        <v>57</v>
      </c>
      <c r="AQ8" s="51" t="s">
        <v>58</v>
      </c>
      <c r="AR8" s="51" t="s">
        <v>59</v>
      </c>
      <c r="AS8" s="51" t="s">
        <v>60</v>
      </c>
      <c r="AT8" s="51" t="s">
        <v>61</v>
      </c>
      <c r="AU8" s="51" t="s">
        <v>62</v>
      </c>
      <c r="AV8" s="51" t="s">
        <v>63</v>
      </c>
      <c r="AW8" s="51" t="s">
        <v>64</v>
      </c>
      <c r="AX8" s="51" t="s">
        <v>65</v>
      </c>
      <c r="AY8" s="51" t="s">
        <v>66</v>
      </c>
      <c r="AZ8" s="51" t="s">
        <v>67</v>
      </c>
      <c r="BA8" s="51" t="s">
        <v>68</v>
      </c>
      <c r="BB8" s="51" t="s">
        <v>69</v>
      </c>
      <c r="BC8" s="51" t="s">
        <v>70</v>
      </c>
      <c r="BD8" s="51" t="s">
        <v>71</v>
      </c>
      <c r="BE8" s="51" t="s">
        <v>72</v>
      </c>
      <c r="BG8" s="30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</row>
    <row r="9" spans="1:80" x14ac:dyDescent="0.25">
      <c r="A9" s="29"/>
      <c r="C9" s="53" t="s">
        <v>73</v>
      </c>
      <c r="D9" s="54">
        <v>6.9</v>
      </c>
      <c r="E9" s="55">
        <v>25590000</v>
      </c>
      <c r="F9" s="56">
        <v>24476000</v>
      </c>
      <c r="G9" s="57">
        <v>18.2</v>
      </c>
      <c r="H9" s="58">
        <v>3.69</v>
      </c>
      <c r="I9" s="59">
        <v>9.7799999999999994</v>
      </c>
      <c r="J9" s="60">
        <v>-13.02</v>
      </c>
      <c r="K9" s="61">
        <v>51.03</v>
      </c>
      <c r="L9" s="62">
        <v>2.88</v>
      </c>
      <c r="M9" s="63">
        <v>55.89</v>
      </c>
      <c r="N9" s="64">
        <v>177281569</v>
      </c>
      <c r="O9" s="65">
        <v>-3.67</v>
      </c>
      <c r="P9" s="66">
        <v>12.43</v>
      </c>
      <c r="Q9" s="67">
        <v>-4.8</v>
      </c>
      <c r="R9" s="68">
        <v>7.73</v>
      </c>
      <c r="S9" s="69">
        <v>-29.89</v>
      </c>
      <c r="T9" s="70">
        <v>1.62</v>
      </c>
      <c r="U9" s="71">
        <v>134762791</v>
      </c>
      <c r="V9" s="72">
        <v>38.159999999999997</v>
      </c>
      <c r="W9" s="73">
        <v>-4.7699999999999996</v>
      </c>
      <c r="X9" s="74">
        <v>13.12</v>
      </c>
      <c r="Y9" s="75">
        <v>53787580</v>
      </c>
      <c r="Z9" s="76">
        <v>20.93</v>
      </c>
      <c r="AA9" s="77">
        <v>56.78</v>
      </c>
      <c r="AB9" s="78">
        <v>147211000</v>
      </c>
      <c r="AC9" s="79">
        <v>9676000</v>
      </c>
      <c r="AD9" s="80">
        <v>13019000</v>
      </c>
      <c r="AE9" s="81">
        <v>5.93</v>
      </c>
      <c r="AF9" s="82">
        <v>1.02</v>
      </c>
      <c r="AG9" s="83">
        <v>12</v>
      </c>
      <c r="AH9" s="84">
        <v>44561</v>
      </c>
      <c r="AI9" s="85">
        <v>244718000</v>
      </c>
      <c r="AJ9" s="86">
        <v>110391000</v>
      </c>
      <c r="AK9" s="87">
        <v>81715000</v>
      </c>
      <c r="AL9" s="88">
        <v>0.65</v>
      </c>
      <c r="AM9" s="89">
        <v>1.68</v>
      </c>
      <c r="AN9" s="90">
        <v>157000</v>
      </c>
      <c r="AO9" s="91" t="s">
        <v>74</v>
      </c>
      <c r="AP9" s="92" t="s">
        <v>75</v>
      </c>
      <c r="AQ9" s="93" t="s">
        <v>76</v>
      </c>
      <c r="AR9" s="94" t="s">
        <v>77</v>
      </c>
      <c r="AS9" s="95" t="s">
        <v>78</v>
      </c>
      <c r="AT9" s="96" t="s">
        <v>79</v>
      </c>
      <c r="AU9" s="97" t="s">
        <v>80</v>
      </c>
      <c r="AV9" s="98" t="s">
        <v>81</v>
      </c>
      <c r="AW9" s="99" t="s">
        <v>81</v>
      </c>
      <c r="AX9" s="100" t="s">
        <v>82</v>
      </c>
      <c r="AY9" s="101" t="s">
        <v>83</v>
      </c>
      <c r="AZ9" s="102" t="s">
        <v>84</v>
      </c>
      <c r="BA9" s="103" t="s">
        <v>85</v>
      </c>
      <c r="BB9" s="104" t="s">
        <v>86</v>
      </c>
      <c r="BC9" s="105" t="s">
        <v>87</v>
      </c>
      <c r="BD9" s="106" t="s">
        <v>88</v>
      </c>
      <c r="BE9" s="107">
        <v>44862</v>
      </c>
      <c r="BG9" s="30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</row>
    <row r="10" spans="1:80" x14ac:dyDescent="0.25">
      <c r="A10" s="29"/>
      <c r="BG10" s="30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</row>
    <row r="11" spans="1:80" x14ac:dyDescent="0.25">
      <c r="A11" s="29"/>
      <c r="C11" s="52" t="s">
        <v>89</v>
      </c>
      <c r="BE11" s="5" t="s">
        <v>90</v>
      </c>
      <c r="BG11" s="30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</row>
    <row r="12" spans="1:80" x14ac:dyDescent="0.25">
      <c r="A12" s="29"/>
      <c r="C12" s="52" t="s">
        <v>11</v>
      </c>
      <c r="BE12" s="5" t="s">
        <v>91</v>
      </c>
      <c r="BG12" s="30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</row>
    <row r="13" spans="1:80" ht="57" x14ac:dyDescent="0.25">
      <c r="A13" s="29"/>
      <c r="C13" s="52" t="s">
        <v>92</v>
      </c>
      <c r="BG13" s="30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</row>
    <row r="14" spans="1:80" x14ac:dyDescent="0.25">
      <c r="A14" s="29"/>
      <c r="BG14" s="30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</row>
    <row r="15" spans="1:80" x14ac:dyDescent="0.25">
      <c r="A15" s="27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</row>
    <row r="16" spans="1:80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</row>
    <row r="17" spans="1:80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</row>
    <row r="18" spans="1:80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</row>
    <row r="19" spans="1:80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</row>
    <row r="20" spans="1:80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</row>
    <row r="21" spans="1:80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</row>
    <row r="22" spans="1:80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</row>
    <row r="23" spans="1:80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</row>
    <row r="24" spans="1:80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</row>
    <row r="26" spans="1:80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</row>
    <row r="27" spans="1:80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</row>
    <row r="28" spans="1:80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</row>
    <row r="29" spans="1:80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</row>
    <row r="30" spans="1:80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</row>
    <row r="31" spans="1:80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</row>
    <row r="32" spans="1:80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</row>
    <row r="33" spans="1:80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</row>
    <row r="34" spans="1:80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</row>
    <row r="35" spans="1:80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</row>
    <row r="36" spans="1:80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</row>
    <row r="37" spans="1:80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</row>
    <row r="38" spans="1:80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</row>
    <row r="39" spans="1:80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</row>
    <row r="40" spans="1:80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</row>
    <row r="41" spans="1:80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</row>
    <row r="42" spans="1:80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</row>
    <row r="43" spans="1:80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</row>
    <row r="44" spans="1:80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</row>
    <row r="45" spans="1:80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</row>
  </sheetData>
  <mergeCells count="4">
    <mergeCell ref="D3:F3"/>
    <mergeCell ref="D4:G4"/>
    <mergeCell ref="D5:G5"/>
    <mergeCell ref="D6:I6"/>
  </mergeCells>
  <hyperlinks>
    <hyperlink ref="AV9" r:id="rId1" xr:uid="{00000000-0004-0000-0000-000000000000}"/>
    <hyperlink ref="AW9" r:id="rId2" xr:uid="{00000000-0004-0000-0000-000001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8"/>
  <sheetViews>
    <sheetView zoomScaleNormal="100" workbookViewId="0"/>
  </sheetViews>
  <sheetFormatPr defaultColWidth="8.85546875" defaultRowHeight="15" x14ac:dyDescent="0.25"/>
  <cols>
    <col min="1" max="1" width="2.85546875" style="9" customWidth="1"/>
    <col min="2" max="2" width="2" style="9" customWidth="1"/>
    <col min="3" max="3" width="19" style="9" customWidth="1"/>
    <col min="4" max="4" width="12.85546875" style="9" customWidth="1"/>
    <col min="5" max="6" width="9.140625" style="9" customWidth="1"/>
    <col min="7" max="7" width="2.5703125" style="9" customWidth="1"/>
    <col min="8" max="1025" width="9.140625" style="9" customWidth="1"/>
  </cols>
  <sheetData>
    <row r="1" spans="1:8" ht="15" customHeight="1" x14ac:dyDescent="0.25">
      <c r="B1" s="10"/>
      <c r="C1" s="10"/>
      <c r="D1" s="10"/>
      <c r="E1" s="10"/>
      <c r="F1" s="10"/>
      <c r="G1" s="10"/>
    </row>
    <row r="2" spans="1:8" ht="9" customHeight="1" x14ac:dyDescent="0.25">
      <c r="A2" s="11"/>
      <c r="B2" s="12"/>
      <c r="C2" s="13"/>
      <c r="D2" s="13"/>
      <c r="E2" s="13"/>
      <c r="F2" s="13"/>
      <c r="G2" s="14"/>
      <c r="H2" s="15"/>
    </row>
    <row r="3" spans="1:8" ht="15" customHeight="1" x14ac:dyDescent="0.25">
      <c r="A3" s="11"/>
      <c r="B3" s="16"/>
      <c r="C3" s="17" t="s">
        <v>11</v>
      </c>
      <c r="D3" s="17"/>
      <c r="E3" s="17"/>
      <c r="F3" s="17"/>
      <c r="G3" s="18"/>
      <c r="H3" s="15"/>
    </row>
    <row r="4" spans="1:8" ht="15" customHeight="1" x14ac:dyDescent="0.25">
      <c r="A4" s="11"/>
      <c r="B4" s="16"/>
      <c r="C4" s="17"/>
      <c r="D4" s="17"/>
      <c r="E4" s="17"/>
      <c r="F4" s="17"/>
      <c r="G4" s="18"/>
      <c r="H4" s="15"/>
    </row>
    <row r="5" spans="1:8" ht="15" customHeight="1" x14ac:dyDescent="0.25">
      <c r="A5" s="11"/>
      <c r="B5" s="16"/>
      <c r="C5" s="17"/>
      <c r="D5" s="17"/>
      <c r="E5" s="17"/>
      <c r="F5" s="17"/>
      <c r="G5" s="18"/>
      <c r="H5" s="15"/>
    </row>
    <row r="6" spans="1:8" ht="15" customHeight="1" x14ac:dyDescent="0.25">
      <c r="A6" s="11"/>
      <c r="B6" s="16"/>
      <c r="C6" s="17" t="s">
        <v>136</v>
      </c>
      <c r="D6" s="17"/>
      <c r="E6" s="19" t="s">
        <v>12</v>
      </c>
      <c r="F6" s="17"/>
      <c r="G6" s="18"/>
      <c r="H6" s="15"/>
    </row>
    <row r="7" spans="1:8" ht="9" customHeight="1" x14ac:dyDescent="0.25">
      <c r="A7" s="11"/>
      <c r="B7" s="20"/>
      <c r="C7" s="21"/>
      <c r="D7" s="21"/>
      <c r="E7" s="21"/>
      <c r="F7" s="21"/>
      <c r="G7" s="22"/>
      <c r="H7" s="15"/>
    </row>
    <row r="8" spans="1:8" ht="15" customHeight="1" x14ac:dyDescent="0.25">
      <c r="B8" s="23"/>
      <c r="C8" s="23"/>
      <c r="D8" s="23"/>
      <c r="E8" s="23"/>
      <c r="F8" s="23"/>
      <c r="G8" s="23"/>
    </row>
  </sheetData>
  <hyperlinks>
    <hyperlink ref="E6" r:id="rId1" xr:uid="{00000000-0004-0000-0900-000000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MK142"/>
  <sheetViews>
    <sheetView showGridLines="0" zoomScale="82" zoomScaleNormal="82" workbookViewId="0">
      <pane xSplit="3" ySplit="10" topLeftCell="G11" activePane="bottomRight" state="frozen"/>
      <selection pane="topRight" activeCell="D1" sqref="D1"/>
      <selection pane="bottomLeft" activeCell="A11" sqref="A11"/>
      <selection pane="bottomRight" activeCell="U85" sqref="U85"/>
    </sheetView>
  </sheetViews>
  <sheetFormatPr defaultColWidth="8.85546875" defaultRowHeight="15" outlineLevelRow="4" outlineLevelCol="1" x14ac:dyDescent="0.25"/>
  <cols>
    <col min="1" max="1" width="1" style="1" customWidth="1"/>
    <col min="2" max="2" width="2" style="1" customWidth="1"/>
    <col min="3" max="3" width="28.5703125" style="1" customWidth="1"/>
    <col min="4" max="4" width="20.28515625" style="1" bestFit="1" customWidth="1" outlineLevel="1"/>
    <col min="5" max="5" width="13.140625" style="1" bestFit="1" customWidth="1" outlineLevel="1"/>
    <col min="6" max="6" width="12.5703125" style="1" customWidth="1" outlineLevel="1"/>
    <col min="7" max="9" width="13.140625" style="1" bestFit="1" customWidth="1" outlineLevel="1"/>
    <col min="10" max="10" width="12.5703125" style="1" customWidth="1" outlineLevel="1"/>
    <col min="11" max="11" width="10.5703125" style="1" customWidth="1" outlineLevel="1" collapsed="1"/>
    <col min="12" max="12" width="2.5703125" style="1" customWidth="1"/>
    <col min="13" max="26" width="14.5703125" style="1" customWidth="1" collapsed="1"/>
    <col min="27" max="27" width="1.85546875" style="1" customWidth="1"/>
    <col min="28" max="1025" width="14.5703125" style="1" customWidth="1" collapsed="1"/>
  </cols>
  <sheetData>
    <row r="1" spans="1:49" ht="6.4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39.75" customHeight="1" x14ac:dyDescent="0.25">
      <c r="A2" s="29"/>
      <c r="AB2" s="30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 ht="18.75" customHeight="1" x14ac:dyDescent="0.25">
      <c r="A3" s="29"/>
      <c r="C3" s="6" t="s">
        <v>126</v>
      </c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21" x14ac:dyDescent="0.35">
      <c r="A4" s="29"/>
      <c r="C4" s="7" t="s">
        <v>94</v>
      </c>
      <c r="D4" s="42" t="s">
        <v>1</v>
      </c>
      <c r="E4" s="26"/>
      <c r="F4" s="26"/>
      <c r="G4" s="26"/>
      <c r="H4" s="26"/>
      <c r="I4" s="26"/>
      <c r="J4" s="26"/>
      <c r="K4" s="26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 x14ac:dyDescent="0.25">
      <c r="A5" s="29"/>
      <c r="C5" s="7" t="s">
        <v>95</v>
      </c>
      <c r="D5" s="147" t="s">
        <v>2</v>
      </c>
      <c r="E5" s="147" t="s">
        <v>3</v>
      </c>
      <c r="F5" s="147" t="s">
        <v>4</v>
      </c>
      <c r="G5" s="147" t="s">
        <v>5</v>
      </c>
      <c r="H5" s="147" t="s">
        <v>6</v>
      </c>
      <c r="I5" s="147" t="s">
        <v>7</v>
      </c>
      <c r="J5" s="147" t="s">
        <v>8</v>
      </c>
      <c r="K5" s="147" t="s">
        <v>9</v>
      </c>
      <c r="M5" s="48" t="s">
        <v>97</v>
      </c>
      <c r="N5" s="48" t="s">
        <v>100</v>
      </c>
      <c r="O5" s="48" t="s">
        <v>101</v>
      </c>
      <c r="P5" s="48" t="s">
        <v>102</v>
      </c>
      <c r="Q5" s="48" t="s">
        <v>104</v>
      </c>
      <c r="R5" s="48" t="s">
        <v>106</v>
      </c>
      <c r="S5" s="48" t="s">
        <v>108</v>
      </c>
      <c r="T5" s="48" t="s">
        <v>110</v>
      </c>
      <c r="U5" s="48" t="s">
        <v>112</v>
      </c>
      <c r="V5" s="48" t="s">
        <v>114</v>
      </c>
      <c r="W5" s="48" t="s">
        <v>116</v>
      </c>
      <c r="X5" s="48" t="s">
        <v>118</v>
      </c>
      <c r="Y5" s="48" t="s">
        <v>120</v>
      </c>
      <c r="Z5" s="48" t="s">
        <v>122</v>
      </c>
      <c r="AB5" s="3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 hidden="1" x14ac:dyDescent="0.25">
      <c r="A6" s="29"/>
      <c r="D6" s="147"/>
      <c r="E6" s="147"/>
      <c r="F6" s="147"/>
      <c r="G6" s="147"/>
      <c r="H6" s="147"/>
      <c r="I6" s="147"/>
      <c r="J6" s="147"/>
      <c r="K6" s="147"/>
      <c r="AB6" s="3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 ht="24" hidden="1" x14ac:dyDescent="0.25">
      <c r="A7" s="29"/>
      <c r="C7" s="8" t="s">
        <v>96</v>
      </c>
      <c r="D7" s="26"/>
      <c r="E7" s="26"/>
      <c r="F7" s="26"/>
      <c r="G7" s="26"/>
      <c r="H7" s="26"/>
      <c r="I7" s="26"/>
      <c r="J7" s="26"/>
      <c r="K7" s="26"/>
      <c r="AB7" s="3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 hidden="1" x14ac:dyDescent="0.25">
      <c r="A8" s="29"/>
      <c r="D8" s="26"/>
      <c r="E8" s="26"/>
      <c r="F8" s="26"/>
      <c r="G8" s="26"/>
      <c r="H8" s="26"/>
      <c r="I8" s="26"/>
      <c r="J8" s="26"/>
      <c r="K8" s="26"/>
      <c r="AB8" s="3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 hidden="1" x14ac:dyDescent="0.25">
      <c r="A9" s="29"/>
      <c r="D9" s="26"/>
      <c r="E9" s="26"/>
      <c r="F9" s="26"/>
      <c r="G9" s="26"/>
      <c r="H9" s="26"/>
      <c r="I9" s="26"/>
      <c r="J9" s="26"/>
      <c r="K9" s="26"/>
      <c r="M9" s="49" t="s">
        <v>98</v>
      </c>
      <c r="N9" s="49" t="s">
        <v>98</v>
      </c>
      <c r="O9" s="49" t="s">
        <v>98</v>
      </c>
      <c r="P9" s="49" t="s">
        <v>103</v>
      </c>
      <c r="Q9" s="49" t="s">
        <v>105</v>
      </c>
      <c r="R9" s="49" t="s">
        <v>107</v>
      </c>
      <c r="S9" s="49" t="s">
        <v>109</v>
      </c>
      <c r="T9" s="49" t="s">
        <v>111</v>
      </c>
      <c r="U9" s="49" t="s">
        <v>113</v>
      </c>
      <c r="V9" s="49" t="s">
        <v>115</v>
      </c>
      <c r="W9" s="49" t="s">
        <v>117</v>
      </c>
      <c r="X9" s="49" t="s">
        <v>119</v>
      </c>
      <c r="Y9" s="49" t="s">
        <v>121</v>
      </c>
      <c r="Z9" s="49" t="s">
        <v>123</v>
      </c>
      <c r="AB9" s="3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 hidden="1" x14ac:dyDescent="0.25">
      <c r="A10" s="29"/>
      <c r="D10" s="26"/>
      <c r="E10" s="26"/>
      <c r="F10" s="26"/>
      <c r="G10" s="26"/>
      <c r="H10" s="26"/>
      <c r="I10" s="26"/>
      <c r="J10" s="26"/>
      <c r="K10" s="26"/>
      <c r="M10" s="50" t="s">
        <v>99</v>
      </c>
      <c r="N10" s="50" t="s">
        <v>99</v>
      </c>
      <c r="O10" s="50" t="s">
        <v>99</v>
      </c>
      <c r="P10" s="50" t="s">
        <v>99</v>
      </c>
      <c r="Q10" s="50" t="s">
        <v>99</v>
      </c>
      <c r="R10" s="50" t="s">
        <v>99</v>
      </c>
      <c r="S10" s="50" t="s">
        <v>99</v>
      </c>
      <c r="T10" s="50" t="s">
        <v>99</v>
      </c>
      <c r="U10" s="50" t="s">
        <v>99</v>
      </c>
      <c r="V10" s="50" t="s">
        <v>99</v>
      </c>
      <c r="W10" s="50" t="s">
        <v>99</v>
      </c>
      <c r="X10" s="50" t="s">
        <v>99</v>
      </c>
      <c r="Y10" s="50" t="s">
        <v>99</v>
      </c>
      <c r="AB10" s="3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 x14ac:dyDescent="0.25">
      <c r="A11" s="29">
        <v>1</v>
      </c>
      <c r="C11" s="26" t="str">
        <f>IF(SUBTOTAL(109,A11)=A11,"Gross Profit","Gross Profit")</f>
        <v>Gross Profit</v>
      </c>
      <c r="D11" s="43" t="str">
        <f t="shared" ref="D11:D42" si="0">IF(COUNT(M11:Z11)&gt;0,MEDIAN(M11:Z11),"")</f>
        <v/>
      </c>
      <c r="E11" s="43" t="str">
        <f t="shared" ref="E11:E42" si="1">IF(COUNT(M11:Z11)&gt;0,AVERAGE(M11:Z11),"")</f>
        <v/>
      </c>
      <c r="F11" s="43" t="str">
        <f t="shared" ref="F11:F42" si="2">IF(COUNT(M11:Z11)&gt;0,MIN(M11:Z11),"")</f>
        <v/>
      </c>
      <c r="G11" s="43" t="str">
        <f t="shared" ref="G11:G42" si="3">IF(COUNT(M11:Z11)&gt;0,MAX(M11:Z11),"")</f>
        <v/>
      </c>
      <c r="H11" s="43" t="str">
        <f t="shared" ref="H11:H42" si="4">IF(COUNT(M11:Z11)&gt;0,QUARTILE(M11:Z11,1),"")</f>
        <v/>
      </c>
      <c r="I11" s="43" t="str">
        <f t="shared" ref="I11:I42" si="5">IF(COUNT(M11:Z11)&gt;0,QUARTILE(M11:Z11,3),"")</f>
        <v/>
      </c>
      <c r="J11" s="43" t="str">
        <f t="shared" ref="J11:J42" si="6">IF(COUNT(M11:Z11)&gt;1,STDEV(M11:Z11),"")</f>
        <v/>
      </c>
      <c r="K11" s="44" t="str">
        <f t="shared" ref="K11:K42" si="7">IF(COUNT(M11:Z11)&gt;1,STDEV(M11:Z11)/AVERAGE(M11:Z11),"")</f>
        <v/>
      </c>
      <c r="L11" s="43"/>
      <c r="M11" s="43" t="str">
        <f>IF(SUBTOTAL(109,A11)=A11,"",17878000)</f>
        <v/>
      </c>
      <c r="N11" s="43" t="str">
        <f>IF(SUBTOTAL(109,A11)=A11,"",13672000)</f>
        <v/>
      </c>
      <c r="O11" s="43" t="str">
        <f>IF(SUBTOTAL(109,A11)=A11,"",13972000)</f>
        <v/>
      </c>
      <c r="P11" s="43" t="str">
        <f>IF(SUBTOTAL(109,A11)=A11,"",14095000)</f>
        <v/>
      </c>
      <c r="Q11" s="43" t="str">
        <f>IF(SUBTOTAL(109,A11)=A11,"",18231000)</f>
        <v/>
      </c>
      <c r="R11" s="43" t="str">
        <f>IF(SUBTOTAL(109,A11)=A11,"",19031000)</f>
        <v/>
      </c>
      <c r="S11" s="43" t="str">
        <f>IF(SUBTOTAL(109,A11)=A11,"",17426000)</f>
        <v/>
      </c>
      <c r="T11" s="43" t="str">
        <f>IF(SUBTOTAL(109,A11)=A11,"",13808000)</f>
        <v/>
      </c>
      <c r="U11" s="43" t="str">
        <f>IF(SUBTOTAL(109,A11)=A11,"",18054000)</f>
        <v/>
      </c>
      <c r="V11" s="43" t="str">
        <f>IF(SUBTOTAL(109,A11)=A11,"",10813000)</f>
        <v/>
      </c>
      <c r="W11" s="43" t="str">
        <f>IF(SUBTOTAL(109,A11)=A11,"",19105000)</f>
        <v/>
      </c>
      <c r="X11" s="43" t="str">
        <f>IF(SUBTOTAL(109,A11)=A11,"",16672000)</f>
        <v/>
      </c>
      <c r="Y11" s="43" t="str">
        <f>IF(SUBTOTAL(109,A11)=A11,"",-7606000)</f>
        <v/>
      </c>
      <c r="Z11" s="43" t="str">
        <f>IF(SUBTOTAL(109,A11)=A11,"",-278000)</f>
        <v/>
      </c>
      <c r="AB11" s="3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outlineLevel="1" collapsed="1" x14ac:dyDescent="0.25">
      <c r="A12" s="29">
        <v>1</v>
      </c>
      <c r="C12" s="24" t="str">
        <f>IF(SUBTOTAL(109,A12)=A12,"    Revenue","    Total Revenue")</f>
        <v xml:space="preserve">    Revenue</v>
      </c>
      <c r="D12" s="32" t="str">
        <f t="shared" si="0"/>
        <v/>
      </c>
      <c r="E12" s="32" t="str">
        <f t="shared" si="1"/>
        <v/>
      </c>
      <c r="F12" s="32" t="str">
        <f t="shared" si="2"/>
        <v/>
      </c>
      <c r="G12" s="32" t="str">
        <f t="shared" si="3"/>
        <v/>
      </c>
      <c r="H12" s="32" t="str">
        <f t="shared" si="4"/>
        <v/>
      </c>
      <c r="I12" s="32" t="str">
        <f t="shared" si="5"/>
        <v/>
      </c>
      <c r="J12" s="32" t="str">
        <f t="shared" si="6"/>
        <v/>
      </c>
      <c r="K12" s="33" t="str">
        <f t="shared" si="7"/>
        <v/>
      </c>
      <c r="L12" s="37"/>
      <c r="M12" s="37" t="str">
        <f>IF(SUBTOTAL(109,A12)=A12,"",127004000)</f>
        <v/>
      </c>
      <c r="N12" s="37" t="str">
        <f>IF(SUBTOTAL(109,A12)=A12,"",122485000)</f>
        <v/>
      </c>
      <c r="O12" s="37" t="str">
        <f>IF(SUBTOTAL(109,A12)=A12,"",137237000)</f>
        <v/>
      </c>
      <c r="P12" s="37" t="str">
        <f>IF(SUBTOTAL(109,A12)=A12,"",147049000)</f>
        <v/>
      </c>
      <c r="Q12" s="37" t="str">
        <f>IF(SUBTOTAL(109,A12)=A12,"",145588000)</f>
        <v/>
      </c>
      <c r="R12" s="37" t="str">
        <f>IF(SUBTOTAL(109,A12)=A12,"",149184000)</f>
        <v/>
      </c>
      <c r="S12" s="37" t="str">
        <f>IF(SUBTOTAL(109,A12)=A12,"",135725000)</f>
        <v/>
      </c>
      <c r="T12" s="37" t="str">
        <f>IF(SUBTOTAL(109,A12)=A12,"",155929000)</f>
        <v/>
      </c>
      <c r="U12" s="37" t="str">
        <f>IF(SUBTOTAL(109,A12)=A12,"",155427000)</f>
        <v/>
      </c>
      <c r="V12" s="37" t="str">
        <f>IF(SUBTOTAL(109,A12)=A12,"",152256000)</f>
        <v/>
      </c>
      <c r="W12" s="37" t="str">
        <f>IF(SUBTOTAL(109,A12)=A12,"",150276000)</f>
        <v/>
      </c>
      <c r="X12" s="37" t="str">
        <f>IF(SUBTOTAL(109,A12)=A12,"",135592000)</f>
        <v/>
      </c>
      <c r="Y12" s="37" t="str">
        <f>IF(SUBTOTAL(109,A12)=A12,"",104589000)</f>
        <v/>
      </c>
      <c r="Z12" s="37" t="str">
        <f>IF(SUBTOTAL(109,A12)=A12,"",148979000)</f>
        <v/>
      </c>
      <c r="AB12" s="30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hidden="1" outlineLevel="2" x14ac:dyDescent="0.25">
      <c r="A13" s="29">
        <v>1</v>
      </c>
      <c r="C13" s="24" t="str">
        <f>"        Business Revenue"</f>
        <v xml:space="preserve">        Business Revenue</v>
      </c>
      <c r="D13" s="32">
        <f t="shared" si="0"/>
        <v>146318500</v>
      </c>
      <c r="E13" s="32">
        <f t="shared" si="1"/>
        <v>140522857.14285713</v>
      </c>
      <c r="F13" s="32">
        <f t="shared" si="2"/>
        <v>104589000</v>
      </c>
      <c r="G13" s="32">
        <f t="shared" si="3"/>
        <v>155929000</v>
      </c>
      <c r="H13" s="32">
        <f t="shared" si="4"/>
        <v>135625250</v>
      </c>
      <c r="I13" s="32">
        <f t="shared" si="5"/>
        <v>150003000</v>
      </c>
      <c r="J13" s="32">
        <f t="shared" si="6"/>
        <v>14582752.271919588</v>
      </c>
      <c r="K13" s="33">
        <f t="shared" si="7"/>
        <v>0.10377494856295581</v>
      </c>
      <c r="L13" s="37"/>
      <c r="M13" s="37">
        <v>127004000</v>
      </c>
      <c r="N13" s="37">
        <v>122485000</v>
      </c>
      <c r="O13" s="37">
        <v>137237000</v>
      </c>
      <c r="P13" s="37">
        <v>147049000</v>
      </c>
      <c r="Q13" s="37">
        <v>145588000</v>
      </c>
      <c r="R13" s="37">
        <v>149184000</v>
      </c>
      <c r="S13" s="37">
        <v>135725000</v>
      </c>
      <c r="T13" s="37">
        <v>155929000</v>
      </c>
      <c r="U13" s="37">
        <v>155427000</v>
      </c>
      <c r="V13" s="37">
        <v>152256000</v>
      </c>
      <c r="W13" s="37">
        <v>150276000</v>
      </c>
      <c r="X13" s="37">
        <v>135592000</v>
      </c>
      <c r="Y13" s="37">
        <v>104589000</v>
      </c>
      <c r="Z13" s="37">
        <v>148979000</v>
      </c>
      <c r="AB13" s="30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 hidden="1" outlineLevel="2" x14ac:dyDescent="0.25">
      <c r="A14" s="29">
        <v>1</v>
      </c>
      <c r="C14" s="25" t="str">
        <f>"        Total Revenue"</f>
        <v xml:space="preserve">        Total Revenue</v>
      </c>
      <c r="D14" s="45">
        <f t="shared" si="0"/>
        <v>146318500</v>
      </c>
      <c r="E14" s="45">
        <f t="shared" si="1"/>
        <v>140522857.14285713</v>
      </c>
      <c r="F14" s="45">
        <f t="shared" si="2"/>
        <v>104589000</v>
      </c>
      <c r="G14" s="45">
        <f t="shared" si="3"/>
        <v>155929000</v>
      </c>
      <c r="H14" s="45">
        <f t="shared" si="4"/>
        <v>135625250</v>
      </c>
      <c r="I14" s="45">
        <f t="shared" si="5"/>
        <v>150003000</v>
      </c>
      <c r="J14" s="45">
        <f t="shared" si="6"/>
        <v>14582752.271919588</v>
      </c>
      <c r="K14" s="46">
        <f t="shared" si="7"/>
        <v>0.10377494856295581</v>
      </c>
      <c r="L14" s="47"/>
      <c r="M14" s="47">
        <v>127004000</v>
      </c>
      <c r="N14" s="47">
        <v>122485000</v>
      </c>
      <c r="O14" s="47">
        <v>137237000</v>
      </c>
      <c r="P14" s="47">
        <v>147049000</v>
      </c>
      <c r="Q14" s="47">
        <v>145588000</v>
      </c>
      <c r="R14" s="47">
        <v>149184000</v>
      </c>
      <c r="S14" s="47">
        <v>135725000</v>
      </c>
      <c r="T14" s="47">
        <v>155929000</v>
      </c>
      <c r="U14" s="47">
        <v>155427000</v>
      </c>
      <c r="V14" s="47">
        <v>152256000</v>
      </c>
      <c r="W14" s="47">
        <v>150276000</v>
      </c>
      <c r="X14" s="47">
        <v>135592000</v>
      </c>
      <c r="Y14" s="47">
        <v>104589000</v>
      </c>
      <c r="Z14" s="47">
        <v>148979000</v>
      </c>
      <c r="AB14" s="30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 outlineLevel="1" x14ac:dyDescent="0.25">
      <c r="A15" s="29">
        <v>1</v>
      </c>
      <c r="C15" s="24" t="str">
        <f>IF(SUBTOTAL(109,A15)=A15,"    Cost of Revenue","    Cost of Revenue")</f>
        <v xml:space="preserve">    Cost of Revenue</v>
      </c>
      <c r="D15" s="32" t="str">
        <f t="shared" si="0"/>
        <v/>
      </c>
      <c r="E15" s="32" t="str">
        <f t="shared" si="1"/>
        <v/>
      </c>
      <c r="F15" s="32" t="str">
        <f t="shared" si="2"/>
        <v/>
      </c>
      <c r="G15" s="32" t="str">
        <f t="shared" si="3"/>
        <v/>
      </c>
      <c r="H15" s="32" t="str">
        <f t="shared" si="4"/>
        <v/>
      </c>
      <c r="I15" s="32" t="str">
        <f t="shared" si="5"/>
        <v/>
      </c>
      <c r="J15" s="32" t="str">
        <f t="shared" si="6"/>
        <v/>
      </c>
      <c r="K15" s="33" t="str">
        <f t="shared" si="7"/>
        <v/>
      </c>
      <c r="L15" s="37"/>
      <c r="M15" s="37" t="str">
        <f>IF(SUBTOTAL(109,A15)=A15,"",109126000)</f>
        <v/>
      </c>
      <c r="N15" s="37" t="str">
        <f>IF(SUBTOTAL(109,A15)=A15,"",108813000)</f>
        <v/>
      </c>
      <c r="O15" s="37" t="str">
        <f>IF(SUBTOTAL(109,A15)=A15,"",123265000)</f>
        <v/>
      </c>
      <c r="P15" s="37" t="str">
        <f>IF(SUBTOTAL(109,A15)=A15,"",132954000)</f>
        <v/>
      </c>
      <c r="Q15" s="37" t="str">
        <f>IF(SUBTOTAL(109,A15)=A15,"",127357000)</f>
        <v/>
      </c>
      <c r="R15" s="37" t="str">
        <f>IF(SUBTOTAL(109,A15)=A15,"",130153000)</f>
        <v/>
      </c>
      <c r="S15" s="37" t="str">
        <f>IF(SUBTOTAL(109,A15)=A15,"",118299000)</f>
        <v/>
      </c>
      <c r="T15" s="37" t="str">
        <f>IF(SUBTOTAL(109,A15)=A15,"",142121000)</f>
        <v/>
      </c>
      <c r="U15" s="37" t="str">
        <f>IF(SUBTOTAL(109,A15)=A15,"",137373000)</f>
        <v/>
      </c>
      <c r="V15" s="37" t="str">
        <f>IF(SUBTOTAL(109,A15)=A15,"",141443000)</f>
        <v/>
      </c>
      <c r="W15" s="37" t="str">
        <f>IF(SUBTOTAL(109,A15)=A15,"",131171000)</f>
        <v/>
      </c>
      <c r="X15" s="37" t="str">
        <f>IF(SUBTOTAL(109,A15)=A15,"",118920000)</f>
        <v/>
      </c>
      <c r="Y15" s="37" t="str">
        <f>IF(SUBTOTAL(109,A15)=A15,"",112195000)</f>
        <v/>
      </c>
      <c r="Z15" s="37" t="str">
        <f>IF(SUBTOTAL(109,A15)=A15,"",149257000)</f>
        <v/>
      </c>
      <c r="AB15" s="3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outlineLevel="2" x14ac:dyDescent="0.25">
      <c r="A16" s="29">
        <v>1</v>
      </c>
      <c r="C16" s="24" t="str">
        <f>"        Cost of Goods and Services"</f>
        <v xml:space="preserve">        Cost of Goods and Services</v>
      </c>
      <c r="D16" s="32">
        <f t="shared" si="0"/>
        <v>128755000</v>
      </c>
      <c r="E16" s="32">
        <f t="shared" si="1"/>
        <v>126749583.33333333</v>
      </c>
      <c r="F16" s="32">
        <f t="shared" si="2"/>
        <v>108813000</v>
      </c>
      <c r="G16" s="32">
        <f t="shared" si="3"/>
        <v>142121000</v>
      </c>
      <c r="H16" s="32">
        <f t="shared" si="4"/>
        <v>118764750</v>
      </c>
      <c r="I16" s="32">
        <f t="shared" si="5"/>
        <v>134058750</v>
      </c>
      <c r="J16" s="32">
        <f t="shared" si="6"/>
        <v>11330564.468473865</v>
      </c>
      <c r="K16" s="33">
        <f t="shared" si="7"/>
        <v>8.9393307421580206E-2</v>
      </c>
      <c r="L16" s="37"/>
      <c r="M16" s="37">
        <v>109126000</v>
      </c>
      <c r="N16" s="37">
        <v>108813000</v>
      </c>
      <c r="O16" s="37">
        <v>123265000</v>
      </c>
      <c r="P16" s="37">
        <v>132954000</v>
      </c>
      <c r="Q16" s="37">
        <v>127357000</v>
      </c>
      <c r="R16" s="37">
        <v>130153000</v>
      </c>
      <c r="S16" s="37">
        <v>118299000</v>
      </c>
      <c r="T16" s="37">
        <v>142121000</v>
      </c>
      <c r="U16" s="37">
        <v>137373000</v>
      </c>
      <c r="V16" s="37">
        <v>141443000</v>
      </c>
      <c r="W16" s="37">
        <v>131171000</v>
      </c>
      <c r="X16" s="37">
        <v>118920000</v>
      </c>
      <c r="Y16" s="37" t="s">
        <v>124</v>
      </c>
      <c r="Z16" s="37" t="s">
        <v>124</v>
      </c>
      <c r="AB16" s="3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outlineLevel="2" x14ac:dyDescent="0.25">
      <c r="A17" s="29">
        <v>1</v>
      </c>
      <c r="C17" s="25" t="str">
        <f>"        Total Cost of Revenue"</f>
        <v xml:space="preserve">        Total Cost of Revenue</v>
      </c>
      <c r="D17" s="45">
        <f t="shared" si="0"/>
        <v>128755000</v>
      </c>
      <c r="E17" s="45">
        <f t="shared" si="1"/>
        <v>127317642.85714285</v>
      </c>
      <c r="F17" s="45">
        <f t="shared" si="2"/>
        <v>108813000</v>
      </c>
      <c r="G17" s="45">
        <f t="shared" si="3"/>
        <v>149257000</v>
      </c>
      <c r="H17" s="45">
        <f t="shared" si="4"/>
        <v>118454250</v>
      </c>
      <c r="I17" s="45">
        <f t="shared" si="5"/>
        <v>136268250</v>
      </c>
      <c r="J17" s="45">
        <f t="shared" si="6"/>
        <v>12788518.351703927</v>
      </c>
      <c r="K17" s="46">
        <f t="shared" si="7"/>
        <v>0.10044576748921846</v>
      </c>
      <c r="L17" s="47"/>
      <c r="M17" s="47">
        <v>109126000</v>
      </c>
      <c r="N17" s="47">
        <v>108813000</v>
      </c>
      <c r="O17" s="47">
        <v>123265000</v>
      </c>
      <c r="P17" s="47">
        <v>132954000</v>
      </c>
      <c r="Q17" s="47">
        <v>127357000</v>
      </c>
      <c r="R17" s="47">
        <v>130153000</v>
      </c>
      <c r="S17" s="47">
        <v>118299000</v>
      </c>
      <c r="T17" s="47">
        <v>142121000</v>
      </c>
      <c r="U17" s="47">
        <v>137373000</v>
      </c>
      <c r="V17" s="47">
        <v>141443000</v>
      </c>
      <c r="W17" s="47">
        <v>131171000</v>
      </c>
      <c r="X17" s="47">
        <v>118920000</v>
      </c>
      <c r="Y17" s="47">
        <v>112195000</v>
      </c>
      <c r="Z17" s="47">
        <v>149257000</v>
      </c>
      <c r="AB17" s="30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outlineLevel="1" x14ac:dyDescent="0.25">
      <c r="A18" s="29">
        <v>1</v>
      </c>
      <c r="C18" s="26" t="str">
        <f>"    Total Gross Profit"</f>
        <v xml:space="preserve">    Total Gross Profit</v>
      </c>
      <c r="D18" s="45">
        <f t="shared" si="0"/>
        <v>15383500</v>
      </c>
      <c r="E18" s="45">
        <f t="shared" si="1"/>
        <v>13205214.285714285</v>
      </c>
      <c r="F18" s="45">
        <f t="shared" si="2"/>
        <v>-7606000</v>
      </c>
      <c r="G18" s="45">
        <f t="shared" si="3"/>
        <v>19105000</v>
      </c>
      <c r="H18" s="45">
        <f t="shared" si="4"/>
        <v>13706000</v>
      </c>
      <c r="I18" s="45">
        <f t="shared" si="5"/>
        <v>18010000</v>
      </c>
      <c r="J18" s="45">
        <f t="shared" si="6"/>
        <v>7804201.8877266124</v>
      </c>
      <c r="K18" s="46">
        <f t="shared" si="7"/>
        <v>0.59099396033045704</v>
      </c>
      <c r="L18" s="45"/>
      <c r="M18" s="45">
        <v>17878000</v>
      </c>
      <c r="N18" s="45">
        <v>13672000</v>
      </c>
      <c r="O18" s="45">
        <v>13972000</v>
      </c>
      <c r="P18" s="45">
        <v>14095000</v>
      </c>
      <c r="Q18" s="45">
        <v>18231000</v>
      </c>
      <c r="R18" s="45">
        <v>19031000</v>
      </c>
      <c r="S18" s="45">
        <v>17426000</v>
      </c>
      <c r="T18" s="45">
        <v>13808000</v>
      </c>
      <c r="U18" s="45">
        <v>18054000</v>
      </c>
      <c r="V18" s="45">
        <v>10813000</v>
      </c>
      <c r="W18" s="45">
        <v>19105000</v>
      </c>
      <c r="X18" s="45">
        <v>16672000</v>
      </c>
      <c r="Y18" s="45">
        <v>-7606000</v>
      </c>
      <c r="Z18" s="45">
        <v>-278000</v>
      </c>
      <c r="AB18" s="3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collapsed="1" x14ac:dyDescent="0.25">
      <c r="A19" s="29">
        <v>1</v>
      </c>
      <c r="C19" s="26" t="str">
        <f>IF(SUBTOTAL(109,A19)=A19,"Operating (Income)/Expenses","Operating (Income)/Expenses")</f>
        <v>Operating (Income)/Expenses</v>
      </c>
      <c r="D19" s="43" t="str">
        <f t="shared" si="0"/>
        <v/>
      </c>
      <c r="E19" s="43" t="str">
        <f t="shared" si="1"/>
        <v/>
      </c>
      <c r="F19" s="43" t="str">
        <f t="shared" si="2"/>
        <v/>
      </c>
      <c r="G19" s="43" t="str">
        <f t="shared" si="3"/>
        <v/>
      </c>
      <c r="H19" s="43" t="str">
        <f t="shared" si="4"/>
        <v/>
      </c>
      <c r="I19" s="43" t="str">
        <f t="shared" si="5"/>
        <v/>
      </c>
      <c r="J19" s="43" t="str">
        <f t="shared" si="6"/>
        <v/>
      </c>
      <c r="K19" s="44" t="str">
        <f t="shared" si="7"/>
        <v/>
      </c>
      <c r="L19" s="43"/>
      <c r="M19" s="43" t="str">
        <f>IF(SUBTOTAL(109,A19)=A19,"",8554000)</f>
        <v/>
      </c>
      <c r="N19" s="43" t="str">
        <f>IF(SUBTOTAL(109,A19)=A19,"",7038000)</f>
        <v/>
      </c>
      <c r="O19" s="43" t="str">
        <f>IF(SUBTOTAL(109,A19)=A19,"",8491000)</f>
        <v/>
      </c>
      <c r="P19" s="43" t="str">
        <f>IF(SUBTOTAL(109,A19)=A19,"",9650000)</f>
        <v/>
      </c>
      <c r="Q19" s="43" t="str">
        <f>IF(SUBTOTAL(109,A19)=A19,"",9570000)</f>
        <v/>
      </c>
      <c r="R19" s="43" t="str">
        <f>IF(SUBTOTAL(109,A19)=A19,"",10345000)</f>
        <v/>
      </c>
      <c r="S19" s="43" t="str">
        <f>IF(SUBTOTAL(109,A19)=A19,"",11888000)</f>
        <v/>
      </c>
      <c r="T19" s="43" t="str">
        <f>IF(SUBTOTAL(109,A19)=A19,"",12158000)</f>
        <v/>
      </c>
      <c r="U19" s="43" t="str">
        <f>IF(SUBTOTAL(109,A19)=A19,"",12382000)</f>
        <v/>
      </c>
      <c r="V19" s="43" t="str">
        <f>IF(SUBTOTAL(109,A19)=A19,"",14031000)</f>
        <v/>
      </c>
      <c r="W19" s="43" t="str">
        <f>IF(SUBTOTAL(109,A19)=A19,"",12163000)</f>
        <v/>
      </c>
      <c r="X19" s="43" t="str">
        <f>IF(SUBTOTAL(109,A19)=A19,"",11564000)</f>
        <v/>
      </c>
      <c r="Y19" s="43" t="str">
        <f>IF(SUBTOTAL(109,A19)=A19,"",13417000)</f>
        <v/>
      </c>
      <c r="Z19" s="43" t="str">
        <f>IF(SUBTOTAL(109,A19)=A19,"",20342000)</f>
        <v/>
      </c>
      <c r="AB19" s="3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hidden="1" outlineLevel="1" collapsed="1" x14ac:dyDescent="0.25">
      <c r="A20" s="29">
        <v>1</v>
      </c>
      <c r="C20" s="24" t="str">
        <f>IF(SUBTOTAL(109,A20)=A20,"    Selling, General and Administrative Expenses","    Selling, General and Administrative Expenses")</f>
        <v xml:space="preserve">    Selling, General and Administrative Expenses</v>
      </c>
      <c r="D20" s="32">
        <f t="shared" si="0"/>
        <v>12158000</v>
      </c>
      <c r="E20" s="32">
        <f t="shared" si="1"/>
        <v>11936636.363636363</v>
      </c>
      <c r="F20" s="32">
        <f t="shared" si="2"/>
        <v>9570000</v>
      </c>
      <c r="G20" s="32">
        <f t="shared" si="3"/>
        <v>14253000</v>
      </c>
      <c r="H20" s="32">
        <f t="shared" si="4"/>
        <v>10895500</v>
      </c>
      <c r="I20" s="32">
        <f t="shared" si="5"/>
        <v>12899500</v>
      </c>
      <c r="J20" s="32">
        <f t="shared" si="6"/>
        <v>1607732.4573900504</v>
      </c>
      <c r="K20" s="33">
        <f t="shared" si="7"/>
        <v>0.13468890300519071</v>
      </c>
      <c r="L20" s="37"/>
      <c r="M20" s="37" t="str">
        <f>IF(SUBTOTAL(109,A20)=A20,"","")</f>
        <v/>
      </c>
      <c r="N20" s="37" t="str">
        <f>IF(SUBTOTAL(109,A20)=A20,"","")</f>
        <v/>
      </c>
      <c r="O20" s="37" t="str">
        <f>IF(SUBTOTAL(109,A20)=A20,"","")</f>
        <v/>
      </c>
      <c r="P20" s="37">
        <f>IF(SUBTOTAL(109,A20)=A20,"",9650000)</f>
        <v>9650000</v>
      </c>
      <c r="Q20" s="37">
        <f>IF(SUBTOTAL(109,A20)=A20,"",9570000)</f>
        <v>9570000</v>
      </c>
      <c r="R20" s="37">
        <f>IF(SUBTOTAL(109,A20)=A20,"",10345000)</f>
        <v>10345000</v>
      </c>
      <c r="S20" s="37">
        <f>IF(SUBTOTAL(109,A20)=A20,"",11888000)</f>
        <v>11888000</v>
      </c>
      <c r="T20" s="37">
        <f>IF(SUBTOTAL(109,A20)=A20,"",12158000)</f>
        <v>12158000</v>
      </c>
      <c r="U20" s="37">
        <f>IF(SUBTOTAL(109,A20)=A20,"",12382000)</f>
        <v>12382000</v>
      </c>
      <c r="V20" s="37">
        <f>IF(SUBTOTAL(109,A20)=A20,"",14031000)</f>
        <v>14031000</v>
      </c>
      <c r="W20" s="37">
        <f>IF(SUBTOTAL(109,A20)=A20,"",12163000)</f>
        <v>12163000</v>
      </c>
      <c r="X20" s="37">
        <f>IF(SUBTOTAL(109,A20)=A20,"",11446000)</f>
        <v>11446000</v>
      </c>
      <c r="Y20" s="37">
        <f>IF(SUBTOTAL(109,A20)=A20,"",13417000)</f>
        <v>13417000</v>
      </c>
      <c r="Z20" s="37">
        <f>IF(SUBTOTAL(109,A20)=A20,"",14253000)</f>
        <v>14253000</v>
      </c>
      <c r="AB20" s="30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hidden="1" outlineLevel="2" x14ac:dyDescent="0.25">
      <c r="A21" s="29">
        <v>1</v>
      </c>
      <c r="C21" s="24" t="str">
        <f>"        Staff Costs"</f>
        <v xml:space="preserve">        Staff Costs</v>
      </c>
      <c r="D21" s="32">
        <f t="shared" si="0"/>
        <v>0</v>
      </c>
      <c r="E21" s="32">
        <f t="shared" si="1"/>
        <v>0</v>
      </c>
      <c r="F21" s="32">
        <f t="shared" si="2"/>
        <v>0</v>
      </c>
      <c r="G21" s="32">
        <f t="shared" si="3"/>
        <v>0</v>
      </c>
      <c r="H21" s="32">
        <f t="shared" si="4"/>
        <v>0</v>
      </c>
      <c r="I21" s="32">
        <f t="shared" si="5"/>
        <v>0</v>
      </c>
      <c r="J21" s="32" t="str">
        <f t="shared" si="6"/>
        <v/>
      </c>
      <c r="K21" s="33" t="str">
        <f t="shared" si="7"/>
        <v/>
      </c>
      <c r="L21" s="37"/>
      <c r="M21" s="37" t="s">
        <v>124</v>
      </c>
      <c r="N21" s="37" t="s">
        <v>124</v>
      </c>
      <c r="O21" s="37" t="s">
        <v>124</v>
      </c>
      <c r="P21" s="37" t="s">
        <v>124</v>
      </c>
      <c r="Q21" s="37" t="s">
        <v>124</v>
      </c>
      <c r="R21" s="37" t="s">
        <v>124</v>
      </c>
      <c r="S21" s="37" t="s">
        <v>124</v>
      </c>
      <c r="T21" s="37" t="s">
        <v>124</v>
      </c>
      <c r="U21" s="37" t="s">
        <v>124</v>
      </c>
      <c r="V21" s="37" t="s">
        <v>124</v>
      </c>
      <c r="W21" s="37" t="s">
        <v>124</v>
      </c>
      <c r="X21" s="37" t="s">
        <v>124</v>
      </c>
      <c r="Y21" s="37" t="s">
        <v>124</v>
      </c>
      <c r="Z21" s="37">
        <v>0</v>
      </c>
      <c r="AB21" s="30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hidden="1" outlineLevel="2" x14ac:dyDescent="0.25">
      <c r="A22" s="29">
        <v>1</v>
      </c>
      <c r="C22" s="24" t="str">
        <f>"        General and Administrative Expenses"</f>
        <v xml:space="preserve">        General and Administrative Expenses</v>
      </c>
      <c r="D22" s="32">
        <f t="shared" si="0"/>
        <v>14253000</v>
      </c>
      <c r="E22" s="32">
        <f t="shared" si="1"/>
        <v>14253000</v>
      </c>
      <c r="F22" s="32">
        <f t="shared" si="2"/>
        <v>14253000</v>
      </c>
      <c r="G22" s="32">
        <f t="shared" si="3"/>
        <v>14253000</v>
      </c>
      <c r="H22" s="32">
        <f t="shared" si="4"/>
        <v>14253000</v>
      </c>
      <c r="I22" s="32">
        <f t="shared" si="5"/>
        <v>14253000</v>
      </c>
      <c r="J22" s="32" t="str">
        <f t="shared" si="6"/>
        <v/>
      </c>
      <c r="K22" s="33" t="str">
        <f t="shared" si="7"/>
        <v/>
      </c>
      <c r="L22" s="37"/>
      <c r="M22" s="37" t="s">
        <v>124</v>
      </c>
      <c r="N22" s="37" t="s">
        <v>124</v>
      </c>
      <c r="O22" s="37" t="s">
        <v>124</v>
      </c>
      <c r="P22" s="37" t="s">
        <v>124</v>
      </c>
      <c r="Q22" s="37" t="s">
        <v>124</v>
      </c>
      <c r="R22" s="37" t="s">
        <v>124</v>
      </c>
      <c r="S22" s="37" t="s">
        <v>124</v>
      </c>
      <c r="T22" s="37" t="s">
        <v>124</v>
      </c>
      <c r="U22" s="37" t="s">
        <v>124</v>
      </c>
      <c r="V22" s="37" t="s">
        <v>124</v>
      </c>
      <c r="W22" s="37" t="s">
        <v>124</v>
      </c>
      <c r="X22" s="37" t="s">
        <v>124</v>
      </c>
      <c r="Y22" s="37" t="s">
        <v>124</v>
      </c>
      <c r="Z22" s="37">
        <v>14253000</v>
      </c>
      <c r="AB22" s="30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hidden="1" outlineLevel="2" x14ac:dyDescent="0.25">
      <c r="A23" s="29">
        <v>1</v>
      </c>
      <c r="C23" s="25" t="str">
        <f>"        Total Selling, General and Administrative Expenses"</f>
        <v xml:space="preserve">        Total Selling, General and Administrative Expenses</v>
      </c>
      <c r="D23" s="45">
        <f t="shared" si="0"/>
        <v>12158000</v>
      </c>
      <c r="E23" s="45">
        <f t="shared" si="1"/>
        <v>11936636.363636363</v>
      </c>
      <c r="F23" s="45">
        <f t="shared" si="2"/>
        <v>9570000</v>
      </c>
      <c r="G23" s="45">
        <f t="shared" si="3"/>
        <v>14253000</v>
      </c>
      <c r="H23" s="45">
        <f t="shared" si="4"/>
        <v>10895500</v>
      </c>
      <c r="I23" s="45">
        <f t="shared" si="5"/>
        <v>12899500</v>
      </c>
      <c r="J23" s="45">
        <f t="shared" si="6"/>
        <v>1607732.4573900504</v>
      </c>
      <c r="K23" s="46">
        <f t="shared" si="7"/>
        <v>0.13468890300519071</v>
      </c>
      <c r="L23" s="47"/>
      <c r="M23" s="47" t="s">
        <v>124</v>
      </c>
      <c r="N23" s="47" t="s">
        <v>124</v>
      </c>
      <c r="O23" s="47" t="s">
        <v>124</v>
      </c>
      <c r="P23" s="47">
        <v>9650000</v>
      </c>
      <c r="Q23" s="47">
        <v>9570000</v>
      </c>
      <c r="R23" s="47">
        <v>10345000</v>
      </c>
      <c r="S23" s="47">
        <v>11888000</v>
      </c>
      <c r="T23" s="47">
        <v>12158000</v>
      </c>
      <c r="U23" s="47">
        <v>12382000</v>
      </c>
      <c r="V23" s="47">
        <v>14031000</v>
      </c>
      <c r="W23" s="47">
        <v>12163000</v>
      </c>
      <c r="X23" s="47">
        <v>11446000</v>
      </c>
      <c r="Y23" s="47">
        <v>13417000</v>
      </c>
      <c r="Z23" s="47">
        <v>14253000</v>
      </c>
      <c r="AB23" s="30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hidden="1" outlineLevel="1" x14ac:dyDescent="0.25">
      <c r="A24" s="29">
        <v>1</v>
      </c>
      <c r="C24" s="24" t="str">
        <f>IF(SUBTOTAL(109,A24)=A24,"    Depreciation, Amortization and Depletion","    Depreciation, Amortization and Depletion")</f>
        <v xml:space="preserve">    Depreciation, Amortization and Depletion</v>
      </c>
      <c r="D24" s="32">
        <f t="shared" si="0"/>
        <v>749000</v>
      </c>
      <c r="E24" s="32">
        <f t="shared" si="1"/>
        <v>749000</v>
      </c>
      <c r="F24" s="32">
        <f t="shared" si="2"/>
        <v>749000</v>
      </c>
      <c r="G24" s="32">
        <f t="shared" si="3"/>
        <v>749000</v>
      </c>
      <c r="H24" s="32">
        <f t="shared" si="4"/>
        <v>749000</v>
      </c>
      <c r="I24" s="32">
        <f t="shared" si="5"/>
        <v>749000</v>
      </c>
      <c r="J24" s="32" t="str">
        <f t="shared" si="6"/>
        <v/>
      </c>
      <c r="K24" s="33" t="str">
        <f t="shared" si="7"/>
        <v/>
      </c>
      <c r="L24" s="37"/>
      <c r="M24" s="37" t="str">
        <f>IF(SUBTOTAL(109,A24)=A24,"","")</f>
        <v/>
      </c>
      <c r="N24" s="37" t="str">
        <f>IF(SUBTOTAL(109,A24)=A24,"","")</f>
        <v/>
      </c>
      <c r="O24" s="37" t="str">
        <f>IF(SUBTOTAL(109,A24)=A24,"","")</f>
        <v/>
      </c>
      <c r="P24" s="37" t="str">
        <f>IF(SUBTOTAL(109,A24)=A24,"","")</f>
        <v/>
      </c>
      <c r="Q24" s="37" t="str">
        <f>IF(SUBTOTAL(109,A24)=A24,"","")</f>
        <v/>
      </c>
      <c r="R24" s="37" t="str">
        <f>IF(SUBTOTAL(109,A24)=A24,"","")</f>
        <v/>
      </c>
      <c r="S24" s="37" t="str">
        <f>IF(SUBTOTAL(109,A24)=A24,"","")</f>
        <v/>
      </c>
      <c r="T24" s="37" t="str">
        <f>IF(SUBTOTAL(109,A24)=A24,"","")</f>
        <v/>
      </c>
      <c r="U24" s="37" t="str">
        <f>IF(SUBTOTAL(109,A24)=A24,"","")</f>
        <v/>
      </c>
      <c r="V24" s="37" t="str">
        <f>IF(SUBTOTAL(109,A24)=A24,"","")</f>
        <v/>
      </c>
      <c r="W24" s="37" t="str">
        <f>IF(SUBTOTAL(109,A24)=A24,"","")</f>
        <v/>
      </c>
      <c r="X24" s="37" t="str">
        <f>IF(SUBTOTAL(109,A24)=A24,"","")</f>
        <v/>
      </c>
      <c r="Y24" s="37" t="str">
        <f>IF(SUBTOTAL(109,A24)=A24,"","")</f>
        <v/>
      </c>
      <c r="Z24" s="37">
        <f>IF(SUBTOTAL(109,A24)=A24,"",749000)</f>
        <v>749000</v>
      </c>
      <c r="AB24" s="30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hidden="1" outlineLevel="2" x14ac:dyDescent="0.25">
      <c r="A25" s="29">
        <v>1</v>
      </c>
      <c r="C25" s="24" t="str">
        <f>"        Depreciation and Amortization"</f>
        <v xml:space="preserve">        Depreciation and Amortization</v>
      </c>
      <c r="D25" s="32">
        <f t="shared" si="0"/>
        <v>749000</v>
      </c>
      <c r="E25" s="32">
        <f t="shared" si="1"/>
        <v>749000</v>
      </c>
      <c r="F25" s="32">
        <f t="shared" si="2"/>
        <v>749000</v>
      </c>
      <c r="G25" s="32">
        <f t="shared" si="3"/>
        <v>749000</v>
      </c>
      <c r="H25" s="32">
        <f t="shared" si="4"/>
        <v>749000</v>
      </c>
      <c r="I25" s="32">
        <f t="shared" si="5"/>
        <v>749000</v>
      </c>
      <c r="J25" s="32" t="str">
        <f t="shared" si="6"/>
        <v/>
      </c>
      <c r="K25" s="33" t="str">
        <f t="shared" si="7"/>
        <v/>
      </c>
      <c r="L25" s="37"/>
      <c r="M25" s="37" t="s">
        <v>124</v>
      </c>
      <c r="N25" s="37" t="s">
        <v>124</v>
      </c>
      <c r="O25" s="37" t="s">
        <v>124</v>
      </c>
      <c r="P25" s="37" t="s">
        <v>124</v>
      </c>
      <c r="Q25" s="37" t="s">
        <v>124</v>
      </c>
      <c r="R25" s="37" t="s">
        <v>124</v>
      </c>
      <c r="S25" s="37" t="s">
        <v>124</v>
      </c>
      <c r="T25" s="37" t="s">
        <v>124</v>
      </c>
      <c r="U25" s="37" t="s">
        <v>124</v>
      </c>
      <c r="V25" s="37" t="s">
        <v>124</v>
      </c>
      <c r="W25" s="37" t="s">
        <v>124</v>
      </c>
      <c r="X25" s="37" t="s">
        <v>124</v>
      </c>
      <c r="Y25" s="37" t="s">
        <v>124</v>
      </c>
      <c r="Z25" s="37">
        <v>749000</v>
      </c>
      <c r="AB25" s="30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hidden="1" outlineLevel="2" x14ac:dyDescent="0.25">
      <c r="A26" s="29">
        <v>1</v>
      </c>
      <c r="C26" s="25" t="str">
        <f>"        Total Depreciation, Amortization and Depletion"</f>
        <v xml:space="preserve">        Total Depreciation, Amortization and Depletion</v>
      </c>
      <c r="D26" s="45">
        <f t="shared" si="0"/>
        <v>749000</v>
      </c>
      <c r="E26" s="45">
        <f t="shared" si="1"/>
        <v>749000</v>
      </c>
      <c r="F26" s="45">
        <f t="shared" si="2"/>
        <v>749000</v>
      </c>
      <c r="G26" s="45">
        <f t="shared" si="3"/>
        <v>749000</v>
      </c>
      <c r="H26" s="45">
        <f t="shared" si="4"/>
        <v>749000</v>
      </c>
      <c r="I26" s="45">
        <f t="shared" si="5"/>
        <v>749000</v>
      </c>
      <c r="J26" s="45" t="str">
        <f t="shared" si="6"/>
        <v/>
      </c>
      <c r="K26" s="46" t="str">
        <f t="shared" si="7"/>
        <v/>
      </c>
      <c r="L26" s="47"/>
      <c r="M26" s="47" t="s">
        <v>124</v>
      </c>
      <c r="N26" s="47" t="s">
        <v>124</v>
      </c>
      <c r="O26" s="47" t="s">
        <v>124</v>
      </c>
      <c r="P26" s="47" t="s">
        <v>124</v>
      </c>
      <c r="Q26" s="47" t="s">
        <v>124</v>
      </c>
      <c r="R26" s="47" t="s">
        <v>124</v>
      </c>
      <c r="S26" s="47" t="s">
        <v>124</v>
      </c>
      <c r="T26" s="47" t="s">
        <v>124</v>
      </c>
      <c r="U26" s="47" t="s">
        <v>124</v>
      </c>
      <c r="V26" s="47" t="s">
        <v>124</v>
      </c>
      <c r="W26" s="47" t="s">
        <v>124</v>
      </c>
      <c r="X26" s="47" t="s">
        <v>124</v>
      </c>
      <c r="Y26" s="47" t="s">
        <v>124</v>
      </c>
      <c r="Z26" s="47">
        <v>749000</v>
      </c>
      <c r="AB26" s="3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hidden="1" outlineLevel="1" x14ac:dyDescent="0.25">
      <c r="A27" s="29">
        <v>1</v>
      </c>
      <c r="C27" s="24" t="str">
        <f>IF(SUBTOTAL(109,A27)=A27,"    Other (Income)/Expense, Operating","    Other (Income)/Expense, Operating")</f>
        <v xml:space="preserve">    Other (Income)/Expense, Operating</v>
      </c>
      <c r="D27" s="32">
        <f t="shared" si="0"/>
        <v>2729000</v>
      </c>
      <c r="E27" s="32">
        <f t="shared" si="1"/>
        <v>2729000</v>
      </c>
      <c r="F27" s="32">
        <f t="shared" si="2"/>
        <v>118000</v>
      </c>
      <c r="G27" s="32">
        <f t="shared" si="3"/>
        <v>5340000</v>
      </c>
      <c r="H27" s="32">
        <f t="shared" si="4"/>
        <v>1423500</v>
      </c>
      <c r="I27" s="32">
        <f t="shared" si="5"/>
        <v>4034500</v>
      </c>
      <c r="J27" s="32">
        <f t="shared" si="6"/>
        <v>3692511.6113561513</v>
      </c>
      <c r="K27" s="33">
        <f t="shared" si="7"/>
        <v>1.3530639836409495</v>
      </c>
      <c r="L27" s="37"/>
      <c r="M27" s="37" t="str">
        <f>IF(SUBTOTAL(109,A27)=A27,"","")</f>
        <v/>
      </c>
      <c r="N27" s="37" t="str">
        <f>IF(SUBTOTAL(109,A27)=A27,"","")</f>
        <v/>
      </c>
      <c r="O27" s="37" t="str">
        <f>IF(SUBTOTAL(109,A27)=A27,"","")</f>
        <v/>
      </c>
      <c r="P27" s="37" t="str">
        <f>IF(SUBTOTAL(109,A27)=A27,"","")</f>
        <v/>
      </c>
      <c r="Q27" s="37" t="str">
        <f>IF(SUBTOTAL(109,A27)=A27,"","")</f>
        <v/>
      </c>
      <c r="R27" s="37" t="str">
        <f>IF(SUBTOTAL(109,A27)=A27,"","")</f>
        <v/>
      </c>
      <c r="S27" s="37" t="str">
        <f>IF(SUBTOTAL(109,A27)=A27,"","")</f>
        <v/>
      </c>
      <c r="T27" s="37" t="str">
        <f>IF(SUBTOTAL(109,A27)=A27,"","")</f>
        <v/>
      </c>
      <c r="U27" s="37" t="str">
        <f>IF(SUBTOTAL(109,A27)=A27,"","")</f>
        <v/>
      </c>
      <c r="V27" s="37" t="str">
        <f>IF(SUBTOTAL(109,A27)=A27,"","")</f>
        <v/>
      </c>
      <c r="W27" s="37" t="str">
        <f>IF(SUBTOTAL(109,A27)=A27,"","")</f>
        <v/>
      </c>
      <c r="X27" s="37">
        <f>IF(SUBTOTAL(109,A27)=A27,"",118000)</f>
        <v>118000</v>
      </c>
      <c r="Y27" s="37" t="str">
        <f>IF(SUBTOTAL(109,A27)=A27,"","")</f>
        <v/>
      </c>
      <c r="Z27" s="37">
        <f>IF(SUBTOTAL(109,A27)=A27,"",5340000)</f>
        <v>5340000</v>
      </c>
      <c r="AB27" s="30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hidden="1" outlineLevel="2" x14ac:dyDescent="0.25">
      <c r="A28" s="29">
        <v>1</v>
      </c>
      <c r="C28" s="24" t="str">
        <f>"        Other Expenses, Operating"</f>
        <v xml:space="preserve">        Other Expenses, Operating</v>
      </c>
      <c r="D28" s="32">
        <f t="shared" si="0"/>
        <v>118000</v>
      </c>
      <c r="E28" s="32">
        <f t="shared" si="1"/>
        <v>118000</v>
      </c>
      <c r="F28" s="32">
        <f t="shared" si="2"/>
        <v>118000</v>
      </c>
      <c r="G28" s="32">
        <f t="shared" si="3"/>
        <v>118000</v>
      </c>
      <c r="H28" s="32">
        <f t="shared" si="4"/>
        <v>118000</v>
      </c>
      <c r="I28" s="32">
        <f t="shared" si="5"/>
        <v>118000</v>
      </c>
      <c r="J28" s="32" t="str">
        <f t="shared" si="6"/>
        <v/>
      </c>
      <c r="K28" s="33" t="str">
        <f t="shared" si="7"/>
        <v/>
      </c>
      <c r="L28" s="37"/>
      <c r="M28" s="37" t="s">
        <v>124</v>
      </c>
      <c r="N28" s="37" t="s">
        <v>124</v>
      </c>
      <c r="O28" s="37" t="s">
        <v>124</v>
      </c>
      <c r="P28" s="37" t="s">
        <v>124</v>
      </c>
      <c r="Q28" s="37" t="s">
        <v>124</v>
      </c>
      <c r="R28" s="37" t="s">
        <v>124</v>
      </c>
      <c r="S28" s="37" t="s">
        <v>124</v>
      </c>
      <c r="T28" s="37" t="s">
        <v>124</v>
      </c>
      <c r="U28" s="37" t="s">
        <v>124</v>
      </c>
      <c r="V28" s="37" t="s">
        <v>124</v>
      </c>
      <c r="W28" s="37" t="s">
        <v>124</v>
      </c>
      <c r="X28" s="37">
        <v>118000</v>
      </c>
      <c r="Y28" s="37" t="s">
        <v>124</v>
      </c>
      <c r="Z28" s="37" t="s">
        <v>124</v>
      </c>
      <c r="AB28" s="30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hidden="1" outlineLevel="2" x14ac:dyDescent="0.25">
      <c r="A29" s="29">
        <v>1</v>
      </c>
      <c r="C29" s="25" t="str">
        <f>"        Total Other (Income)/Expense, Operating"</f>
        <v xml:space="preserve">        Total Other (Income)/Expense, Operating</v>
      </c>
      <c r="D29" s="45">
        <f t="shared" si="0"/>
        <v>2729000</v>
      </c>
      <c r="E29" s="45">
        <f t="shared" si="1"/>
        <v>2729000</v>
      </c>
      <c r="F29" s="45">
        <f t="shared" si="2"/>
        <v>118000</v>
      </c>
      <c r="G29" s="45">
        <f t="shared" si="3"/>
        <v>5340000</v>
      </c>
      <c r="H29" s="45">
        <f t="shared" si="4"/>
        <v>1423500</v>
      </c>
      <c r="I29" s="45">
        <f t="shared" si="5"/>
        <v>4034500</v>
      </c>
      <c r="J29" s="45">
        <f t="shared" si="6"/>
        <v>3692511.6113561513</v>
      </c>
      <c r="K29" s="46">
        <f t="shared" si="7"/>
        <v>1.3530639836409495</v>
      </c>
      <c r="L29" s="47"/>
      <c r="M29" s="47" t="s">
        <v>124</v>
      </c>
      <c r="N29" s="47" t="s">
        <v>124</v>
      </c>
      <c r="O29" s="47" t="s">
        <v>124</v>
      </c>
      <c r="P29" s="47" t="s">
        <v>124</v>
      </c>
      <c r="Q29" s="47" t="s">
        <v>124</v>
      </c>
      <c r="R29" s="47" t="s">
        <v>124</v>
      </c>
      <c r="S29" s="47" t="s">
        <v>124</v>
      </c>
      <c r="T29" s="47" t="s">
        <v>124</v>
      </c>
      <c r="U29" s="47" t="s">
        <v>124</v>
      </c>
      <c r="V29" s="47" t="s">
        <v>124</v>
      </c>
      <c r="W29" s="47" t="s">
        <v>124</v>
      </c>
      <c r="X29" s="47">
        <v>118000</v>
      </c>
      <c r="Y29" s="47" t="s">
        <v>124</v>
      </c>
      <c r="Z29" s="47">
        <v>5340000</v>
      </c>
      <c r="AB29" s="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hidden="1" outlineLevel="1" x14ac:dyDescent="0.25">
      <c r="A30" s="29">
        <v>1</v>
      </c>
      <c r="C30" s="26" t="str">
        <f>"    Total Operating (Income)/Expenses"</f>
        <v xml:space="preserve">    Total Operating (Income)/Expenses</v>
      </c>
      <c r="D30" s="45">
        <f t="shared" si="0"/>
        <v>11726000</v>
      </c>
      <c r="E30" s="45">
        <f t="shared" si="1"/>
        <v>11542357.142857144</v>
      </c>
      <c r="F30" s="45">
        <f t="shared" si="2"/>
        <v>7038000</v>
      </c>
      <c r="G30" s="45">
        <f t="shared" si="3"/>
        <v>20342000</v>
      </c>
      <c r="H30" s="45">
        <f t="shared" si="4"/>
        <v>9590000</v>
      </c>
      <c r="I30" s="45">
        <f t="shared" si="5"/>
        <v>12327250</v>
      </c>
      <c r="J30" s="45">
        <f t="shared" si="6"/>
        <v>3236399.4620599574</v>
      </c>
      <c r="K30" s="46">
        <f t="shared" si="7"/>
        <v>0.28039328726392482</v>
      </c>
      <c r="L30" s="45"/>
      <c r="M30" s="45">
        <v>8554000</v>
      </c>
      <c r="N30" s="45">
        <v>7038000</v>
      </c>
      <c r="O30" s="45">
        <v>8491000</v>
      </c>
      <c r="P30" s="45">
        <v>9650000</v>
      </c>
      <c r="Q30" s="45">
        <v>9570000</v>
      </c>
      <c r="R30" s="45">
        <v>10345000</v>
      </c>
      <c r="S30" s="45">
        <v>11888000</v>
      </c>
      <c r="T30" s="45">
        <v>12158000</v>
      </c>
      <c r="U30" s="45">
        <v>12382000</v>
      </c>
      <c r="V30" s="45">
        <v>14031000</v>
      </c>
      <c r="W30" s="45">
        <v>12163000</v>
      </c>
      <c r="X30" s="45">
        <v>11564000</v>
      </c>
      <c r="Y30" s="45">
        <v>13417000</v>
      </c>
      <c r="Z30" s="45">
        <v>20342000</v>
      </c>
      <c r="AB30" s="30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x14ac:dyDescent="0.25">
      <c r="A31" s="29">
        <v>1</v>
      </c>
      <c r="C31" s="26" t="str">
        <f>"Total Operating Profit/(Loss)"</f>
        <v>Total Operating Profit/(Loss)</v>
      </c>
      <c r="D31" s="43">
        <f t="shared" si="0"/>
        <v>5509500</v>
      </c>
      <c r="E31" s="43">
        <f t="shared" si="1"/>
        <v>1662857.142857143</v>
      </c>
      <c r="F31" s="43">
        <f t="shared" si="2"/>
        <v>-21023000</v>
      </c>
      <c r="G31" s="43">
        <f t="shared" si="3"/>
        <v>9324000</v>
      </c>
      <c r="H31" s="43">
        <f t="shared" si="4"/>
        <v>2348750</v>
      </c>
      <c r="I31" s="43">
        <f t="shared" si="5"/>
        <v>6865000</v>
      </c>
      <c r="J31" s="43">
        <f t="shared" si="6"/>
        <v>10037803.658456082</v>
      </c>
      <c r="K31" s="44">
        <f t="shared" si="7"/>
        <v>6.036479863332695</v>
      </c>
      <c r="L31" s="43"/>
      <c r="M31" s="43">
        <v>9324000</v>
      </c>
      <c r="N31" s="43">
        <v>6634000</v>
      </c>
      <c r="O31" s="43">
        <v>5481000</v>
      </c>
      <c r="P31" s="43">
        <v>4445000</v>
      </c>
      <c r="Q31" s="43">
        <v>8661000</v>
      </c>
      <c r="R31" s="43">
        <v>8686000</v>
      </c>
      <c r="S31" s="43">
        <v>5538000</v>
      </c>
      <c r="T31" s="43">
        <v>1650000</v>
      </c>
      <c r="U31" s="43">
        <v>5672000</v>
      </c>
      <c r="V31" s="43">
        <v>-3218000</v>
      </c>
      <c r="W31" s="43">
        <v>6942000</v>
      </c>
      <c r="X31" s="43">
        <v>5108000</v>
      </c>
      <c r="Y31" s="43">
        <v>-21023000</v>
      </c>
      <c r="Z31" s="43">
        <v>-20620000</v>
      </c>
      <c r="AB31" s="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collapsed="1" x14ac:dyDescent="0.25">
      <c r="A32" s="29">
        <v>1</v>
      </c>
      <c r="C32" s="26" t="str">
        <f>IF(SUBTOTAL(109,A32)=A32,"Non-Operating Income/(Expenses)","Non-Operating Income/(Expenses), Total")</f>
        <v>Non-Operating Income/(Expenses)</v>
      </c>
      <c r="D32" s="43" t="str">
        <f t="shared" si="0"/>
        <v/>
      </c>
      <c r="E32" s="43" t="str">
        <f t="shared" si="1"/>
        <v/>
      </c>
      <c r="F32" s="43" t="str">
        <f t="shared" si="2"/>
        <v/>
      </c>
      <c r="G32" s="43" t="str">
        <f t="shared" si="3"/>
        <v/>
      </c>
      <c r="H32" s="43" t="str">
        <f t="shared" si="4"/>
        <v/>
      </c>
      <c r="I32" s="43" t="str">
        <f t="shared" si="5"/>
        <v/>
      </c>
      <c r="J32" s="43" t="str">
        <f t="shared" si="6"/>
        <v/>
      </c>
      <c r="K32" s="44" t="str">
        <f t="shared" si="7"/>
        <v/>
      </c>
      <c r="L32" s="43"/>
      <c r="M32" s="43" t="str">
        <f>IF(SUBTOTAL(109,A32)=A32,"",3392000)</f>
        <v/>
      </c>
      <c r="N32" s="43" t="str">
        <f>IF(SUBTOTAL(109,A32)=A32,"",1461000)</f>
        <v/>
      </c>
      <c r="O32" s="43" t="str">
        <f>IF(SUBTOTAL(109,A32)=A32,"",1955000)</f>
        <v/>
      </c>
      <c r="P32" s="43" t="str">
        <f>IF(SUBTOTAL(109,A32)=A32,"",4104000)</f>
        <v/>
      </c>
      <c r="Q32" s="43" t="str">
        <f>IF(SUBTOTAL(109,A32)=A32,"",3202000)</f>
        <v/>
      </c>
      <c r="R32" s="43" t="str">
        <f>IF(SUBTOTAL(109,A32)=A32,"",3322000)</f>
        <v/>
      </c>
      <c r="S32" s="43" t="str">
        <f>IF(SUBTOTAL(109,A32)=A32,"",2833000)</f>
        <v/>
      </c>
      <c r="T32" s="43" t="str">
        <f>IF(SUBTOTAL(109,A32)=A32,"",2596000)</f>
        <v/>
      </c>
      <c r="U32" s="43" t="str">
        <f>IF(SUBTOTAL(109,A32)=A32,"",1786000)</f>
        <v/>
      </c>
      <c r="V32" s="43" t="str">
        <f>IF(SUBTOTAL(109,A32)=A32,"",-25477000)</f>
        <v/>
      </c>
      <c r="W32" s="43" t="str">
        <f>IF(SUBTOTAL(109,A32)=A32,"",2235000)</f>
        <v/>
      </c>
      <c r="X32" s="43" t="str">
        <f>IF(SUBTOTAL(109,A32)=A32,"",629000)</f>
        <v/>
      </c>
      <c r="Y32" s="43" t="str">
        <f>IF(SUBTOTAL(109,A32)=A32,"",124705000)</f>
        <v/>
      </c>
      <c r="Z32" s="43" t="str">
        <f>IF(SUBTOTAL(109,A32)=A32,"",-8937000)</f>
        <v/>
      </c>
      <c r="AB32" s="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hidden="1" outlineLevel="1" x14ac:dyDescent="0.25">
      <c r="A33" s="29">
        <v>1</v>
      </c>
      <c r="C33" s="24" t="str">
        <f>IF(SUBTOTAL(109,A33)=A33,"    Net Finance (Income)/Expense","    Total Net Finance (Income)/Expense")</f>
        <v xml:space="preserve">    Total Net Finance (Income)/Expense</v>
      </c>
      <c r="D33" s="32">
        <f t="shared" si="0"/>
        <v>336500</v>
      </c>
      <c r="E33" s="32">
        <f t="shared" si="1"/>
        <v>779142.85714285716</v>
      </c>
      <c r="F33" s="32">
        <f t="shared" si="2"/>
        <v>-191000</v>
      </c>
      <c r="G33" s="32">
        <f t="shared" si="3"/>
        <v>4830000</v>
      </c>
      <c r="H33" s="32">
        <f t="shared" si="4"/>
        <v>157500</v>
      </c>
      <c r="I33" s="32">
        <f t="shared" si="5"/>
        <v>761250</v>
      </c>
      <c r="J33" s="32">
        <f t="shared" si="6"/>
        <v>1289097.6484552082</v>
      </c>
      <c r="K33" s="33">
        <f t="shared" si="7"/>
        <v>1.6545074329274765</v>
      </c>
      <c r="L33" s="37"/>
      <c r="M33" s="37">
        <f>IF(SUBTOTAL(109,A33)=A33,"",804000)</f>
        <v>804000</v>
      </c>
      <c r="N33" s="37">
        <f>IF(SUBTOTAL(109,A33)=A33,"",857000)</f>
        <v>857000</v>
      </c>
      <c r="O33" s="37">
        <f>IF(SUBTOTAL(109,A33)=A33,"",353000)</f>
        <v>353000</v>
      </c>
      <c r="P33" s="37">
        <f>IF(SUBTOTAL(109,A33)=A33,"",320000)</f>
        <v>320000</v>
      </c>
      <c r="Q33" s="37">
        <f>IF(SUBTOTAL(109,A33)=A33,"",309000)</f>
        <v>309000</v>
      </c>
      <c r="R33" s="37">
        <f>IF(SUBTOTAL(109,A33)=A33,"",381000)</f>
        <v>381000</v>
      </c>
      <c r="S33" s="37">
        <f>IF(SUBTOTAL(109,A33)=A33,"",-191000)</f>
        <v>-191000</v>
      </c>
      <c r="T33" s="37">
        <f>IF(SUBTOTAL(109,A33)=A33,"",192000)</f>
        <v>192000</v>
      </c>
      <c r="U33" s="37">
        <f>IF(SUBTOTAL(109,A33)=A33,"",88000)</f>
        <v>88000</v>
      </c>
      <c r="V33" s="37">
        <f>IF(SUBTOTAL(109,A33)=A33,"",146000)</f>
        <v>146000</v>
      </c>
      <c r="W33" s="37">
        <f>IF(SUBTOTAL(109,A33)=A33,"",85000)</f>
        <v>85000</v>
      </c>
      <c r="X33" s="37">
        <f>IF(SUBTOTAL(109,A33)=A33,"",633000)</f>
        <v>633000</v>
      </c>
      <c r="Y33" s="37">
        <f>IF(SUBTOTAL(109,A33)=A33,"",4830000)</f>
        <v>4830000</v>
      </c>
      <c r="Z33" s="37">
        <f>IF(SUBTOTAL(109,A33)=A33,"",2101000)</f>
        <v>2101000</v>
      </c>
      <c r="AB33" s="30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hidden="1" outlineLevel="2" collapsed="1" x14ac:dyDescent="0.25">
      <c r="A34" s="29">
        <v>1</v>
      </c>
      <c r="C34" s="24" t="str">
        <f>IF(SUBTOTAL(109,A34)=A34,"        Net Interest (Income)/Expense","        Net Interest (Income)/Expense")</f>
        <v xml:space="preserve">        Net Interest (Income)/Expense</v>
      </c>
      <c r="D34" s="32">
        <f t="shared" si="0"/>
        <v>336500</v>
      </c>
      <c r="E34" s="32">
        <f t="shared" si="1"/>
        <v>779142.85714285716</v>
      </c>
      <c r="F34" s="32">
        <f t="shared" si="2"/>
        <v>-191000</v>
      </c>
      <c r="G34" s="32">
        <f t="shared" si="3"/>
        <v>4830000</v>
      </c>
      <c r="H34" s="32">
        <f t="shared" si="4"/>
        <v>157500</v>
      </c>
      <c r="I34" s="32">
        <f t="shared" si="5"/>
        <v>761250</v>
      </c>
      <c r="J34" s="32">
        <f t="shared" si="6"/>
        <v>1289097.6484552082</v>
      </c>
      <c r="K34" s="33">
        <f t="shared" si="7"/>
        <v>1.6545074329274765</v>
      </c>
      <c r="L34" s="37"/>
      <c r="M34" s="37">
        <f>IF(SUBTOTAL(109,A34)=A34,"",804000)</f>
        <v>804000</v>
      </c>
      <c r="N34" s="37">
        <f>IF(SUBTOTAL(109,A34)=A34,"",857000)</f>
        <v>857000</v>
      </c>
      <c r="O34" s="37">
        <f>IF(SUBTOTAL(109,A34)=A34,"",353000)</f>
        <v>353000</v>
      </c>
      <c r="P34" s="37">
        <f>IF(SUBTOTAL(109,A34)=A34,"",320000)</f>
        <v>320000</v>
      </c>
      <c r="Q34" s="37">
        <f>IF(SUBTOTAL(109,A34)=A34,"",309000)</f>
        <v>309000</v>
      </c>
      <c r="R34" s="37">
        <f>IF(SUBTOTAL(109,A34)=A34,"",381000)</f>
        <v>381000</v>
      </c>
      <c r="S34" s="37">
        <f>IF(SUBTOTAL(109,A34)=A34,"",-191000)</f>
        <v>-191000</v>
      </c>
      <c r="T34" s="37">
        <f>IF(SUBTOTAL(109,A34)=A34,"",192000)</f>
        <v>192000</v>
      </c>
      <c r="U34" s="37">
        <f>IF(SUBTOTAL(109,A34)=A34,"",88000)</f>
        <v>88000</v>
      </c>
      <c r="V34" s="37">
        <f>IF(SUBTOTAL(109,A34)=A34,"",146000)</f>
        <v>146000</v>
      </c>
      <c r="W34" s="37">
        <f>IF(SUBTOTAL(109,A34)=A34,"",85000)</f>
        <v>85000</v>
      </c>
      <c r="X34" s="37">
        <f>IF(SUBTOTAL(109,A34)=A34,"",633000)</f>
        <v>633000</v>
      </c>
      <c r="Y34" s="37">
        <f>IF(SUBTOTAL(109,A34)=A34,"",4830000)</f>
        <v>4830000</v>
      </c>
      <c r="Z34" s="37">
        <f>IF(SUBTOTAL(109,A34)=A34,"",2101000)</f>
        <v>2101000</v>
      </c>
      <c r="AB34" s="30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hidden="1" outlineLevel="3" x14ac:dyDescent="0.25">
      <c r="A35" s="29">
        <v>1</v>
      </c>
      <c r="C35" s="24" t="str">
        <f>"            Interest Expense Net of Capitalized Interest"</f>
        <v xml:space="preserve">            Interest Expense Net of Capitalized Interest</v>
      </c>
      <c r="D35" s="32">
        <f t="shared" si="0"/>
        <v>615000</v>
      </c>
      <c r="E35" s="32">
        <f t="shared" si="1"/>
        <v>1182642.857142857</v>
      </c>
      <c r="F35" s="32">
        <f t="shared" si="2"/>
        <v>334000</v>
      </c>
      <c r="G35" s="32">
        <f t="shared" si="3"/>
        <v>6122000</v>
      </c>
      <c r="H35" s="32">
        <f t="shared" si="4"/>
        <v>501750</v>
      </c>
      <c r="I35" s="32">
        <f t="shared" si="5"/>
        <v>1061000</v>
      </c>
      <c r="J35" s="32">
        <f t="shared" si="6"/>
        <v>1525651.3669271211</v>
      </c>
      <c r="K35" s="33">
        <f t="shared" si="7"/>
        <v>1.2900355823506491</v>
      </c>
      <c r="L35" s="37"/>
      <c r="M35" s="37">
        <v>950000</v>
      </c>
      <c r="N35" s="37">
        <v>1098000</v>
      </c>
      <c r="O35" s="37">
        <v>782000</v>
      </c>
      <c r="P35" s="37">
        <v>655000</v>
      </c>
      <c r="Q35" s="37">
        <v>575000</v>
      </c>
      <c r="R35" s="37">
        <v>563000</v>
      </c>
      <c r="S35" s="37">
        <v>423000</v>
      </c>
      <c r="T35" s="37">
        <v>403000</v>
      </c>
      <c r="U35" s="37">
        <v>334000</v>
      </c>
      <c r="V35" s="37">
        <v>489000</v>
      </c>
      <c r="W35" s="37">
        <v>540000</v>
      </c>
      <c r="X35" s="37">
        <v>1098000</v>
      </c>
      <c r="Y35" s="37">
        <v>6122000</v>
      </c>
      <c r="Z35" s="37">
        <v>2525000</v>
      </c>
      <c r="AB35" s="30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hidden="1" outlineLevel="3" x14ac:dyDescent="0.25">
      <c r="A36" s="29">
        <v>1</v>
      </c>
      <c r="C36" s="24" t="str">
        <f>"            Interest Income"</f>
        <v xml:space="preserve">            Interest Income</v>
      </c>
      <c r="D36" s="32">
        <f t="shared" si="0"/>
        <v>339000</v>
      </c>
      <c r="E36" s="32">
        <f t="shared" si="1"/>
        <v>403500</v>
      </c>
      <c r="F36" s="32">
        <f t="shared" si="2"/>
        <v>146000</v>
      </c>
      <c r="G36" s="32">
        <f t="shared" si="3"/>
        <v>1292000</v>
      </c>
      <c r="H36" s="32">
        <f t="shared" si="4"/>
        <v>242250</v>
      </c>
      <c r="I36" s="32">
        <f t="shared" si="5"/>
        <v>448500</v>
      </c>
      <c r="J36" s="32">
        <f t="shared" si="6"/>
        <v>287180.39090975019</v>
      </c>
      <c r="K36" s="33">
        <f t="shared" si="7"/>
        <v>0.71172339754584935</v>
      </c>
      <c r="L36" s="37"/>
      <c r="M36" s="37">
        <v>146000</v>
      </c>
      <c r="N36" s="37">
        <v>241000</v>
      </c>
      <c r="O36" s="37">
        <v>429000</v>
      </c>
      <c r="P36" s="37">
        <v>335000</v>
      </c>
      <c r="Q36" s="37">
        <v>266000</v>
      </c>
      <c r="R36" s="37">
        <v>182000</v>
      </c>
      <c r="S36" s="37">
        <v>614000</v>
      </c>
      <c r="T36" s="37">
        <v>211000</v>
      </c>
      <c r="U36" s="37">
        <v>246000</v>
      </c>
      <c r="V36" s="37">
        <v>343000</v>
      </c>
      <c r="W36" s="37">
        <v>455000</v>
      </c>
      <c r="X36" s="37">
        <v>465000</v>
      </c>
      <c r="Y36" s="37">
        <v>1292000</v>
      </c>
      <c r="Z36" s="37">
        <v>424000</v>
      </c>
      <c r="AB36" s="30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hidden="1" outlineLevel="3" x14ac:dyDescent="0.25">
      <c r="A37" s="29">
        <v>1</v>
      </c>
      <c r="C37" s="25" t="str">
        <f>"            Total Net Interest (Income)/Expense"</f>
        <v xml:space="preserve">            Total Net Interest (Income)/Expense</v>
      </c>
      <c r="D37" s="45">
        <f t="shared" si="0"/>
        <v>336500</v>
      </c>
      <c r="E37" s="45">
        <f t="shared" si="1"/>
        <v>779142.85714285716</v>
      </c>
      <c r="F37" s="45">
        <f t="shared" si="2"/>
        <v>-191000</v>
      </c>
      <c r="G37" s="45">
        <f t="shared" si="3"/>
        <v>4830000</v>
      </c>
      <c r="H37" s="45">
        <f t="shared" si="4"/>
        <v>157500</v>
      </c>
      <c r="I37" s="45">
        <f t="shared" si="5"/>
        <v>761250</v>
      </c>
      <c r="J37" s="45">
        <f t="shared" si="6"/>
        <v>1289097.6484552082</v>
      </c>
      <c r="K37" s="46">
        <f t="shared" si="7"/>
        <v>1.6545074329274765</v>
      </c>
      <c r="L37" s="47"/>
      <c r="M37" s="47">
        <v>804000</v>
      </c>
      <c r="N37" s="47">
        <v>857000</v>
      </c>
      <c r="O37" s="47">
        <v>353000</v>
      </c>
      <c r="P37" s="47">
        <v>320000</v>
      </c>
      <c r="Q37" s="47">
        <v>309000</v>
      </c>
      <c r="R37" s="47">
        <v>381000</v>
      </c>
      <c r="S37" s="47">
        <v>-191000</v>
      </c>
      <c r="T37" s="47">
        <v>192000</v>
      </c>
      <c r="U37" s="47">
        <v>88000</v>
      </c>
      <c r="V37" s="47">
        <v>146000</v>
      </c>
      <c r="W37" s="47">
        <v>85000</v>
      </c>
      <c r="X37" s="47">
        <v>633000</v>
      </c>
      <c r="Y37" s="47">
        <v>4830000</v>
      </c>
      <c r="Z37" s="47">
        <v>2101000</v>
      </c>
      <c r="AB37" s="30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hidden="1" outlineLevel="2" x14ac:dyDescent="0.25">
      <c r="A38" s="29">
        <v>1</v>
      </c>
      <c r="C38" s="25" t="str">
        <f>"        Total Net Finance (Income)/Expense"</f>
        <v xml:space="preserve">        Total Net Finance (Income)/Expense</v>
      </c>
      <c r="D38" s="45">
        <f t="shared" si="0"/>
        <v>336500</v>
      </c>
      <c r="E38" s="45">
        <f t="shared" si="1"/>
        <v>779142.85714285716</v>
      </c>
      <c r="F38" s="45">
        <f t="shared" si="2"/>
        <v>-191000</v>
      </c>
      <c r="G38" s="45">
        <f t="shared" si="3"/>
        <v>4830000</v>
      </c>
      <c r="H38" s="45">
        <f t="shared" si="4"/>
        <v>157500</v>
      </c>
      <c r="I38" s="45">
        <f t="shared" si="5"/>
        <v>761250</v>
      </c>
      <c r="J38" s="45">
        <f t="shared" si="6"/>
        <v>1289097.6484552082</v>
      </c>
      <c r="K38" s="46">
        <f t="shared" si="7"/>
        <v>1.6545074329274765</v>
      </c>
      <c r="L38" s="47"/>
      <c r="M38" s="47">
        <v>804000</v>
      </c>
      <c r="N38" s="47">
        <v>857000</v>
      </c>
      <c r="O38" s="47">
        <v>353000</v>
      </c>
      <c r="P38" s="47">
        <v>320000</v>
      </c>
      <c r="Q38" s="47">
        <v>309000</v>
      </c>
      <c r="R38" s="47">
        <v>381000</v>
      </c>
      <c r="S38" s="47">
        <v>-191000</v>
      </c>
      <c r="T38" s="47">
        <v>192000</v>
      </c>
      <c r="U38" s="47">
        <v>88000</v>
      </c>
      <c r="V38" s="47">
        <v>146000</v>
      </c>
      <c r="W38" s="47">
        <v>85000</v>
      </c>
      <c r="X38" s="47">
        <v>633000</v>
      </c>
      <c r="Y38" s="47">
        <v>4830000</v>
      </c>
      <c r="Z38" s="47">
        <v>2101000</v>
      </c>
      <c r="AB38" s="30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hidden="1" outlineLevel="1" x14ac:dyDescent="0.25">
      <c r="A39" s="29">
        <v>1</v>
      </c>
      <c r="C39" s="24" t="str">
        <f>IF(SUBTOTAL(109,A39)=A39,"    Net Investment Income","    Net Investment Income")</f>
        <v xml:space="preserve">    Net Investment Income</v>
      </c>
      <c r="D39" s="32">
        <f t="shared" si="0"/>
        <v>1974000</v>
      </c>
      <c r="E39" s="32">
        <f t="shared" si="1"/>
        <v>1298357.142857143</v>
      </c>
      <c r="F39" s="32">
        <f t="shared" si="2"/>
        <v>-6183000</v>
      </c>
      <c r="G39" s="32">
        <f t="shared" si="3"/>
        <v>3329000</v>
      </c>
      <c r="H39" s="32">
        <f t="shared" si="4"/>
        <v>1356000</v>
      </c>
      <c r="I39" s="32">
        <f t="shared" si="5"/>
        <v>2330750</v>
      </c>
      <c r="J39" s="32">
        <f t="shared" si="6"/>
        <v>2282398.2867940553</v>
      </c>
      <c r="K39" s="33">
        <f t="shared" si="7"/>
        <v>1.7579125276512499</v>
      </c>
      <c r="L39" s="37"/>
      <c r="M39" s="37">
        <f>IF(SUBTOTAL(109,A39)=A39,"",1872000)</f>
        <v>1872000</v>
      </c>
      <c r="N39" s="37">
        <f>IF(SUBTOTAL(109,A39)=A39,"",939000)</f>
        <v>939000</v>
      </c>
      <c r="O39" s="37">
        <f>IF(SUBTOTAL(109,A39)=A39,"",1348000)</f>
        <v>1348000</v>
      </c>
      <c r="P39" s="37">
        <f>IF(SUBTOTAL(109,A39)=A39,"",2421000)</f>
        <v>2421000</v>
      </c>
      <c r="Q39" s="37">
        <f>IF(SUBTOTAL(109,A39)=A39,"",2076000)</f>
        <v>2076000</v>
      </c>
      <c r="R39" s="37">
        <f>IF(SUBTOTAL(109,A39)=A39,"",2282000)</f>
        <v>2282000</v>
      </c>
      <c r="S39" s="37">
        <f>IF(SUBTOTAL(109,A39)=A39,"",2193000)</f>
        <v>2193000</v>
      </c>
      <c r="T39" s="37">
        <f>IF(SUBTOTAL(109,A39)=A39,"",2472000)</f>
        <v>2472000</v>
      </c>
      <c r="U39" s="37">
        <f>IF(SUBTOTAL(109,A39)=A39,"",2347000)</f>
        <v>2347000</v>
      </c>
      <c r="V39" s="37">
        <f>IF(SUBTOTAL(109,A39)=A39,"",1420000)</f>
        <v>1420000</v>
      </c>
      <c r="W39" s="37">
        <f>IF(SUBTOTAL(109,A39)=A39,"",3329000)</f>
        <v>3329000</v>
      </c>
      <c r="X39" s="37">
        <f>IF(SUBTOTAL(109,A39)=A39,"",281000)</f>
        <v>281000</v>
      </c>
      <c r="Y39" s="37">
        <f>IF(SUBTOTAL(109,A39)=A39,"",1380000)</f>
        <v>1380000</v>
      </c>
      <c r="Z39" s="37">
        <f>IF(SUBTOTAL(109,A39)=A39,"",-6183000)</f>
        <v>-6183000</v>
      </c>
      <c r="AB39" s="30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hidden="1" outlineLevel="2" x14ac:dyDescent="0.25">
      <c r="A40" s="29">
        <v>1</v>
      </c>
      <c r="C40" s="24" t="str">
        <f>"        Dividend and Investment Income"</f>
        <v xml:space="preserve">        Dividend and Investment Income</v>
      </c>
      <c r="D40" s="32">
        <f t="shared" si="0"/>
        <v>153000</v>
      </c>
      <c r="E40" s="32">
        <f t="shared" si="1"/>
        <v>154666.66666666666</v>
      </c>
      <c r="F40" s="32">
        <f t="shared" si="2"/>
        <v>98000</v>
      </c>
      <c r="G40" s="32">
        <f t="shared" si="3"/>
        <v>213000</v>
      </c>
      <c r="H40" s="32">
        <f t="shared" si="4"/>
        <v>125500</v>
      </c>
      <c r="I40" s="32">
        <f t="shared" si="5"/>
        <v>183000</v>
      </c>
      <c r="J40" s="32">
        <f t="shared" si="6"/>
        <v>57518.113089124679</v>
      </c>
      <c r="K40" s="33">
        <f t="shared" si="7"/>
        <v>0.3718843518693406</v>
      </c>
      <c r="L40" s="37"/>
      <c r="M40" s="37" t="s">
        <v>124</v>
      </c>
      <c r="N40" s="37" t="s">
        <v>124</v>
      </c>
      <c r="O40" s="37" t="s">
        <v>124</v>
      </c>
      <c r="P40" s="37" t="s">
        <v>124</v>
      </c>
      <c r="Q40" s="37" t="s">
        <v>124</v>
      </c>
      <c r="R40" s="37" t="s">
        <v>124</v>
      </c>
      <c r="S40" s="37" t="s">
        <v>124</v>
      </c>
      <c r="T40" s="37" t="s">
        <v>124</v>
      </c>
      <c r="U40" s="37" t="s">
        <v>124</v>
      </c>
      <c r="V40" s="37">
        <v>98000</v>
      </c>
      <c r="W40" s="37">
        <v>153000</v>
      </c>
      <c r="X40" s="37">
        <v>213000</v>
      </c>
      <c r="Y40" s="37" t="s">
        <v>124</v>
      </c>
      <c r="Z40" s="37" t="s">
        <v>124</v>
      </c>
      <c r="AB40" s="30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hidden="1" outlineLevel="2" x14ac:dyDescent="0.25">
      <c r="A41" s="29">
        <v>1</v>
      </c>
      <c r="C41" s="24" t="str">
        <f>"        Gain/(Loss) on Investments and Other Financial Instruments"</f>
        <v xml:space="preserve">        Gain/(Loss) on Investments and Other Financial Instruments</v>
      </c>
      <c r="D41" s="32">
        <f t="shared" si="0"/>
        <v>-9000</v>
      </c>
      <c r="E41" s="32">
        <f t="shared" si="1"/>
        <v>163000</v>
      </c>
      <c r="F41" s="32">
        <f t="shared" si="2"/>
        <v>-193000</v>
      </c>
      <c r="G41" s="32">
        <f t="shared" si="3"/>
        <v>691000</v>
      </c>
      <c r="H41" s="32">
        <f t="shared" si="4"/>
        <v>-101000</v>
      </c>
      <c r="I41" s="32">
        <f t="shared" si="5"/>
        <v>341000</v>
      </c>
      <c r="J41" s="32">
        <f t="shared" si="6"/>
        <v>466424.69917447557</v>
      </c>
      <c r="K41" s="33">
        <f t="shared" si="7"/>
        <v>2.8615012219292981</v>
      </c>
      <c r="L41" s="37"/>
      <c r="M41" s="37" t="s">
        <v>124</v>
      </c>
      <c r="N41" s="37" t="s">
        <v>124</v>
      </c>
      <c r="O41" s="37" t="s">
        <v>124</v>
      </c>
      <c r="P41" s="37" t="s">
        <v>124</v>
      </c>
      <c r="Q41" s="37" t="s">
        <v>124</v>
      </c>
      <c r="R41" s="37" t="s">
        <v>124</v>
      </c>
      <c r="S41" s="37" t="s">
        <v>124</v>
      </c>
      <c r="T41" s="37" t="s">
        <v>124</v>
      </c>
      <c r="U41" s="37">
        <v>691000</v>
      </c>
      <c r="V41" s="37">
        <v>-193000</v>
      </c>
      <c r="W41" s="37">
        <v>-9000</v>
      </c>
      <c r="X41" s="37" t="s">
        <v>124</v>
      </c>
      <c r="Y41" s="37" t="s">
        <v>124</v>
      </c>
      <c r="Z41" s="37" t="s">
        <v>124</v>
      </c>
      <c r="AB41" s="30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hidden="1" outlineLevel="2" x14ac:dyDescent="0.25">
      <c r="A42" s="29">
        <v>1</v>
      </c>
      <c r="C42" s="24" t="str">
        <f>"        Fair Value or Unrealized Gain/(Loss) on Financial Assets"</f>
        <v xml:space="preserve">        Fair Value or Unrealized Gain/(Loss) on Financial Assets</v>
      </c>
      <c r="D42" s="32">
        <f t="shared" si="0"/>
        <v>169000</v>
      </c>
      <c r="E42" s="32">
        <f t="shared" si="1"/>
        <v>186333.33333333334</v>
      </c>
      <c r="F42" s="32">
        <f t="shared" si="2"/>
        <v>-56000</v>
      </c>
      <c r="G42" s="32">
        <f t="shared" si="3"/>
        <v>571000</v>
      </c>
      <c r="H42" s="32">
        <f t="shared" si="4"/>
        <v>20000</v>
      </c>
      <c r="I42" s="32">
        <f t="shared" si="5"/>
        <v>263250</v>
      </c>
      <c r="J42" s="32">
        <f t="shared" si="6"/>
        <v>229802.23381565869</v>
      </c>
      <c r="K42" s="33">
        <f t="shared" si="7"/>
        <v>1.2332856913183829</v>
      </c>
      <c r="L42" s="37"/>
      <c r="M42" s="37">
        <v>571000</v>
      </c>
      <c r="N42" s="37">
        <v>265000</v>
      </c>
      <c r="O42" s="37">
        <v>80000</v>
      </c>
      <c r="P42" s="37">
        <v>258000</v>
      </c>
      <c r="Q42" s="37">
        <v>-56000</v>
      </c>
      <c r="R42" s="37">
        <v>0</v>
      </c>
      <c r="S42" s="37" t="s">
        <v>124</v>
      </c>
      <c r="T42" s="37" t="s">
        <v>124</v>
      </c>
      <c r="U42" s="37" t="s">
        <v>124</v>
      </c>
      <c r="V42" s="37" t="s">
        <v>124</v>
      </c>
      <c r="W42" s="37" t="s">
        <v>124</v>
      </c>
      <c r="X42" s="37" t="s">
        <v>124</v>
      </c>
      <c r="Y42" s="37" t="s">
        <v>124</v>
      </c>
      <c r="Z42" s="37" t="s">
        <v>124</v>
      </c>
      <c r="AB42" s="30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hidden="1" outlineLevel="2" x14ac:dyDescent="0.25">
      <c r="A43" s="29">
        <v>1</v>
      </c>
      <c r="C43" s="24" t="str">
        <f>"        Income from Associates, Joint Ventures and Other Participating Interests"</f>
        <v xml:space="preserve">        Income from Associates, Joint Ventures and Other Participating Interests</v>
      </c>
      <c r="D43" s="32">
        <f t="shared" ref="D43:D74" si="8">IF(COUNT(M43:Z43)&gt;0,MEDIAN(M43:Z43),"")</f>
        <v>1810000</v>
      </c>
      <c r="E43" s="32">
        <f t="shared" ref="E43:E74" si="9">IF(COUNT(M43:Z43)&gt;0,AVERAGE(M43:Z43),"")</f>
        <v>1220615.3846153845</v>
      </c>
      <c r="F43" s="32">
        <f t="shared" ref="F43:F74" si="10">IF(COUNT(M43:Z43)&gt;0,MIN(M43:Z43),"")</f>
        <v>-6183000</v>
      </c>
      <c r="G43" s="32">
        <f t="shared" ref="G43:G74" si="11">IF(COUNT(M43:Z43)&gt;0,MAX(M43:Z43),"")</f>
        <v>3192000</v>
      </c>
      <c r="H43" s="32">
        <f t="shared" ref="H43:H74" si="12">IF(COUNT(M43:Z43)&gt;0,QUARTILE(M43:Z43,1),"")</f>
        <v>1301000</v>
      </c>
      <c r="I43" s="32">
        <f t="shared" ref="I43:I74" si="13">IF(COUNT(M43:Z43)&gt;0,QUARTILE(M43:Z43,3),"")</f>
        <v>2163000</v>
      </c>
      <c r="J43" s="32">
        <f t="shared" ref="J43:J74" si="14">IF(COUNT(M43:Z43)&gt;1,STDEV(M43:Z43),"")</f>
        <v>2310307.9714784613</v>
      </c>
      <c r="K43" s="33">
        <f t="shared" ref="K43:K74" si="15">IF(COUNT(M43:Z43)&gt;1,STDEV(M43:Z43)/AVERAGE(M43:Z43),"")</f>
        <v>1.8927403345865894</v>
      </c>
      <c r="L43" s="37"/>
      <c r="M43" s="37">
        <v>1301000</v>
      </c>
      <c r="N43" s="37">
        <v>674000</v>
      </c>
      <c r="O43" s="37">
        <v>1268000</v>
      </c>
      <c r="P43" s="37">
        <v>2163000</v>
      </c>
      <c r="Q43" s="37">
        <v>2132000</v>
      </c>
      <c r="R43" s="37">
        <v>2282000</v>
      </c>
      <c r="S43" s="37">
        <v>2193000</v>
      </c>
      <c r="T43" s="37">
        <v>2094000</v>
      </c>
      <c r="U43" s="37">
        <v>1810000</v>
      </c>
      <c r="V43" s="37">
        <v>1562000</v>
      </c>
      <c r="W43" s="37">
        <v>3192000</v>
      </c>
      <c r="X43" s="37" t="s">
        <v>124</v>
      </c>
      <c r="Y43" s="37">
        <v>1380000</v>
      </c>
      <c r="Z43" s="37">
        <v>-6183000</v>
      </c>
      <c r="AB43" s="30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hidden="1" outlineLevel="2" x14ac:dyDescent="0.25">
      <c r="A44" s="29">
        <v>1</v>
      </c>
      <c r="C44" s="24" t="str">
        <f>"        Gain/(Loss) on Foreign Exchange"</f>
        <v xml:space="preserve">        Gain/(Loss) on Foreign Exchange</v>
      </c>
      <c r="D44" s="32">
        <f t="shared" si="8"/>
        <v>-16000</v>
      </c>
      <c r="E44" s="32">
        <f t="shared" si="9"/>
        <v>48000</v>
      </c>
      <c r="F44" s="32">
        <f t="shared" si="10"/>
        <v>-154000</v>
      </c>
      <c r="G44" s="32">
        <f t="shared" si="11"/>
        <v>378000</v>
      </c>
      <c r="H44" s="32">
        <f t="shared" si="12"/>
        <v>-74500</v>
      </c>
      <c r="I44" s="32">
        <f t="shared" si="13"/>
        <v>106500</v>
      </c>
      <c r="J44" s="32">
        <f t="shared" si="14"/>
        <v>230899.68962011766</v>
      </c>
      <c r="K44" s="33">
        <f t="shared" si="15"/>
        <v>4.8104102004191178</v>
      </c>
      <c r="L44" s="37"/>
      <c r="M44" s="37" t="s">
        <v>124</v>
      </c>
      <c r="N44" s="37" t="s">
        <v>124</v>
      </c>
      <c r="O44" s="37" t="s">
        <v>124</v>
      </c>
      <c r="P44" s="37" t="s">
        <v>124</v>
      </c>
      <c r="Q44" s="37" t="s">
        <v>124</v>
      </c>
      <c r="R44" s="37" t="s">
        <v>124</v>
      </c>
      <c r="S44" s="37" t="s">
        <v>124</v>
      </c>
      <c r="T44" s="37">
        <v>378000</v>
      </c>
      <c r="U44" s="37">
        <v>-154000</v>
      </c>
      <c r="V44" s="37">
        <v>16000</v>
      </c>
      <c r="W44" s="37">
        <v>-48000</v>
      </c>
      <c r="X44" s="37" t="s">
        <v>124</v>
      </c>
      <c r="Y44" s="37" t="s">
        <v>124</v>
      </c>
      <c r="Z44" s="37" t="s">
        <v>124</v>
      </c>
      <c r="AB44" s="3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hidden="1" outlineLevel="2" x14ac:dyDescent="0.25">
      <c r="A45" s="29">
        <v>1</v>
      </c>
      <c r="C45" s="24" t="str">
        <f>"        Gain/(Loss) on Derivatives"</f>
        <v xml:space="preserve">        Gain/(Loss) on Derivatives</v>
      </c>
      <c r="D45" s="32">
        <f t="shared" si="8"/>
        <v>41000</v>
      </c>
      <c r="E45" s="32">
        <f t="shared" si="9"/>
        <v>15333.333333333334</v>
      </c>
      <c r="F45" s="32">
        <f t="shared" si="10"/>
        <v>-63000</v>
      </c>
      <c r="G45" s="32">
        <f t="shared" si="11"/>
        <v>68000</v>
      </c>
      <c r="H45" s="32">
        <f t="shared" si="12"/>
        <v>-11000</v>
      </c>
      <c r="I45" s="32">
        <f t="shared" si="13"/>
        <v>54500</v>
      </c>
      <c r="J45" s="32">
        <f t="shared" si="14"/>
        <v>69168.875466739613</v>
      </c>
      <c r="K45" s="33">
        <f t="shared" si="15"/>
        <v>4.5110136173960615</v>
      </c>
      <c r="L45" s="37"/>
      <c r="M45" s="37" t="s">
        <v>124</v>
      </c>
      <c r="N45" s="37" t="s">
        <v>124</v>
      </c>
      <c r="O45" s="37" t="s">
        <v>124</v>
      </c>
      <c r="P45" s="37" t="s">
        <v>124</v>
      </c>
      <c r="Q45" s="37" t="s">
        <v>124</v>
      </c>
      <c r="R45" s="37" t="s">
        <v>124</v>
      </c>
      <c r="S45" s="37" t="s">
        <v>124</v>
      </c>
      <c r="T45" s="37" t="s">
        <v>124</v>
      </c>
      <c r="U45" s="37" t="s">
        <v>124</v>
      </c>
      <c r="V45" s="37">
        <v>-63000</v>
      </c>
      <c r="W45" s="37">
        <v>41000</v>
      </c>
      <c r="X45" s="37">
        <v>68000</v>
      </c>
      <c r="Y45" s="37" t="s">
        <v>124</v>
      </c>
      <c r="Z45" s="37" t="s">
        <v>124</v>
      </c>
      <c r="AB45" s="30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hidden="1" outlineLevel="2" x14ac:dyDescent="0.25">
      <c r="A46" s="29">
        <v>1</v>
      </c>
      <c r="C46" s="25" t="str">
        <f>"        Total Net Investment Income"</f>
        <v xml:space="preserve">        Total Net Investment Income</v>
      </c>
      <c r="D46" s="45">
        <f t="shared" si="8"/>
        <v>1974000</v>
      </c>
      <c r="E46" s="45">
        <f t="shared" si="9"/>
        <v>1298357.142857143</v>
      </c>
      <c r="F46" s="45">
        <f t="shared" si="10"/>
        <v>-6183000</v>
      </c>
      <c r="G46" s="45">
        <f t="shared" si="11"/>
        <v>3329000</v>
      </c>
      <c r="H46" s="45">
        <f t="shared" si="12"/>
        <v>1356000</v>
      </c>
      <c r="I46" s="45">
        <f t="shared" si="13"/>
        <v>2330750</v>
      </c>
      <c r="J46" s="45">
        <f t="shared" si="14"/>
        <v>2282398.2867940553</v>
      </c>
      <c r="K46" s="46">
        <f t="shared" si="15"/>
        <v>1.7579125276512499</v>
      </c>
      <c r="L46" s="47"/>
      <c r="M46" s="47">
        <v>1872000</v>
      </c>
      <c r="N46" s="47">
        <v>939000</v>
      </c>
      <c r="O46" s="47">
        <v>1348000</v>
      </c>
      <c r="P46" s="47">
        <v>2421000</v>
      </c>
      <c r="Q46" s="47">
        <v>2076000</v>
      </c>
      <c r="R46" s="47">
        <v>2282000</v>
      </c>
      <c r="S46" s="47">
        <v>2193000</v>
      </c>
      <c r="T46" s="47">
        <v>2472000</v>
      </c>
      <c r="U46" s="47">
        <v>2347000</v>
      </c>
      <c r="V46" s="47">
        <v>1420000</v>
      </c>
      <c r="W46" s="47">
        <v>3329000</v>
      </c>
      <c r="X46" s="47">
        <v>281000</v>
      </c>
      <c r="Y46" s="47">
        <v>1380000</v>
      </c>
      <c r="Z46" s="47">
        <v>-6183000</v>
      </c>
      <c r="AB46" s="30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hidden="1" outlineLevel="1" x14ac:dyDescent="0.25">
      <c r="A47" s="29">
        <v>1</v>
      </c>
      <c r="C47" s="24" t="str">
        <f>"    Rental Income"</f>
        <v xml:space="preserve">    Rental Income</v>
      </c>
      <c r="D47" s="32">
        <f t="shared" si="8"/>
        <v>164000</v>
      </c>
      <c r="E47" s="32">
        <f t="shared" si="9"/>
        <v>164000</v>
      </c>
      <c r="F47" s="32">
        <f t="shared" si="10"/>
        <v>164000</v>
      </c>
      <c r="G47" s="32">
        <f t="shared" si="11"/>
        <v>164000</v>
      </c>
      <c r="H47" s="32">
        <f t="shared" si="12"/>
        <v>164000</v>
      </c>
      <c r="I47" s="32">
        <f t="shared" si="13"/>
        <v>164000</v>
      </c>
      <c r="J47" s="32" t="str">
        <f t="shared" si="14"/>
        <v/>
      </c>
      <c r="K47" s="33" t="str">
        <f t="shared" si="15"/>
        <v/>
      </c>
      <c r="L47" s="37"/>
      <c r="M47" s="37" t="s">
        <v>124</v>
      </c>
      <c r="N47" s="37" t="s">
        <v>124</v>
      </c>
      <c r="O47" s="37" t="s">
        <v>124</v>
      </c>
      <c r="P47" s="37" t="s">
        <v>124</v>
      </c>
      <c r="Q47" s="37" t="s">
        <v>124</v>
      </c>
      <c r="R47" s="37" t="s">
        <v>124</v>
      </c>
      <c r="S47" s="37" t="s">
        <v>124</v>
      </c>
      <c r="T47" s="37" t="s">
        <v>124</v>
      </c>
      <c r="U47" s="37" t="s">
        <v>124</v>
      </c>
      <c r="V47" s="37" t="s">
        <v>124</v>
      </c>
      <c r="W47" s="37" t="s">
        <v>124</v>
      </c>
      <c r="X47" s="37">
        <v>164000</v>
      </c>
      <c r="Y47" s="37" t="s">
        <v>124</v>
      </c>
      <c r="Z47" s="37" t="s">
        <v>124</v>
      </c>
      <c r="AB47" s="30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hidden="1" outlineLevel="1" x14ac:dyDescent="0.25">
      <c r="A48" s="29">
        <v>1</v>
      </c>
      <c r="C48" s="24" t="str">
        <f>IF(SUBTOTAL(109,A48)=A48,"    Irregular (Income)/Expenses","    Irregular (Income)/Expenses")</f>
        <v xml:space="preserve">    Irregular (Income)/Expenses</v>
      </c>
      <c r="D48" s="32">
        <f t="shared" si="8"/>
        <v>285500</v>
      </c>
      <c r="E48" s="32">
        <f t="shared" si="9"/>
        <v>-12351625</v>
      </c>
      <c r="F48" s="32">
        <f t="shared" si="10"/>
        <v>-128155000</v>
      </c>
      <c r="G48" s="32">
        <f t="shared" si="11"/>
        <v>27395000</v>
      </c>
      <c r="H48" s="32">
        <f t="shared" si="12"/>
        <v>-259250</v>
      </c>
      <c r="I48" s="32">
        <f t="shared" si="13"/>
        <v>881750</v>
      </c>
      <c r="J48" s="32">
        <f t="shared" si="14"/>
        <v>47744164.807073541</v>
      </c>
      <c r="K48" s="33">
        <f t="shared" si="15"/>
        <v>-3.8654156685515906</v>
      </c>
      <c r="L48" s="37"/>
      <c r="M48" s="37" t="str">
        <f>IF(SUBTOTAL(109,A48)=A48,"","")</f>
        <v/>
      </c>
      <c r="N48" s="37" t="str">
        <f>IF(SUBTOTAL(109,A48)=A48,"","")</f>
        <v/>
      </c>
      <c r="O48" s="37" t="str">
        <f>IF(SUBTOTAL(109,A48)=A48,"","")</f>
        <v/>
      </c>
      <c r="P48" s="37" t="str">
        <f>IF(SUBTOTAL(109,A48)=A48,"","")</f>
        <v/>
      </c>
      <c r="Q48" s="37" t="str">
        <f>IF(SUBTOTAL(109,A48)=A48,"","")</f>
        <v/>
      </c>
      <c r="R48" s="37" t="str">
        <f>IF(SUBTOTAL(109,A48)=A48,"","")</f>
        <v/>
      </c>
      <c r="S48" s="37">
        <f>IF(SUBTOTAL(109,A48)=A48,"",-449000)</f>
        <v>-449000</v>
      </c>
      <c r="T48" s="37">
        <f>IF(SUBTOTAL(109,A48)=A48,"",-82000)</f>
        <v>-82000</v>
      </c>
      <c r="U48" s="37">
        <f>IF(SUBTOTAL(109,A48)=A48,"",753000)</f>
        <v>753000</v>
      </c>
      <c r="V48" s="37">
        <f>IF(SUBTOTAL(109,A48)=A48,"",27395000)</f>
        <v>27395000</v>
      </c>
      <c r="W48" s="37">
        <f>IF(SUBTOTAL(109,A48)=A48,"",1268000)</f>
        <v>1268000</v>
      </c>
      <c r="X48" s="37">
        <f>IF(SUBTOTAL(109,A48)=A48,"",-196000)</f>
        <v>-196000</v>
      </c>
      <c r="Y48" s="37">
        <f>IF(SUBTOTAL(109,A48)=A48,"",-128155000)</f>
        <v>-128155000</v>
      </c>
      <c r="Z48" s="37">
        <f>IF(SUBTOTAL(109,A48)=A48,"",653000)</f>
        <v>653000</v>
      </c>
      <c r="AB48" s="30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hidden="1" outlineLevel="2" x14ac:dyDescent="0.25">
      <c r="A49" s="29">
        <v>1</v>
      </c>
      <c r="C49" s="24" t="str">
        <f>"        Impairment/Write Off/Write Down of Capital Assets"</f>
        <v xml:space="preserve">        Impairment/Write Off/Write Down of Capital Assets</v>
      </c>
      <c r="D49" s="32">
        <f t="shared" si="8"/>
        <v>610000</v>
      </c>
      <c r="E49" s="32">
        <f t="shared" si="9"/>
        <v>610000</v>
      </c>
      <c r="F49" s="32">
        <f t="shared" si="10"/>
        <v>610000</v>
      </c>
      <c r="G49" s="32">
        <f t="shared" si="11"/>
        <v>610000</v>
      </c>
      <c r="H49" s="32">
        <f t="shared" si="12"/>
        <v>610000</v>
      </c>
      <c r="I49" s="32">
        <f t="shared" si="13"/>
        <v>610000</v>
      </c>
      <c r="J49" s="32" t="str">
        <f t="shared" si="14"/>
        <v/>
      </c>
      <c r="K49" s="33" t="str">
        <f t="shared" si="15"/>
        <v/>
      </c>
      <c r="L49" s="37"/>
      <c r="M49" s="37" t="s">
        <v>124</v>
      </c>
      <c r="N49" s="37" t="s">
        <v>124</v>
      </c>
      <c r="O49" s="37" t="s">
        <v>124</v>
      </c>
      <c r="P49" s="37" t="s">
        <v>124</v>
      </c>
      <c r="Q49" s="37" t="s">
        <v>124</v>
      </c>
      <c r="R49" s="37" t="s">
        <v>124</v>
      </c>
      <c r="S49" s="37" t="s">
        <v>124</v>
      </c>
      <c r="T49" s="37" t="s">
        <v>124</v>
      </c>
      <c r="U49" s="37" t="s">
        <v>124</v>
      </c>
      <c r="V49" s="37" t="s">
        <v>124</v>
      </c>
      <c r="W49" s="37" t="s">
        <v>124</v>
      </c>
      <c r="X49" s="37" t="s">
        <v>124</v>
      </c>
      <c r="Y49" s="37" t="s">
        <v>124</v>
      </c>
      <c r="Z49" s="37">
        <v>610000</v>
      </c>
      <c r="AB49" s="30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hidden="1" outlineLevel="2" x14ac:dyDescent="0.25">
      <c r="A50" s="29">
        <v>1</v>
      </c>
      <c r="C50" s="24" t="str">
        <f>"        Goodwill Impairment/Write Off"</f>
        <v xml:space="preserve">        Goodwill Impairment/Write Off</v>
      </c>
      <c r="D50" s="32">
        <f t="shared" si="8"/>
        <v>541000</v>
      </c>
      <c r="E50" s="32">
        <f t="shared" si="9"/>
        <v>5818400</v>
      </c>
      <c r="F50" s="32">
        <f t="shared" si="10"/>
        <v>0</v>
      </c>
      <c r="G50" s="32">
        <f t="shared" si="11"/>
        <v>27145000</v>
      </c>
      <c r="H50" s="32">
        <f t="shared" si="12"/>
        <v>120000</v>
      </c>
      <c r="I50" s="32">
        <f t="shared" si="13"/>
        <v>1286000</v>
      </c>
      <c r="J50" s="32">
        <f t="shared" si="14"/>
        <v>11932550.117221382</v>
      </c>
      <c r="K50" s="33">
        <f t="shared" si="15"/>
        <v>2.0508301452669775</v>
      </c>
      <c r="L50" s="37"/>
      <c r="M50" s="37" t="s">
        <v>124</v>
      </c>
      <c r="N50" s="37" t="s">
        <v>124</v>
      </c>
      <c r="O50" s="37" t="s">
        <v>124</v>
      </c>
      <c r="P50" s="37" t="s">
        <v>124</v>
      </c>
      <c r="Q50" s="37" t="s">
        <v>124</v>
      </c>
      <c r="R50" s="37" t="s">
        <v>124</v>
      </c>
      <c r="S50" s="37" t="s">
        <v>124</v>
      </c>
      <c r="T50" s="37">
        <v>120000</v>
      </c>
      <c r="U50" s="37">
        <v>541000</v>
      </c>
      <c r="V50" s="37">
        <v>27145000</v>
      </c>
      <c r="W50" s="37">
        <v>1286000</v>
      </c>
      <c r="X50" s="37">
        <v>0</v>
      </c>
      <c r="Y50" s="37" t="s">
        <v>124</v>
      </c>
      <c r="Z50" s="37" t="s">
        <v>124</v>
      </c>
      <c r="AB50" s="30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hidden="1" outlineLevel="2" x14ac:dyDescent="0.25">
      <c r="A51" s="29">
        <v>1</v>
      </c>
      <c r="C51" s="24" t="str">
        <f>"        Impairment/Write Off/Write Down of Other Assets"</f>
        <v xml:space="preserve">        Impairment/Write Off/Write Down of Other Assets</v>
      </c>
      <c r="D51" s="32">
        <f t="shared" si="8"/>
        <v>43000</v>
      </c>
      <c r="E51" s="32">
        <f t="shared" si="9"/>
        <v>43000</v>
      </c>
      <c r="F51" s="32">
        <f t="shared" si="10"/>
        <v>43000</v>
      </c>
      <c r="G51" s="32">
        <f t="shared" si="11"/>
        <v>43000</v>
      </c>
      <c r="H51" s="32">
        <f t="shared" si="12"/>
        <v>43000</v>
      </c>
      <c r="I51" s="32">
        <f t="shared" si="13"/>
        <v>43000</v>
      </c>
      <c r="J51" s="32" t="str">
        <f t="shared" si="14"/>
        <v/>
      </c>
      <c r="K51" s="33" t="str">
        <f t="shared" si="15"/>
        <v/>
      </c>
      <c r="L51" s="37"/>
      <c r="M51" s="37" t="s">
        <v>124</v>
      </c>
      <c r="N51" s="37" t="s">
        <v>124</v>
      </c>
      <c r="O51" s="37" t="s">
        <v>124</v>
      </c>
      <c r="P51" s="37" t="s">
        <v>124</v>
      </c>
      <c r="Q51" s="37" t="s">
        <v>124</v>
      </c>
      <c r="R51" s="37" t="s">
        <v>124</v>
      </c>
      <c r="S51" s="37" t="s">
        <v>124</v>
      </c>
      <c r="T51" s="37" t="s">
        <v>124</v>
      </c>
      <c r="U51" s="37" t="s">
        <v>124</v>
      </c>
      <c r="V51" s="37" t="s">
        <v>124</v>
      </c>
      <c r="W51" s="37" t="s">
        <v>124</v>
      </c>
      <c r="X51" s="37" t="s">
        <v>124</v>
      </c>
      <c r="Y51" s="37" t="s">
        <v>124</v>
      </c>
      <c r="Z51" s="37">
        <v>43000</v>
      </c>
      <c r="AB51" s="30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 hidden="1" outlineLevel="2" x14ac:dyDescent="0.25">
      <c r="A52" s="29">
        <v>1</v>
      </c>
      <c r="C52" s="24" t="str">
        <f>"        (Gain)/Loss on Extinguishment of Debt"</f>
        <v xml:space="preserve">        (Gain)/Loss on Extinguishment of Debt</v>
      </c>
      <c r="D52" s="32">
        <f t="shared" si="8"/>
        <v>-107000</v>
      </c>
      <c r="E52" s="32">
        <f t="shared" si="9"/>
        <v>-67166.666666666672</v>
      </c>
      <c r="F52" s="32">
        <f t="shared" si="10"/>
        <v>-449000</v>
      </c>
      <c r="G52" s="32">
        <f t="shared" si="11"/>
        <v>250000</v>
      </c>
      <c r="H52" s="32">
        <f t="shared" si="12"/>
        <v>-200500</v>
      </c>
      <c r="I52" s="32">
        <f t="shared" si="13"/>
        <v>154500</v>
      </c>
      <c r="J52" s="32">
        <f t="shared" si="14"/>
        <v>268894.3410833829</v>
      </c>
      <c r="K52" s="33">
        <f t="shared" si="15"/>
        <v>-4.0033896935491251</v>
      </c>
      <c r="L52" s="37"/>
      <c r="M52" s="37" t="s">
        <v>124</v>
      </c>
      <c r="N52" s="37" t="s">
        <v>124</v>
      </c>
      <c r="O52" s="37" t="s">
        <v>124</v>
      </c>
      <c r="P52" s="37" t="s">
        <v>124</v>
      </c>
      <c r="Q52" s="37" t="s">
        <v>124</v>
      </c>
      <c r="R52" s="37" t="s">
        <v>124</v>
      </c>
      <c r="S52" s="37">
        <v>-449000</v>
      </c>
      <c r="T52" s="37">
        <v>-202000</v>
      </c>
      <c r="U52" s="37">
        <v>212000</v>
      </c>
      <c r="V52" s="37">
        <v>250000</v>
      </c>
      <c r="W52" s="37">
        <v>-18000</v>
      </c>
      <c r="X52" s="37">
        <v>-196000</v>
      </c>
      <c r="Y52" s="37" t="s">
        <v>124</v>
      </c>
      <c r="Z52" s="37" t="s">
        <v>124</v>
      </c>
      <c r="AB52" s="30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 hidden="1" outlineLevel="2" x14ac:dyDescent="0.25">
      <c r="A53" s="29">
        <v>1</v>
      </c>
      <c r="C53" s="25" t="str">
        <f>"        Total Irregular (Income)/Expenses"</f>
        <v xml:space="preserve">        Total Irregular (Income)/Expenses</v>
      </c>
      <c r="D53" s="45">
        <f t="shared" si="8"/>
        <v>285500</v>
      </c>
      <c r="E53" s="45">
        <f t="shared" si="9"/>
        <v>-12351625</v>
      </c>
      <c r="F53" s="45">
        <f t="shared" si="10"/>
        <v>-128155000</v>
      </c>
      <c r="G53" s="45">
        <f t="shared" si="11"/>
        <v>27395000</v>
      </c>
      <c r="H53" s="45">
        <f t="shared" si="12"/>
        <v>-259250</v>
      </c>
      <c r="I53" s="45">
        <f t="shared" si="13"/>
        <v>881750</v>
      </c>
      <c r="J53" s="45">
        <f t="shared" si="14"/>
        <v>47744164.807073541</v>
      </c>
      <c r="K53" s="46">
        <f t="shared" si="15"/>
        <v>-3.8654156685515906</v>
      </c>
      <c r="L53" s="47"/>
      <c r="M53" s="47" t="s">
        <v>124</v>
      </c>
      <c r="N53" s="47" t="s">
        <v>124</v>
      </c>
      <c r="O53" s="47" t="s">
        <v>124</v>
      </c>
      <c r="P53" s="47" t="s">
        <v>124</v>
      </c>
      <c r="Q53" s="47" t="s">
        <v>124</v>
      </c>
      <c r="R53" s="47" t="s">
        <v>124</v>
      </c>
      <c r="S53" s="47">
        <v>-449000</v>
      </c>
      <c r="T53" s="47">
        <v>-82000</v>
      </c>
      <c r="U53" s="47">
        <v>753000</v>
      </c>
      <c r="V53" s="47">
        <v>27395000</v>
      </c>
      <c r="W53" s="47">
        <v>1268000</v>
      </c>
      <c r="X53" s="47">
        <v>-196000</v>
      </c>
      <c r="Y53" s="47">
        <v>-128155000</v>
      </c>
      <c r="Z53" s="47">
        <v>653000</v>
      </c>
      <c r="AB53" s="30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 hidden="1" outlineLevel="1" x14ac:dyDescent="0.25">
      <c r="A54" s="29">
        <v>1</v>
      </c>
      <c r="C54" s="24" t="str">
        <f>"    Other Income/(Expense), Non-Operating"</f>
        <v xml:space="preserve">    Other Income/(Expense), Non-Operating</v>
      </c>
      <c r="D54" s="32">
        <f t="shared" si="8"/>
        <v>960000</v>
      </c>
      <c r="E54" s="32">
        <f t="shared" si="9"/>
        <v>1050909.0909090908</v>
      </c>
      <c r="F54" s="32">
        <f t="shared" si="10"/>
        <v>234000</v>
      </c>
      <c r="G54" s="32">
        <f t="shared" si="11"/>
        <v>2324000</v>
      </c>
      <c r="H54" s="32">
        <f t="shared" si="12"/>
        <v>450500</v>
      </c>
      <c r="I54" s="32">
        <f t="shared" si="13"/>
        <v>1428000</v>
      </c>
      <c r="J54" s="32">
        <f t="shared" si="14"/>
        <v>718804.34814286616</v>
      </c>
      <c r="K54" s="33">
        <f t="shared" si="15"/>
        <v>0.68398337626051287</v>
      </c>
      <c r="L54" s="37"/>
      <c r="M54" s="37">
        <v>2324000</v>
      </c>
      <c r="N54" s="37">
        <v>1379000</v>
      </c>
      <c r="O54" s="37">
        <v>960000</v>
      </c>
      <c r="P54" s="37">
        <v>2003000</v>
      </c>
      <c r="Q54" s="37">
        <v>1435000</v>
      </c>
      <c r="R54" s="37">
        <v>1421000</v>
      </c>
      <c r="S54" s="37" t="s">
        <v>124</v>
      </c>
      <c r="T54" s="37">
        <v>234000</v>
      </c>
      <c r="U54" s="37">
        <v>280000</v>
      </c>
      <c r="V54" s="37">
        <v>644000</v>
      </c>
      <c r="W54" s="37">
        <v>259000</v>
      </c>
      <c r="X54" s="37">
        <v>621000</v>
      </c>
      <c r="Y54" s="37" t="s">
        <v>124</v>
      </c>
      <c r="Z54" s="37" t="s">
        <v>124</v>
      </c>
      <c r="AB54" s="30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 hidden="1" outlineLevel="1" x14ac:dyDescent="0.25">
      <c r="A55" s="29">
        <v>1</v>
      </c>
      <c r="C55" s="26" t="str">
        <f>"    Total Non-Operating Income/(Expenses), Total"</f>
        <v xml:space="preserve">    Total Non-Operating Income/(Expenses), Total</v>
      </c>
      <c r="D55" s="45">
        <f t="shared" si="8"/>
        <v>2415500</v>
      </c>
      <c r="E55" s="45">
        <f t="shared" si="9"/>
        <v>8414714.2857142854</v>
      </c>
      <c r="F55" s="45">
        <f t="shared" si="10"/>
        <v>-25477000</v>
      </c>
      <c r="G55" s="45">
        <f t="shared" si="11"/>
        <v>124705000</v>
      </c>
      <c r="H55" s="45">
        <f t="shared" si="12"/>
        <v>1542250</v>
      </c>
      <c r="I55" s="45">
        <f t="shared" si="13"/>
        <v>3292000</v>
      </c>
      <c r="J55" s="45">
        <f t="shared" si="14"/>
        <v>34382374.703033246</v>
      </c>
      <c r="K55" s="46">
        <f t="shared" si="15"/>
        <v>4.0859824274015368</v>
      </c>
      <c r="L55" s="45"/>
      <c r="M55" s="45">
        <v>3392000</v>
      </c>
      <c r="N55" s="45">
        <v>1461000</v>
      </c>
      <c r="O55" s="45">
        <v>1955000</v>
      </c>
      <c r="P55" s="45">
        <v>4104000</v>
      </c>
      <c r="Q55" s="45">
        <v>3202000</v>
      </c>
      <c r="R55" s="45">
        <v>3322000</v>
      </c>
      <c r="S55" s="45">
        <v>2833000</v>
      </c>
      <c r="T55" s="45">
        <v>2596000</v>
      </c>
      <c r="U55" s="45">
        <v>1786000</v>
      </c>
      <c r="V55" s="45">
        <v>-25477000</v>
      </c>
      <c r="W55" s="45">
        <v>2235000</v>
      </c>
      <c r="X55" s="45">
        <v>629000</v>
      </c>
      <c r="Y55" s="45">
        <v>124705000</v>
      </c>
      <c r="Z55" s="45">
        <v>-8937000</v>
      </c>
      <c r="AB55" s="30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x14ac:dyDescent="0.25">
      <c r="A56" s="29">
        <v>1</v>
      </c>
      <c r="C56" s="26" t="str">
        <f>"Pretax Income"</f>
        <v>Pretax Income</v>
      </c>
      <c r="D56" s="43">
        <f t="shared" si="8"/>
        <v>8233000</v>
      </c>
      <c r="E56" s="43">
        <f t="shared" si="9"/>
        <v>9998785.7142857146</v>
      </c>
      <c r="F56" s="43">
        <f t="shared" si="10"/>
        <v>-29471000</v>
      </c>
      <c r="G56" s="43">
        <f t="shared" si="11"/>
        <v>102493000</v>
      </c>
      <c r="H56" s="43">
        <f t="shared" si="12"/>
        <v>6161750</v>
      </c>
      <c r="I56" s="43">
        <f t="shared" si="13"/>
        <v>11191500</v>
      </c>
      <c r="J56" s="43">
        <f t="shared" si="14"/>
        <v>29998051.634624977</v>
      </c>
      <c r="K56" s="44">
        <f t="shared" si="15"/>
        <v>3.0001694697552534</v>
      </c>
      <c r="L56" s="43"/>
      <c r="M56" s="43">
        <v>12716000</v>
      </c>
      <c r="N56" s="43">
        <v>8095000</v>
      </c>
      <c r="O56" s="43">
        <v>7436000</v>
      </c>
      <c r="P56" s="43">
        <v>8549000</v>
      </c>
      <c r="Q56" s="43">
        <v>11863000</v>
      </c>
      <c r="R56" s="43">
        <v>12008000</v>
      </c>
      <c r="S56" s="43">
        <v>8371000</v>
      </c>
      <c r="T56" s="43">
        <v>4246000</v>
      </c>
      <c r="U56" s="43">
        <v>7458000</v>
      </c>
      <c r="V56" s="43">
        <v>-28695000</v>
      </c>
      <c r="W56" s="43">
        <v>9177000</v>
      </c>
      <c r="X56" s="43">
        <v>5737000</v>
      </c>
      <c r="Y56" s="43">
        <v>102493000</v>
      </c>
      <c r="Z56" s="43">
        <v>-29471000</v>
      </c>
      <c r="AB56" s="3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 x14ac:dyDescent="0.25">
      <c r="A57" s="29">
        <v>1</v>
      </c>
      <c r="C57" s="26" t="str">
        <f>"Provision for Income Tax"</f>
        <v>Provision for Income Tax</v>
      </c>
      <c r="D57" s="43">
        <f t="shared" si="8"/>
        <v>720500</v>
      </c>
      <c r="E57" s="43">
        <f t="shared" si="9"/>
        <v>-962357.14285714284</v>
      </c>
      <c r="F57" s="43">
        <f t="shared" si="10"/>
        <v>-34831000</v>
      </c>
      <c r="G57" s="43">
        <f t="shared" si="11"/>
        <v>11533000</v>
      </c>
      <c r="H57" s="43">
        <f t="shared" si="12"/>
        <v>-25500</v>
      </c>
      <c r="I57" s="43">
        <f t="shared" si="13"/>
        <v>2038750</v>
      </c>
      <c r="J57" s="43">
        <f t="shared" si="14"/>
        <v>10253414.280184865</v>
      </c>
      <c r="K57" s="44">
        <f t="shared" si="15"/>
        <v>-10.654479323282722</v>
      </c>
      <c r="L57" s="43"/>
      <c r="M57" s="43">
        <v>2771000</v>
      </c>
      <c r="N57" s="43">
        <v>1774000</v>
      </c>
      <c r="O57" s="43">
        <v>769000</v>
      </c>
      <c r="P57" s="43">
        <v>474000</v>
      </c>
      <c r="Q57" s="43">
        <v>11533000</v>
      </c>
      <c r="R57" s="43">
        <v>2739000</v>
      </c>
      <c r="S57" s="43">
        <v>-1219000</v>
      </c>
      <c r="T57" s="43">
        <v>228000</v>
      </c>
      <c r="U57" s="43">
        <v>2127000</v>
      </c>
      <c r="V57" s="43">
        <v>-34831000</v>
      </c>
      <c r="W57" s="43">
        <v>-110000</v>
      </c>
      <c r="X57" s="43">
        <v>672000</v>
      </c>
      <c r="Y57" s="43">
        <v>-2166000</v>
      </c>
      <c r="Z57" s="43">
        <v>1766000</v>
      </c>
      <c r="AB57" s="30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 x14ac:dyDescent="0.25">
      <c r="A58" s="29">
        <v>1</v>
      </c>
      <c r="C58" s="26" t="str">
        <f>"Earnings from Equity Interest, Post-Tax"</f>
        <v>Earnings from Equity Interest, Post-Tax</v>
      </c>
      <c r="D58" s="43">
        <f t="shared" si="8"/>
        <v>558000</v>
      </c>
      <c r="E58" s="43">
        <f t="shared" si="9"/>
        <v>603333.33333333337</v>
      </c>
      <c r="F58" s="43">
        <f t="shared" si="10"/>
        <v>-186000</v>
      </c>
      <c r="G58" s="43">
        <f t="shared" si="11"/>
        <v>1438000</v>
      </c>
      <c r="H58" s="43">
        <f t="shared" si="12"/>
        <v>186000</v>
      </c>
      <c r="I58" s="43">
        <f t="shared" si="13"/>
        <v>998000</v>
      </c>
      <c r="J58" s="43">
        <f t="shared" si="14"/>
        <v>812948.5428570084</v>
      </c>
      <c r="K58" s="44">
        <f t="shared" si="15"/>
        <v>1.3474285240723896</v>
      </c>
      <c r="L58" s="43"/>
      <c r="M58" s="43" t="s">
        <v>124</v>
      </c>
      <c r="N58" s="43" t="s">
        <v>124</v>
      </c>
      <c r="O58" s="43" t="s">
        <v>124</v>
      </c>
      <c r="P58" s="43" t="s">
        <v>124</v>
      </c>
      <c r="Q58" s="43" t="s">
        <v>124</v>
      </c>
      <c r="R58" s="43" t="s">
        <v>124</v>
      </c>
      <c r="S58" s="43" t="s">
        <v>124</v>
      </c>
      <c r="T58" s="43" t="s">
        <v>124</v>
      </c>
      <c r="U58" s="43" t="s">
        <v>124</v>
      </c>
      <c r="V58" s="43" t="s">
        <v>124</v>
      </c>
      <c r="W58" s="43" t="s">
        <v>124</v>
      </c>
      <c r="X58" s="43">
        <v>1438000</v>
      </c>
      <c r="Y58" s="43">
        <v>558000</v>
      </c>
      <c r="Z58" s="43">
        <v>-186000</v>
      </c>
      <c r="AB58" s="30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 x14ac:dyDescent="0.25">
      <c r="A59" s="29">
        <v>1</v>
      </c>
      <c r="C59" s="26" t="str">
        <f>"Net Income from Continuing Operations"</f>
        <v>Net Income from Continuing Operations</v>
      </c>
      <c r="D59" s="43">
        <f t="shared" si="8"/>
        <v>6585000</v>
      </c>
      <c r="E59" s="43">
        <f t="shared" si="9"/>
        <v>11117000</v>
      </c>
      <c r="F59" s="43">
        <f t="shared" si="10"/>
        <v>-31051000</v>
      </c>
      <c r="G59" s="43">
        <f t="shared" si="11"/>
        <v>105217000</v>
      </c>
      <c r="H59" s="43">
        <f t="shared" si="12"/>
        <v>5532250</v>
      </c>
      <c r="I59" s="43">
        <f t="shared" si="13"/>
        <v>9282500</v>
      </c>
      <c r="J59" s="43">
        <f t="shared" si="14"/>
        <v>29011681.657831982</v>
      </c>
      <c r="K59" s="44">
        <f t="shared" si="15"/>
        <v>2.609668225045604</v>
      </c>
      <c r="L59" s="43"/>
      <c r="M59" s="43">
        <v>9945000</v>
      </c>
      <c r="N59" s="43">
        <v>6321000</v>
      </c>
      <c r="O59" s="43">
        <v>6667000</v>
      </c>
      <c r="P59" s="43">
        <v>8075000</v>
      </c>
      <c r="Q59" s="43">
        <v>330000</v>
      </c>
      <c r="R59" s="43">
        <v>9269000</v>
      </c>
      <c r="S59" s="43">
        <v>9590000</v>
      </c>
      <c r="T59" s="43">
        <v>4018000</v>
      </c>
      <c r="U59" s="43">
        <v>5331000</v>
      </c>
      <c r="V59" s="43">
        <v>6136000</v>
      </c>
      <c r="W59" s="43">
        <v>9287000</v>
      </c>
      <c r="X59" s="43">
        <v>6503000</v>
      </c>
      <c r="Y59" s="43">
        <v>105217000</v>
      </c>
      <c r="Z59" s="43">
        <v>-31051000</v>
      </c>
      <c r="AB59" s="30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 x14ac:dyDescent="0.25">
      <c r="A60" s="29">
        <v>1</v>
      </c>
      <c r="C60" s="26" t="str">
        <f>"Discontinued Operations"</f>
        <v>Discontinued Operations</v>
      </c>
      <c r="D60" s="43">
        <f t="shared" si="8"/>
        <v>-35500</v>
      </c>
      <c r="E60" s="43">
        <f t="shared" si="9"/>
        <v>-1064500</v>
      </c>
      <c r="F60" s="43">
        <f t="shared" si="10"/>
        <v>-4212000</v>
      </c>
      <c r="G60" s="43">
        <f t="shared" si="11"/>
        <v>25000</v>
      </c>
      <c r="H60" s="43">
        <f t="shared" si="12"/>
        <v>-1105500</v>
      </c>
      <c r="I60" s="43">
        <f t="shared" si="13"/>
        <v>5500</v>
      </c>
      <c r="J60" s="43">
        <f t="shared" si="14"/>
        <v>2098716.1948835929</v>
      </c>
      <c r="K60" s="44">
        <f t="shared" si="15"/>
        <v>-1.971551145968617</v>
      </c>
      <c r="L60" s="43"/>
      <c r="M60" s="43" t="s">
        <v>124</v>
      </c>
      <c r="N60" s="43" t="s">
        <v>124</v>
      </c>
      <c r="O60" s="43" t="s">
        <v>124</v>
      </c>
      <c r="P60" s="43">
        <v>-70000</v>
      </c>
      <c r="Q60" s="43">
        <v>-4212000</v>
      </c>
      <c r="R60" s="43">
        <v>-1000</v>
      </c>
      <c r="S60" s="43">
        <v>25000</v>
      </c>
      <c r="T60" s="43" t="s">
        <v>124</v>
      </c>
      <c r="U60" s="43" t="s">
        <v>124</v>
      </c>
      <c r="V60" s="43" t="s">
        <v>124</v>
      </c>
      <c r="W60" s="43" t="s">
        <v>124</v>
      </c>
      <c r="X60" s="43" t="s">
        <v>124</v>
      </c>
      <c r="Y60" s="43" t="s">
        <v>124</v>
      </c>
      <c r="Z60" s="43" t="s">
        <v>124</v>
      </c>
      <c r="AB60" s="30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 ht="25.5" x14ac:dyDescent="0.25">
      <c r="A61" s="29">
        <v>1</v>
      </c>
      <c r="C61" s="26" t="str">
        <f>"Net Income after Extraordinary Items and Discontinued Operations"</f>
        <v>Net Income after Extraordinary Items and Discontinued Operations</v>
      </c>
      <c r="D61" s="43">
        <f t="shared" si="8"/>
        <v>6585000</v>
      </c>
      <c r="E61" s="43">
        <f t="shared" si="9"/>
        <v>10812857.142857144</v>
      </c>
      <c r="F61" s="43">
        <f t="shared" si="10"/>
        <v>-31051000</v>
      </c>
      <c r="G61" s="43">
        <f t="shared" si="11"/>
        <v>105217000</v>
      </c>
      <c r="H61" s="43">
        <f t="shared" si="12"/>
        <v>5532250</v>
      </c>
      <c r="I61" s="43">
        <f t="shared" si="13"/>
        <v>9282250</v>
      </c>
      <c r="J61" s="43">
        <f t="shared" si="14"/>
        <v>29154078.864535585</v>
      </c>
      <c r="K61" s="44">
        <f t="shared" si="15"/>
        <v>2.696241934889009</v>
      </c>
      <c r="L61" s="43"/>
      <c r="M61" s="43">
        <v>9945000</v>
      </c>
      <c r="N61" s="43">
        <v>6321000</v>
      </c>
      <c r="O61" s="43">
        <v>6667000</v>
      </c>
      <c r="P61" s="43">
        <v>8005000</v>
      </c>
      <c r="Q61" s="43">
        <v>-3882000</v>
      </c>
      <c r="R61" s="43">
        <v>9268000</v>
      </c>
      <c r="S61" s="43">
        <v>9615000</v>
      </c>
      <c r="T61" s="43">
        <v>4018000</v>
      </c>
      <c r="U61" s="43">
        <v>5331000</v>
      </c>
      <c r="V61" s="43">
        <v>6136000</v>
      </c>
      <c r="W61" s="43">
        <v>9287000</v>
      </c>
      <c r="X61" s="43">
        <v>6503000</v>
      </c>
      <c r="Y61" s="43">
        <v>105217000</v>
      </c>
      <c r="Z61" s="43">
        <v>-31051000</v>
      </c>
      <c r="AB61" s="30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 x14ac:dyDescent="0.25">
      <c r="A62" s="29">
        <v>1</v>
      </c>
      <c r="C62" s="26" t="str">
        <f>"Non-Controlling/Minority Interests"</f>
        <v>Non-Controlling/Minority Interests</v>
      </c>
      <c r="D62" s="43">
        <f t="shared" si="8"/>
        <v>-35000</v>
      </c>
      <c r="E62" s="43">
        <f t="shared" si="9"/>
        <v>15357.142857142857</v>
      </c>
      <c r="F62" s="43">
        <f t="shared" si="10"/>
        <v>-159000</v>
      </c>
      <c r="G62" s="43">
        <f t="shared" si="11"/>
        <v>396000</v>
      </c>
      <c r="H62" s="43">
        <f t="shared" si="12"/>
        <v>-73500</v>
      </c>
      <c r="I62" s="43">
        <f t="shared" si="13"/>
        <v>49500</v>
      </c>
      <c r="J62" s="43">
        <f t="shared" si="14"/>
        <v>162586.12257123069</v>
      </c>
      <c r="K62" s="44">
        <f t="shared" si="15"/>
        <v>10.587003330219673</v>
      </c>
      <c r="L62" s="43"/>
      <c r="M62" s="43">
        <v>-74000</v>
      </c>
      <c r="N62" s="43">
        <v>-106000</v>
      </c>
      <c r="O62" s="43">
        <v>-65000</v>
      </c>
      <c r="P62" s="43">
        <v>-9000</v>
      </c>
      <c r="Q62" s="43">
        <v>-18000</v>
      </c>
      <c r="R62" s="43">
        <v>-159000</v>
      </c>
      <c r="S62" s="43">
        <v>-72000</v>
      </c>
      <c r="T62" s="43">
        <v>69000</v>
      </c>
      <c r="U62" s="43">
        <v>-15000</v>
      </c>
      <c r="V62" s="43">
        <v>-52000</v>
      </c>
      <c r="W62" s="43">
        <v>97000</v>
      </c>
      <c r="X62" s="43">
        <v>331000</v>
      </c>
      <c r="Y62" s="43">
        <v>396000</v>
      </c>
      <c r="Z62" s="43">
        <v>-108000</v>
      </c>
      <c r="AB62" s="3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 x14ac:dyDescent="0.25">
      <c r="A63" s="29">
        <v>1</v>
      </c>
      <c r="C63" s="26" t="str">
        <f>"Net Income after Non-Controlling/Minority Interests"</f>
        <v>Net Income after Non-Controlling/Minority Interests</v>
      </c>
      <c r="D63" s="43">
        <f t="shared" si="8"/>
        <v>6579500</v>
      </c>
      <c r="E63" s="43">
        <f t="shared" si="9"/>
        <v>10797500</v>
      </c>
      <c r="F63" s="43">
        <f t="shared" si="10"/>
        <v>-30943000</v>
      </c>
      <c r="G63" s="43">
        <f t="shared" si="11"/>
        <v>104821000</v>
      </c>
      <c r="H63" s="43">
        <f t="shared" si="12"/>
        <v>5552500</v>
      </c>
      <c r="I63" s="43">
        <f t="shared" si="13"/>
        <v>9367750</v>
      </c>
      <c r="J63" s="43">
        <f t="shared" si="14"/>
        <v>29044514.974696767</v>
      </c>
      <c r="K63" s="44">
        <f t="shared" si="15"/>
        <v>2.6899296109929862</v>
      </c>
      <c r="L63" s="43"/>
      <c r="M63" s="43">
        <v>10019000</v>
      </c>
      <c r="N63" s="43">
        <v>6427000</v>
      </c>
      <c r="O63" s="43">
        <v>6732000</v>
      </c>
      <c r="P63" s="43">
        <v>8014000</v>
      </c>
      <c r="Q63" s="43">
        <v>-3864000</v>
      </c>
      <c r="R63" s="43">
        <v>9427000</v>
      </c>
      <c r="S63" s="43">
        <v>9687000</v>
      </c>
      <c r="T63" s="43">
        <v>3949000</v>
      </c>
      <c r="U63" s="43">
        <v>5346000</v>
      </c>
      <c r="V63" s="43">
        <v>6188000</v>
      </c>
      <c r="W63" s="43">
        <v>9190000</v>
      </c>
      <c r="X63" s="43">
        <v>6172000</v>
      </c>
      <c r="Y63" s="43">
        <v>104821000</v>
      </c>
      <c r="Z63" s="43">
        <v>-30943000</v>
      </c>
      <c r="AB63" s="30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 x14ac:dyDescent="0.25">
      <c r="A64" s="29">
        <v>1</v>
      </c>
      <c r="C64" s="26" t="str">
        <f>IF(SUBTOTAL(109,A64)=A64,"Preferred/Other Stock Distribution","Preferred/Other Stock Distribution")</f>
        <v>Preferred/Other Stock Distribution</v>
      </c>
      <c r="D64" s="43" t="str">
        <f t="shared" si="8"/>
        <v/>
      </c>
      <c r="E64" s="43" t="str">
        <f t="shared" si="9"/>
        <v/>
      </c>
      <c r="F64" s="43" t="str">
        <f t="shared" si="10"/>
        <v/>
      </c>
      <c r="G64" s="43" t="str">
        <f t="shared" si="11"/>
        <v/>
      </c>
      <c r="H64" s="43" t="str">
        <f t="shared" si="12"/>
        <v/>
      </c>
      <c r="I64" s="43" t="str">
        <f t="shared" si="13"/>
        <v/>
      </c>
      <c r="J64" s="43" t="str">
        <f t="shared" si="14"/>
        <v/>
      </c>
      <c r="K64" s="44" t="str">
        <f t="shared" si="15"/>
        <v/>
      </c>
      <c r="L64" s="43"/>
      <c r="M64" s="43" t="str">
        <f>IF(SUBTOTAL(109,A64)=A64,"",182000)</f>
        <v/>
      </c>
      <c r="N64" s="43" t="str">
        <f>IF(SUBTOTAL(109,A64)=A64,"",180000)</f>
        <v/>
      </c>
      <c r="O64" s="43" t="str">
        <f>IF(SUBTOTAL(109,A64)=A64,"",151000)</f>
        <v/>
      </c>
      <c r="P64" s="43" t="str">
        <f>IF(SUBTOTAL(109,A64)=A64,"",98000)</f>
        <v/>
      </c>
      <c r="Q64" s="43" t="str">
        <f>IF(SUBTOTAL(109,A64)=A64,"",16000)</f>
        <v/>
      </c>
      <c r="R64" s="43" t="str">
        <f>IF(SUBTOTAL(109,A64)=A64,"",0)</f>
        <v/>
      </c>
      <c r="S64" s="43" t="str">
        <f>IF(SUBTOTAL(109,A64)=A64,"",0)</f>
        <v/>
      </c>
      <c r="T64" s="43" t="str">
        <f>IF(SUBTOTAL(109,A64)=A64,"",1145000)</f>
        <v/>
      </c>
      <c r="U64" s="43" t="str">
        <f>IF(SUBTOTAL(109,A64)=A64,"",1576000)</f>
        <v/>
      </c>
      <c r="V64" s="43" t="str">
        <f>IF(SUBTOTAL(109,A64)=A64,"",1329000)</f>
        <v/>
      </c>
      <c r="W64" s="43" t="str">
        <f>IF(SUBTOTAL(109,A64)=A64,"",1605000)</f>
        <v/>
      </c>
      <c r="X64" s="43" t="str">
        <f>IF(SUBTOTAL(109,A64)=A64,"",1504000)</f>
        <v/>
      </c>
      <c r="Y64" s="43" t="str">
        <f>IF(SUBTOTAL(109,A64)=A64,"",131000)</f>
        <v/>
      </c>
      <c r="Z64" s="43" t="str">
        <f>IF(SUBTOTAL(109,A64)=A64,"",0)</f>
        <v/>
      </c>
      <c r="AB64" s="30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 outlineLevel="1" x14ac:dyDescent="0.25">
      <c r="A65" s="29">
        <v>1</v>
      </c>
      <c r="C65" s="24" t="str">
        <f>"    Preferred Stock Dividends"</f>
        <v xml:space="preserve">    Preferred Stock Dividends</v>
      </c>
      <c r="D65" s="32">
        <f t="shared" si="8"/>
        <v>131000</v>
      </c>
      <c r="E65" s="32">
        <f t="shared" si="9"/>
        <v>225090.90909090909</v>
      </c>
      <c r="F65" s="32">
        <f t="shared" si="10"/>
        <v>0</v>
      </c>
      <c r="G65" s="32">
        <f t="shared" si="11"/>
        <v>859000</v>
      </c>
      <c r="H65" s="32">
        <f t="shared" si="12"/>
        <v>8000</v>
      </c>
      <c r="I65" s="32">
        <f t="shared" si="13"/>
        <v>181000</v>
      </c>
      <c r="J65" s="32">
        <f t="shared" si="14"/>
        <v>321524.94601366611</v>
      </c>
      <c r="K65" s="33">
        <f t="shared" si="15"/>
        <v>1.4284226196083714</v>
      </c>
      <c r="L65" s="37"/>
      <c r="M65" s="37">
        <v>182000</v>
      </c>
      <c r="N65" s="37">
        <v>180000</v>
      </c>
      <c r="O65" s="37">
        <v>151000</v>
      </c>
      <c r="P65" s="37">
        <v>98000</v>
      </c>
      <c r="Q65" s="37">
        <v>16000</v>
      </c>
      <c r="R65" s="37">
        <v>0</v>
      </c>
      <c r="S65" s="37">
        <v>0</v>
      </c>
      <c r="T65" s="37" t="s">
        <v>124</v>
      </c>
      <c r="U65" s="37" t="s">
        <v>124</v>
      </c>
      <c r="V65" s="37">
        <v>859000</v>
      </c>
      <c r="W65" s="37">
        <v>859000</v>
      </c>
      <c r="X65" s="37" t="s">
        <v>124</v>
      </c>
      <c r="Y65" s="37">
        <v>131000</v>
      </c>
      <c r="Z65" s="37">
        <v>0</v>
      </c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 outlineLevel="1" x14ac:dyDescent="0.25">
      <c r="A66" s="29">
        <v>1</v>
      </c>
      <c r="C66" s="24" t="str">
        <f>"    Other Distributions"</f>
        <v xml:space="preserve">    Other Distributions</v>
      </c>
      <c r="D66" s="32">
        <f t="shared" si="8"/>
        <v>608000</v>
      </c>
      <c r="E66" s="32">
        <f t="shared" si="9"/>
        <v>608000</v>
      </c>
      <c r="F66" s="32">
        <f t="shared" si="10"/>
        <v>470000</v>
      </c>
      <c r="G66" s="32">
        <f t="shared" si="11"/>
        <v>746000</v>
      </c>
      <c r="H66" s="32">
        <f t="shared" si="12"/>
        <v>539000</v>
      </c>
      <c r="I66" s="32">
        <f t="shared" si="13"/>
        <v>677000</v>
      </c>
      <c r="J66" s="32">
        <f t="shared" si="14"/>
        <v>195161.47160748712</v>
      </c>
      <c r="K66" s="33">
        <f t="shared" si="15"/>
        <v>0.32098926251231436</v>
      </c>
      <c r="L66" s="37"/>
      <c r="M66" s="37" t="s">
        <v>124</v>
      </c>
      <c r="N66" s="37" t="s">
        <v>124</v>
      </c>
      <c r="O66" s="37" t="s">
        <v>124</v>
      </c>
      <c r="P66" s="37" t="s">
        <v>124</v>
      </c>
      <c r="Q66" s="37" t="s">
        <v>124</v>
      </c>
      <c r="R66" s="37" t="s">
        <v>124</v>
      </c>
      <c r="S66" s="37" t="s">
        <v>124</v>
      </c>
      <c r="T66" s="37" t="s">
        <v>124</v>
      </c>
      <c r="U66" s="37" t="s">
        <v>124</v>
      </c>
      <c r="V66" s="37">
        <v>470000</v>
      </c>
      <c r="W66" s="37">
        <v>746000</v>
      </c>
      <c r="X66" s="37" t="s">
        <v>124</v>
      </c>
      <c r="Y66" s="37" t="s">
        <v>124</v>
      </c>
      <c r="Z66" s="37" t="s">
        <v>124</v>
      </c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 outlineLevel="1" x14ac:dyDescent="0.25">
      <c r="A67" s="29">
        <v>1</v>
      </c>
      <c r="C67" s="26" t="str">
        <f>"    Total Preferred/Other Stock Distribution"</f>
        <v xml:space="preserve">    Total Preferred/Other Stock Distribution</v>
      </c>
      <c r="D67" s="45">
        <f t="shared" si="8"/>
        <v>165500</v>
      </c>
      <c r="E67" s="45">
        <f t="shared" si="9"/>
        <v>565500</v>
      </c>
      <c r="F67" s="45">
        <f t="shared" si="10"/>
        <v>0</v>
      </c>
      <c r="G67" s="45">
        <f t="shared" si="11"/>
        <v>1605000</v>
      </c>
      <c r="H67" s="45">
        <f t="shared" si="12"/>
        <v>36500</v>
      </c>
      <c r="I67" s="45">
        <f t="shared" si="13"/>
        <v>1283000</v>
      </c>
      <c r="J67" s="45">
        <f t="shared" si="14"/>
        <v>681478.34211310837</v>
      </c>
      <c r="K67" s="46">
        <f t="shared" si="15"/>
        <v>1.2050899064776452</v>
      </c>
      <c r="L67" s="45"/>
      <c r="M67" s="45">
        <v>182000</v>
      </c>
      <c r="N67" s="45">
        <v>180000</v>
      </c>
      <c r="O67" s="45">
        <v>151000</v>
      </c>
      <c r="P67" s="45">
        <v>98000</v>
      </c>
      <c r="Q67" s="45">
        <v>16000</v>
      </c>
      <c r="R67" s="45">
        <v>0</v>
      </c>
      <c r="S67" s="45">
        <v>0</v>
      </c>
      <c r="T67" s="45">
        <v>1145000</v>
      </c>
      <c r="U67" s="45">
        <v>1576000</v>
      </c>
      <c r="V67" s="45">
        <v>1329000</v>
      </c>
      <c r="W67" s="45">
        <v>1605000</v>
      </c>
      <c r="X67" s="45">
        <v>1504000</v>
      </c>
      <c r="Y67" s="45">
        <v>131000</v>
      </c>
      <c r="Z67" s="45">
        <v>0</v>
      </c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 x14ac:dyDescent="0.25">
      <c r="A68" s="29">
        <v>1</v>
      </c>
      <c r="C68" s="26" t="str">
        <f>"Net Income Available to Common Stockholders"</f>
        <v>Net Income Available to Common Stockholders</v>
      </c>
      <c r="D68" s="43">
        <f t="shared" si="8"/>
        <v>6414000</v>
      </c>
      <c r="E68" s="43">
        <f t="shared" si="9"/>
        <v>10232000</v>
      </c>
      <c r="F68" s="43">
        <f t="shared" si="10"/>
        <v>-30943000</v>
      </c>
      <c r="G68" s="43">
        <f t="shared" si="11"/>
        <v>104690000</v>
      </c>
      <c r="H68" s="43">
        <f t="shared" si="12"/>
        <v>3994500</v>
      </c>
      <c r="I68" s="43">
        <f t="shared" si="13"/>
        <v>9049250</v>
      </c>
      <c r="J68" s="43">
        <f t="shared" si="14"/>
        <v>29110247.141090792</v>
      </c>
      <c r="K68" s="44">
        <f t="shared" si="15"/>
        <v>2.845020244438115</v>
      </c>
      <c r="L68" s="43"/>
      <c r="M68" s="43">
        <v>9837000</v>
      </c>
      <c r="N68" s="43">
        <v>6247000</v>
      </c>
      <c r="O68" s="43">
        <v>6581000</v>
      </c>
      <c r="P68" s="43">
        <v>7916000</v>
      </c>
      <c r="Q68" s="43">
        <v>-3880000</v>
      </c>
      <c r="R68" s="43">
        <v>9427000</v>
      </c>
      <c r="S68" s="43">
        <v>9687000</v>
      </c>
      <c r="T68" s="43">
        <v>2804000</v>
      </c>
      <c r="U68" s="43">
        <v>3770000</v>
      </c>
      <c r="V68" s="43">
        <v>4859000</v>
      </c>
      <c r="W68" s="43">
        <v>7585000</v>
      </c>
      <c r="X68" s="43">
        <v>4668000</v>
      </c>
      <c r="Y68" s="43">
        <v>104690000</v>
      </c>
      <c r="Z68" s="43">
        <v>-30943000</v>
      </c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 x14ac:dyDescent="0.25">
      <c r="A69" s="29">
        <v>1</v>
      </c>
      <c r="C69" s="26" t="str">
        <f>"Dilution to Earnings"</f>
        <v>Dilution to Earnings</v>
      </c>
      <c r="D69" s="43">
        <f t="shared" si="8"/>
        <v>26500</v>
      </c>
      <c r="E69" s="43">
        <f t="shared" si="9"/>
        <v>50833.333333333336</v>
      </c>
      <c r="F69" s="43">
        <f t="shared" si="10"/>
        <v>-18000</v>
      </c>
      <c r="G69" s="43">
        <f t="shared" si="11"/>
        <v>218000</v>
      </c>
      <c r="H69" s="43">
        <f t="shared" si="12"/>
        <v>5500</v>
      </c>
      <c r="I69" s="43">
        <f t="shared" si="13"/>
        <v>46750</v>
      </c>
      <c r="J69" s="43">
        <f t="shared" si="14"/>
        <v>85513.546685111054</v>
      </c>
      <c r="K69" s="44">
        <f t="shared" si="15"/>
        <v>1.6822337052808731</v>
      </c>
      <c r="L69" s="43"/>
      <c r="M69" s="43" t="s">
        <v>124</v>
      </c>
      <c r="N69" s="43" t="s">
        <v>124</v>
      </c>
      <c r="O69" s="43" t="s">
        <v>124</v>
      </c>
      <c r="P69" s="43" t="s">
        <v>124</v>
      </c>
      <c r="Q69" s="43" t="s">
        <v>124</v>
      </c>
      <c r="R69" s="43" t="s">
        <v>124</v>
      </c>
      <c r="S69" s="43">
        <v>-1000</v>
      </c>
      <c r="T69" s="43">
        <v>-18000</v>
      </c>
      <c r="U69" s="43">
        <v>218000</v>
      </c>
      <c r="V69" s="43">
        <v>28000</v>
      </c>
      <c r="W69" s="43">
        <v>53000</v>
      </c>
      <c r="X69" s="43">
        <v>25000</v>
      </c>
      <c r="Y69" s="43" t="s">
        <v>124</v>
      </c>
      <c r="Z69" s="43" t="s">
        <v>124</v>
      </c>
      <c r="AB69" s="30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 x14ac:dyDescent="0.25">
      <c r="A70" s="29">
        <v>1</v>
      </c>
      <c r="C70" s="26" t="str">
        <f>"Diluted Net Income Available to Common Stockholders"</f>
        <v>Diluted Net Income Available to Common Stockholders</v>
      </c>
      <c r="D70" s="43">
        <f t="shared" si="8"/>
        <v>6414000</v>
      </c>
      <c r="E70" s="43">
        <f t="shared" si="9"/>
        <v>10253785.714285715</v>
      </c>
      <c r="F70" s="43">
        <f t="shared" si="10"/>
        <v>-30943000</v>
      </c>
      <c r="G70" s="43">
        <f t="shared" si="11"/>
        <v>104690000</v>
      </c>
      <c r="H70" s="43">
        <f t="shared" si="12"/>
        <v>4164250</v>
      </c>
      <c r="I70" s="43">
        <f t="shared" si="13"/>
        <v>9049250</v>
      </c>
      <c r="J70" s="43">
        <f t="shared" si="14"/>
        <v>29105803.2415387</v>
      </c>
      <c r="K70" s="44">
        <f t="shared" si="15"/>
        <v>2.8385421787182561</v>
      </c>
      <c r="L70" s="43"/>
      <c r="M70" s="43">
        <v>9837000</v>
      </c>
      <c r="N70" s="43">
        <v>6247000</v>
      </c>
      <c r="O70" s="43">
        <v>6581000</v>
      </c>
      <c r="P70" s="43">
        <v>7916000</v>
      </c>
      <c r="Q70" s="43">
        <v>-3880000</v>
      </c>
      <c r="R70" s="43">
        <v>9427000</v>
      </c>
      <c r="S70" s="43">
        <v>9686000</v>
      </c>
      <c r="T70" s="43">
        <v>2786000</v>
      </c>
      <c r="U70" s="43">
        <v>3988000</v>
      </c>
      <c r="V70" s="43">
        <v>4887000</v>
      </c>
      <c r="W70" s="43">
        <v>7638000</v>
      </c>
      <c r="X70" s="43">
        <v>4693000</v>
      </c>
      <c r="Y70" s="43">
        <v>104690000</v>
      </c>
      <c r="Z70" s="43">
        <v>-30943000</v>
      </c>
      <c r="AB70" s="30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 x14ac:dyDescent="0.25">
      <c r="A71" s="29">
        <v>1</v>
      </c>
      <c r="C71" s="26" t="str">
        <f>IF(SUBTOTAL(109,A71)=A71,"Basic EPS","Basic EPS")</f>
        <v>Basic EPS</v>
      </c>
      <c r="D71" s="44" t="str">
        <f t="shared" si="8"/>
        <v/>
      </c>
      <c r="E71" s="44" t="str">
        <f t="shared" si="9"/>
        <v/>
      </c>
      <c r="F71" s="44" t="str">
        <f t="shared" si="10"/>
        <v/>
      </c>
      <c r="G71" s="44" t="str">
        <f t="shared" si="11"/>
        <v/>
      </c>
      <c r="H71" s="44" t="str">
        <f t="shared" si="12"/>
        <v/>
      </c>
      <c r="I71" s="44" t="str">
        <f t="shared" si="13"/>
        <v/>
      </c>
      <c r="J71" s="44" t="str">
        <f t="shared" si="14"/>
        <v/>
      </c>
      <c r="K71" s="44" t="str">
        <f t="shared" si="15"/>
        <v/>
      </c>
      <c r="L71" s="44"/>
      <c r="M71" s="44" t="str">
        <f>IF(SUBTOTAL(109,A71)=A71,"",6.78)</f>
        <v/>
      </c>
      <c r="N71" s="44" t="str">
        <f>IF(SUBTOTAL(109,A71)=A71,"",4.36)</f>
        <v/>
      </c>
      <c r="O71" s="44" t="str">
        <f>IF(SUBTOTAL(109,A71)=A71,"",4.62)</f>
        <v/>
      </c>
      <c r="P71" s="44" t="str">
        <f>IF(SUBTOTAL(109,A71)=A71,"",5.61)</f>
        <v/>
      </c>
      <c r="Q71" s="44" t="str">
        <f>IF(SUBTOTAL(109,A71)=A71,"",-2.65)</f>
        <v/>
      </c>
      <c r="R71" s="44" t="str">
        <f>IF(SUBTOTAL(109,A71)=A71,"",6.12)</f>
        <v/>
      </c>
      <c r="S71" s="44" t="str">
        <f>IF(SUBTOTAL(109,A71)=A71,"",6.11)</f>
        <v/>
      </c>
      <c r="T71" s="44" t="str">
        <f>IF(SUBTOTAL(109,A71)=A71,"",1.75)</f>
        <v/>
      </c>
      <c r="U71" s="44" t="str">
        <f>IF(SUBTOTAL(109,A71)=A71,"",2.71)</f>
        <v/>
      </c>
      <c r="V71" s="44" t="str">
        <f>IF(SUBTOTAL(109,A71)=A71,"",3.1)</f>
        <v/>
      </c>
      <c r="W71" s="44" t="str">
        <f>IF(SUBTOTAL(109,A71)=A71,"",4.94)</f>
        <v/>
      </c>
      <c r="X71" s="44" t="str">
        <f>IF(SUBTOTAL(109,A71)=A71,"",3.11)</f>
        <v/>
      </c>
      <c r="Y71" s="44" t="str">
        <f>IF(SUBTOTAL(109,A71)=A71,"",113.18)</f>
        <v/>
      </c>
      <c r="Z71" s="44" t="str">
        <f>IF(SUBTOTAL(109,A71)=A71,"",-53.47)</f>
        <v/>
      </c>
      <c r="AB71" s="30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 outlineLevel="1" x14ac:dyDescent="0.25">
      <c r="A72" s="29">
        <v>1</v>
      </c>
      <c r="C72" s="24" t="str">
        <f>"    Basic EPS from Continuing Operations"</f>
        <v xml:space="preserve">    Basic EPS from Continuing Operations</v>
      </c>
      <c r="D72" s="33">
        <f t="shared" si="8"/>
        <v>4.49</v>
      </c>
      <c r="E72" s="33">
        <f t="shared" si="9"/>
        <v>7.7985714285714289</v>
      </c>
      <c r="F72" s="33">
        <f t="shared" si="10"/>
        <v>-53.47</v>
      </c>
      <c r="G72" s="33">
        <f t="shared" si="11"/>
        <v>113.18</v>
      </c>
      <c r="H72" s="33">
        <f t="shared" si="12"/>
        <v>2.8075000000000001</v>
      </c>
      <c r="I72" s="33">
        <f t="shared" si="13"/>
        <v>5.9824999999999999</v>
      </c>
      <c r="J72" s="33">
        <f t="shared" si="14"/>
        <v>34.041096171707352</v>
      </c>
      <c r="K72" s="33">
        <f t="shared" si="15"/>
        <v>4.3650425572806641</v>
      </c>
      <c r="L72" s="38"/>
      <c r="M72" s="38">
        <v>6.78</v>
      </c>
      <c r="N72" s="38">
        <v>4.3600000000000003</v>
      </c>
      <c r="O72" s="38">
        <v>4.62</v>
      </c>
      <c r="P72" s="38">
        <v>5.66</v>
      </c>
      <c r="Q72" s="38">
        <v>0.23</v>
      </c>
      <c r="R72" s="38">
        <v>6.12</v>
      </c>
      <c r="S72" s="38">
        <v>6.09</v>
      </c>
      <c r="T72" s="38">
        <v>1.75</v>
      </c>
      <c r="U72" s="38">
        <v>2.71</v>
      </c>
      <c r="V72" s="38">
        <v>3.1</v>
      </c>
      <c r="W72" s="38">
        <v>4.9400000000000004</v>
      </c>
      <c r="X72" s="38">
        <v>3.11</v>
      </c>
      <c r="Y72" s="38">
        <v>113.18</v>
      </c>
      <c r="Z72" s="38">
        <v>-53.47</v>
      </c>
      <c r="AB72" s="30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 outlineLevel="1" x14ac:dyDescent="0.25">
      <c r="A73" s="29">
        <v>1</v>
      </c>
      <c r="C73" s="24" t="str">
        <f>"    Basic EPS from Discontinued Operations"</f>
        <v xml:space="preserve">    Basic EPS from Discontinued Operations</v>
      </c>
      <c r="D73" s="33">
        <f t="shared" si="8"/>
        <v>4.9999999999999992E-3</v>
      </c>
      <c r="E73" s="33">
        <f t="shared" si="9"/>
        <v>-0.70499999999999996</v>
      </c>
      <c r="F73" s="33">
        <f t="shared" si="10"/>
        <v>-2.88</v>
      </c>
      <c r="G73" s="33">
        <f t="shared" si="11"/>
        <v>0.05</v>
      </c>
      <c r="H73" s="33">
        <f t="shared" si="12"/>
        <v>-0.72750000000000004</v>
      </c>
      <c r="I73" s="33">
        <f t="shared" si="13"/>
        <v>2.75E-2</v>
      </c>
      <c r="J73" s="33">
        <f t="shared" si="14"/>
        <v>1.4502068817930771</v>
      </c>
      <c r="K73" s="33">
        <f t="shared" si="15"/>
        <v>-2.0570310380043648</v>
      </c>
      <c r="L73" s="38"/>
      <c r="M73" s="38" t="s">
        <v>124</v>
      </c>
      <c r="N73" s="38" t="s">
        <v>124</v>
      </c>
      <c r="O73" s="38" t="s">
        <v>124</v>
      </c>
      <c r="P73" s="38">
        <v>0.05</v>
      </c>
      <c r="Q73" s="38">
        <v>-2.88</v>
      </c>
      <c r="R73" s="38">
        <v>-0.01</v>
      </c>
      <c r="S73" s="38">
        <v>0.02</v>
      </c>
      <c r="T73" s="38" t="s">
        <v>124</v>
      </c>
      <c r="U73" s="38" t="s">
        <v>124</v>
      </c>
      <c r="V73" s="38" t="s">
        <v>124</v>
      </c>
      <c r="W73" s="38" t="s">
        <v>124</v>
      </c>
      <c r="X73" s="38" t="s">
        <v>124</v>
      </c>
      <c r="Y73" s="38" t="s">
        <v>124</v>
      </c>
      <c r="Z73" s="38" t="s">
        <v>124</v>
      </c>
      <c r="AB73" s="30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 outlineLevel="1" x14ac:dyDescent="0.25">
      <c r="A74" s="29">
        <v>1</v>
      </c>
      <c r="C74" s="26" t="str">
        <f>"    Total Basic EPS"</f>
        <v xml:space="preserve">    Total Basic EPS</v>
      </c>
      <c r="D74" s="46">
        <f t="shared" si="8"/>
        <v>4.49</v>
      </c>
      <c r="E74" s="46">
        <f t="shared" si="9"/>
        <v>7.5907142857142862</v>
      </c>
      <c r="F74" s="46">
        <f t="shared" si="10"/>
        <v>-53.47</v>
      </c>
      <c r="G74" s="46">
        <f t="shared" si="11"/>
        <v>113.18</v>
      </c>
      <c r="H74" s="46">
        <f t="shared" si="12"/>
        <v>2.8075000000000001</v>
      </c>
      <c r="I74" s="46">
        <f t="shared" si="13"/>
        <v>5.9850000000000003</v>
      </c>
      <c r="J74" s="46">
        <f t="shared" si="14"/>
        <v>34.099158452121031</v>
      </c>
      <c r="K74" s="46">
        <f t="shared" si="15"/>
        <v>4.4922199899284312</v>
      </c>
      <c r="L74" s="46"/>
      <c r="M74" s="46">
        <v>6.78</v>
      </c>
      <c r="N74" s="46">
        <v>4.3600000000000003</v>
      </c>
      <c r="O74" s="46">
        <v>4.62</v>
      </c>
      <c r="P74" s="46">
        <v>5.61</v>
      </c>
      <c r="Q74" s="46">
        <v>-2.65</v>
      </c>
      <c r="R74" s="46">
        <v>6.12</v>
      </c>
      <c r="S74" s="46">
        <v>6.11</v>
      </c>
      <c r="T74" s="46">
        <v>1.75</v>
      </c>
      <c r="U74" s="46">
        <v>2.71</v>
      </c>
      <c r="V74" s="46">
        <v>3.1</v>
      </c>
      <c r="W74" s="46">
        <v>4.9400000000000004</v>
      </c>
      <c r="X74" s="46">
        <v>3.11</v>
      </c>
      <c r="Y74" s="46">
        <v>113.18</v>
      </c>
      <c r="Z74" s="46">
        <v>-53.47</v>
      </c>
      <c r="AB74" s="3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 collapsed="1" x14ac:dyDescent="0.25">
      <c r="A75" s="29">
        <v>1</v>
      </c>
      <c r="C75" s="26" t="str">
        <f>IF(SUBTOTAL(109,A75)=A75,"Diluted EPS","Diluted EPS")</f>
        <v>Diluted EPS</v>
      </c>
      <c r="D75" s="44" t="str">
        <f t="shared" ref="D75:D80" si="16">IF(COUNT(M75:Z75)&gt;0,MEDIAN(M75:Z75),"")</f>
        <v/>
      </c>
      <c r="E75" s="44" t="str">
        <f t="shared" ref="E75:E80" si="17">IF(COUNT(M75:Z75)&gt;0,AVERAGE(M75:Z75),"")</f>
        <v/>
      </c>
      <c r="F75" s="44" t="str">
        <f t="shared" ref="F75:F80" si="18">IF(COUNT(M75:Z75)&gt;0,MIN(M75:Z75),"")</f>
        <v/>
      </c>
      <c r="G75" s="44" t="str">
        <f t="shared" ref="G75:G80" si="19">IF(COUNT(M75:Z75)&gt;0,MAX(M75:Z75),"")</f>
        <v/>
      </c>
      <c r="H75" s="44" t="str">
        <f t="shared" ref="H75:H80" si="20">IF(COUNT(M75:Z75)&gt;0,QUARTILE(M75:Z75,1),"")</f>
        <v/>
      </c>
      <c r="I75" s="44" t="str">
        <f t="shared" ref="I75:I80" si="21">IF(COUNT(M75:Z75)&gt;0,QUARTILE(M75:Z75,3),"")</f>
        <v/>
      </c>
      <c r="J75" s="44" t="str">
        <f t="shared" ref="J75:J80" si="22">IF(COUNT(M75:Z75)&gt;1,STDEV(M75:Z75),"")</f>
        <v/>
      </c>
      <c r="K75" s="44" t="str">
        <f t="shared" ref="K75:K80" si="23">IF(COUNT(M75:Z75)&gt;1,STDEV(M75:Z75)/AVERAGE(M75:Z75),"")</f>
        <v/>
      </c>
      <c r="L75" s="44"/>
      <c r="M75" s="44" t="str">
        <f>IF(SUBTOTAL(109,A75)=A75,"",6.7)</f>
        <v/>
      </c>
      <c r="N75" s="44" t="str">
        <f>IF(SUBTOTAL(109,A75)=A75,"",4.33)</f>
        <v/>
      </c>
      <c r="O75" s="44" t="str">
        <f>IF(SUBTOTAL(109,A75)=A75,"",4.57)</f>
        <v/>
      </c>
      <c r="P75" s="44" t="str">
        <f>IF(SUBTOTAL(109,A75)=A75,"",5.53)</f>
        <v/>
      </c>
      <c r="Q75" s="44" t="str">
        <f>IF(SUBTOTAL(109,A75)=A75,"",-2.65)</f>
        <v/>
      </c>
      <c r="R75" s="44" t="str">
        <f>IF(SUBTOTAL(109,A75)=A75,"",6)</f>
        <v/>
      </c>
      <c r="S75" s="44" t="str">
        <f>IF(SUBTOTAL(109,A75)=A75,"",5.91)</f>
        <v/>
      </c>
      <c r="T75" s="44" t="str">
        <f>IF(SUBTOTAL(109,A75)=A75,"",1.65)</f>
        <v/>
      </c>
      <c r="U75" s="44" t="str">
        <f>IF(SUBTOTAL(109,A75)=A75,"",2.38)</f>
        <v/>
      </c>
      <c r="V75" s="44" t="str">
        <f>IF(SUBTOTAL(109,A75)=A75,"",2.92)</f>
        <v/>
      </c>
      <c r="W75" s="44" t="str">
        <f>IF(SUBTOTAL(109,A75)=A75,"",4.58)</f>
        <v/>
      </c>
      <c r="X75" s="44" t="str">
        <f>IF(SUBTOTAL(109,A75)=A75,"",2.89)</f>
        <v/>
      </c>
      <c r="Y75" s="44" t="str">
        <f>IF(SUBTOTAL(109,A75)=A75,"",113.18)</f>
        <v/>
      </c>
      <c r="Z75" s="44" t="str">
        <f>IF(SUBTOTAL(109,A75)=A75,"",-53.47)</f>
        <v/>
      </c>
      <c r="AB75" s="30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 hidden="1" outlineLevel="1" x14ac:dyDescent="0.25">
      <c r="A76" s="29">
        <v>1</v>
      </c>
      <c r="C76" s="24" t="str">
        <f>"    Diluted EPS from Continuing Operations"</f>
        <v xml:space="preserve">    Diluted EPS from Continuing Operations</v>
      </c>
      <c r="D76" s="33">
        <f t="shared" si="16"/>
        <v>4.45</v>
      </c>
      <c r="E76" s="33">
        <f t="shared" si="17"/>
        <v>7.6728571428571444</v>
      </c>
      <c r="F76" s="33">
        <f t="shared" si="18"/>
        <v>-53.47</v>
      </c>
      <c r="G76" s="33">
        <f t="shared" si="19"/>
        <v>113.18</v>
      </c>
      <c r="H76" s="33">
        <f t="shared" si="20"/>
        <v>2.5074999999999998</v>
      </c>
      <c r="I76" s="33">
        <f t="shared" si="21"/>
        <v>5.8125</v>
      </c>
      <c r="J76" s="33">
        <f t="shared" si="22"/>
        <v>34.0555852029661</v>
      </c>
      <c r="K76" s="33">
        <f t="shared" si="23"/>
        <v>4.4384490117438586</v>
      </c>
      <c r="L76" s="38"/>
      <c r="M76" s="38">
        <v>6.7</v>
      </c>
      <c r="N76" s="38">
        <v>4.33</v>
      </c>
      <c r="O76" s="38">
        <v>4.57</v>
      </c>
      <c r="P76" s="38">
        <v>5.58</v>
      </c>
      <c r="Q76" s="38">
        <v>0.22</v>
      </c>
      <c r="R76" s="38">
        <v>6</v>
      </c>
      <c r="S76" s="38">
        <v>5.89</v>
      </c>
      <c r="T76" s="38">
        <v>1.65</v>
      </c>
      <c r="U76" s="38">
        <v>2.38</v>
      </c>
      <c r="V76" s="38">
        <v>2.92</v>
      </c>
      <c r="W76" s="38">
        <v>4.58</v>
      </c>
      <c r="X76" s="38">
        <v>2.89</v>
      </c>
      <c r="Y76" s="38">
        <v>113.18</v>
      </c>
      <c r="Z76" s="38">
        <v>-53.47</v>
      </c>
      <c r="AB76" s="30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 hidden="1" outlineLevel="1" x14ac:dyDescent="0.25">
      <c r="A77" s="29">
        <v>1</v>
      </c>
      <c r="C77" s="24" t="str">
        <f>"    Diluted EPS from Discontinued Operations"</f>
        <v xml:space="preserve">    Diluted EPS from Discontinued Operations</v>
      </c>
      <c r="D77" s="33">
        <f t="shared" si="16"/>
        <v>4.9999999999999992E-3</v>
      </c>
      <c r="E77" s="33">
        <f t="shared" si="17"/>
        <v>-0.70499999999999996</v>
      </c>
      <c r="F77" s="33">
        <f t="shared" si="18"/>
        <v>-2.88</v>
      </c>
      <c r="G77" s="33">
        <f t="shared" si="19"/>
        <v>0.05</v>
      </c>
      <c r="H77" s="33">
        <f t="shared" si="20"/>
        <v>-0.72750000000000004</v>
      </c>
      <c r="I77" s="33">
        <f t="shared" si="21"/>
        <v>2.75E-2</v>
      </c>
      <c r="J77" s="33">
        <f t="shared" si="22"/>
        <v>1.4502068817930771</v>
      </c>
      <c r="K77" s="33">
        <f t="shared" si="23"/>
        <v>-2.0570310380043648</v>
      </c>
      <c r="L77" s="38"/>
      <c r="M77" s="38" t="s">
        <v>124</v>
      </c>
      <c r="N77" s="38" t="s">
        <v>124</v>
      </c>
      <c r="O77" s="38" t="s">
        <v>124</v>
      </c>
      <c r="P77" s="38">
        <v>0.05</v>
      </c>
      <c r="Q77" s="38">
        <v>-2.88</v>
      </c>
      <c r="R77" s="38">
        <v>-0.01</v>
      </c>
      <c r="S77" s="38">
        <v>0.02</v>
      </c>
      <c r="T77" s="38" t="s">
        <v>124</v>
      </c>
      <c r="U77" s="38" t="s">
        <v>124</v>
      </c>
      <c r="V77" s="38" t="s">
        <v>124</v>
      </c>
      <c r="W77" s="38" t="s">
        <v>124</v>
      </c>
      <c r="X77" s="38" t="s">
        <v>124</v>
      </c>
      <c r="Y77" s="38" t="s">
        <v>124</v>
      </c>
      <c r="Z77" s="38" t="s">
        <v>124</v>
      </c>
      <c r="AB77" s="30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 hidden="1" outlineLevel="1" x14ac:dyDescent="0.25">
      <c r="A78" s="29">
        <v>1</v>
      </c>
      <c r="C78" s="26" t="str">
        <f>"    Total Diluted EPS"</f>
        <v xml:space="preserve">    Total Diluted EPS</v>
      </c>
      <c r="D78" s="46">
        <f t="shared" si="16"/>
        <v>4.45</v>
      </c>
      <c r="E78" s="46">
        <f t="shared" si="17"/>
        <v>7.4657142857142862</v>
      </c>
      <c r="F78" s="46">
        <f t="shared" si="18"/>
        <v>-53.47</v>
      </c>
      <c r="G78" s="46">
        <f t="shared" si="19"/>
        <v>113.18</v>
      </c>
      <c r="H78" s="46">
        <f t="shared" si="20"/>
        <v>2.5074999999999998</v>
      </c>
      <c r="I78" s="46">
        <f t="shared" si="21"/>
        <v>5.8150000000000004</v>
      </c>
      <c r="J78" s="46">
        <f t="shared" si="22"/>
        <v>34.112634635252697</v>
      </c>
      <c r="K78" s="46">
        <f t="shared" si="23"/>
        <v>4.5692392354911764</v>
      </c>
      <c r="L78" s="46"/>
      <c r="M78" s="46">
        <v>6.7</v>
      </c>
      <c r="N78" s="46">
        <v>4.33</v>
      </c>
      <c r="O78" s="46">
        <v>4.57</v>
      </c>
      <c r="P78" s="46">
        <v>5.53</v>
      </c>
      <c r="Q78" s="46">
        <v>-2.65</v>
      </c>
      <c r="R78" s="46">
        <v>6</v>
      </c>
      <c r="S78" s="46">
        <v>5.91</v>
      </c>
      <c r="T78" s="46">
        <v>1.65</v>
      </c>
      <c r="U78" s="46">
        <v>2.38</v>
      </c>
      <c r="V78" s="46">
        <v>2.92</v>
      </c>
      <c r="W78" s="46">
        <v>4.58</v>
      </c>
      <c r="X78" s="46">
        <v>2.89</v>
      </c>
      <c r="Y78" s="46">
        <v>113.18</v>
      </c>
      <c r="Z78" s="46">
        <v>-53.47</v>
      </c>
      <c r="AB78" s="30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 x14ac:dyDescent="0.25">
      <c r="A79" s="29">
        <v>1</v>
      </c>
      <c r="C79" s="26" t="str">
        <f>"Basic Weighted Average Shares Outstanding"</f>
        <v>Basic Weighted Average Shares Outstanding</v>
      </c>
      <c r="D79" s="43">
        <f t="shared" si="16"/>
        <v>1458000000</v>
      </c>
      <c r="E79" s="43">
        <f t="shared" si="17"/>
        <v>1386714285.7142856</v>
      </c>
      <c r="F79" s="43">
        <f t="shared" si="18"/>
        <v>579000000</v>
      </c>
      <c r="G79" s="43">
        <f t="shared" si="19"/>
        <v>1605000000</v>
      </c>
      <c r="H79" s="43">
        <f t="shared" si="20"/>
        <v>1414250000</v>
      </c>
      <c r="I79" s="43">
        <f t="shared" si="21"/>
        <v>1539000000</v>
      </c>
      <c r="J79" s="43">
        <f t="shared" si="22"/>
        <v>285297261.59311014</v>
      </c>
      <c r="K79" s="44">
        <f t="shared" si="23"/>
        <v>0.20573615237990844</v>
      </c>
      <c r="L79" s="43"/>
      <c r="M79" s="43">
        <v>1451000000</v>
      </c>
      <c r="N79" s="43">
        <v>1433000000</v>
      </c>
      <c r="O79" s="43">
        <v>1424000000</v>
      </c>
      <c r="P79" s="43">
        <v>1411000000</v>
      </c>
      <c r="Q79" s="43">
        <v>1465000000</v>
      </c>
      <c r="R79" s="43">
        <v>1540000000</v>
      </c>
      <c r="S79" s="43">
        <v>1586000000</v>
      </c>
      <c r="T79" s="43">
        <v>1605000000</v>
      </c>
      <c r="U79" s="43">
        <v>1393000000</v>
      </c>
      <c r="V79" s="43">
        <v>1566000000</v>
      </c>
      <c r="W79" s="43">
        <v>1536000000</v>
      </c>
      <c r="X79" s="43">
        <v>1500000000</v>
      </c>
      <c r="Y79" s="43">
        <v>925000000</v>
      </c>
      <c r="Z79" s="43">
        <v>579000000</v>
      </c>
      <c r="AB79" s="30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 x14ac:dyDescent="0.25">
      <c r="A80" s="29">
        <v>1</v>
      </c>
      <c r="C80" s="26" t="str">
        <f>"Diluted Weighted Average Shares Outstanding"</f>
        <v>Diluted Weighted Average Shares Outstanding</v>
      </c>
      <c r="D80" s="43">
        <f t="shared" si="16"/>
        <v>1531000000</v>
      </c>
      <c r="E80" s="43">
        <f t="shared" si="17"/>
        <v>1451142857.1428571</v>
      </c>
      <c r="F80" s="43">
        <f t="shared" si="18"/>
        <v>579000000</v>
      </c>
      <c r="G80" s="43">
        <f t="shared" si="19"/>
        <v>1687000000</v>
      </c>
      <c r="H80" s="43">
        <f t="shared" si="20"/>
        <v>1439750000</v>
      </c>
      <c r="I80" s="43">
        <f t="shared" si="21"/>
        <v>1661000000</v>
      </c>
      <c r="J80" s="43">
        <f t="shared" si="22"/>
        <v>319019135.46244979</v>
      </c>
      <c r="K80" s="44">
        <f t="shared" si="23"/>
        <v>0.21983992402413355</v>
      </c>
      <c r="L80" s="43"/>
      <c r="M80" s="43">
        <v>1468000000</v>
      </c>
      <c r="N80" s="43">
        <v>1442000000</v>
      </c>
      <c r="O80" s="43">
        <v>1439000000</v>
      </c>
      <c r="P80" s="43">
        <v>1431000000</v>
      </c>
      <c r="Q80" s="43">
        <v>1492000000</v>
      </c>
      <c r="R80" s="43">
        <v>1570000000</v>
      </c>
      <c r="S80" s="43">
        <v>1640000000</v>
      </c>
      <c r="T80" s="43">
        <v>1687000000</v>
      </c>
      <c r="U80" s="43">
        <v>1676000000</v>
      </c>
      <c r="V80" s="43">
        <v>1675000000</v>
      </c>
      <c r="W80" s="43">
        <v>1668000000</v>
      </c>
      <c r="X80" s="43">
        <v>1624000000</v>
      </c>
      <c r="Y80" s="43">
        <v>925000000</v>
      </c>
      <c r="Z80" s="43">
        <v>579000000</v>
      </c>
      <c r="AB80" s="30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 x14ac:dyDescent="0.25">
      <c r="A81" s="29">
        <v>1</v>
      </c>
      <c r="C81" s="26" t="str">
        <f>"Income Statement Supplemental Section"</f>
        <v>Income Statement Supplemental Section</v>
      </c>
      <c r="D81" s="44"/>
      <c r="E81" s="44"/>
      <c r="F81" s="44"/>
      <c r="G81" s="44"/>
      <c r="H81" s="44"/>
      <c r="I81" s="44"/>
      <c r="J81" s="44"/>
      <c r="K81" s="44"/>
      <c r="L81" s="44"/>
      <c r="M81" s="44" t="s">
        <v>124</v>
      </c>
      <c r="N81" s="44" t="s">
        <v>124</v>
      </c>
      <c r="O81" s="44" t="s">
        <v>124</v>
      </c>
      <c r="P81" s="44" t="s">
        <v>124</v>
      </c>
      <c r="Q81" s="44" t="s">
        <v>124</v>
      </c>
      <c r="R81" s="44" t="s">
        <v>124</v>
      </c>
      <c r="S81" s="44" t="s">
        <v>124</v>
      </c>
      <c r="T81" s="44" t="s">
        <v>124</v>
      </c>
      <c r="U81" s="44" t="s">
        <v>124</v>
      </c>
      <c r="V81" s="44" t="s">
        <v>124</v>
      </c>
      <c r="W81" s="44" t="s">
        <v>124</v>
      </c>
      <c r="X81" s="44" t="s">
        <v>124</v>
      </c>
      <c r="Y81" s="44" t="s">
        <v>124</v>
      </c>
      <c r="Z81" s="44" t="s">
        <v>124</v>
      </c>
      <c r="AB81" s="30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 outlineLevel="1" x14ac:dyDescent="0.25">
      <c r="A82" s="29">
        <v>1</v>
      </c>
      <c r="C82" s="24" t="str">
        <f>"    Per Share Calculations"</f>
        <v xml:space="preserve">    Per Share Calculations</v>
      </c>
      <c r="D82" s="36"/>
      <c r="E82" s="36"/>
      <c r="F82" s="36"/>
      <c r="G82" s="36"/>
      <c r="H82" s="36"/>
      <c r="I82" s="36"/>
      <c r="J82" s="36"/>
      <c r="K82" s="36"/>
      <c r="L82" s="41"/>
      <c r="M82" s="41" t="s">
        <v>124</v>
      </c>
      <c r="N82" s="41" t="s">
        <v>124</v>
      </c>
      <c r="O82" s="41" t="s">
        <v>124</v>
      </c>
      <c r="P82" s="41" t="s">
        <v>124</v>
      </c>
      <c r="Q82" s="41" t="s">
        <v>124</v>
      </c>
      <c r="R82" s="41" t="s">
        <v>124</v>
      </c>
      <c r="S82" s="41" t="s">
        <v>124</v>
      </c>
      <c r="T82" s="41" t="s">
        <v>124</v>
      </c>
      <c r="U82" s="41" t="s">
        <v>124</v>
      </c>
      <c r="V82" s="41" t="s">
        <v>124</v>
      </c>
      <c r="W82" s="41" t="s">
        <v>124</v>
      </c>
      <c r="X82" s="41" t="s">
        <v>124</v>
      </c>
      <c r="Y82" s="41" t="s">
        <v>124</v>
      </c>
      <c r="Z82" s="41" t="s">
        <v>124</v>
      </c>
      <c r="AB82" s="30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 outlineLevel="2" x14ac:dyDescent="0.25">
      <c r="A83" s="29">
        <v>1</v>
      </c>
      <c r="C83" s="24" t="str">
        <f>"        Common Dividend per Share (Paid)"</f>
        <v xml:space="preserve">        Common Dividend per Share (Paid)</v>
      </c>
      <c r="D83" s="33">
        <f t="shared" ref="D83:D94" si="24">IF(COUNT(M83:Z83)&gt;0,MEDIAN(M83:Z83),"")</f>
        <v>1.52</v>
      </c>
      <c r="E83" s="33">
        <f t="shared" ref="E83:E94" si="25">IF(COUNT(M83:Z83)&gt;0,AVERAGE(M83:Z83),"")</f>
        <v>1.2914285714285714</v>
      </c>
      <c r="F83" s="33">
        <f t="shared" ref="F83:F94" si="26">IF(COUNT(M83:Z83)&gt;0,MIN(M83:Z83),"")</f>
        <v>0.38</v>
      </c>
      <c r="G83" s="33">
        <f t="shared" ref="G83:G94" si="27">IF(COUNT(M83:Z83)&gt;0,MAX(M83:Z83),"")</f>
        <v>1.52</v>
      </c>
      <c r="H83" s="33">
        <f t="shared" ref="H83:H94" si="28">IF(COUNT(M83:Z83)&gt;0,QUARTILE(M83:Z83,1),"")</f>
        <v>1.29</v>
      </c>
      <c r="I83" s="33">
        <f t="shared" ref="I83:I94" si="29">IF(COUNT(M83:Z83)&gt;0,QUARTILE(M83:Z83,3),"")</f>
        <v>1.52</v>
      </c>
      <c r="J83" s="33">
        <f t="shared" ref="J83:J94" si="30">IF(COUNT(M83:Z83)&gt;1,STDEV(M83:Z83),"")</f>
        <v>0.41950083716358955</v>
      </c>
      <c r="K83" s="33">
        <f t="shared" ref="K83:K94" si="31">IF(COUNT(M83:Z83)&gt;1,STDEV(M83:Z83)/AVERAGE(M83:Z83),"")</f>
        <v>0.32483471904260253</v>
      </c>
      <c r="L83" s="38"/>
      <c r="M83" s="38" t="s">
        <v>124</v>
      </c>
      <c r="N83" s="38">
        <v>0.38</v>
      </c>
      <c r="O83" s="38">
        <v>1.52</v>
      </c>
      <c r="P83" s="38">
        <v>1.52</v>
      </c>
      <c r="Q83" s="38">
        <v>1.52</v>
      </c>
      <c r="R83" s="38">
        <v>1.52</v>
      </c>
      <c r="S83" s="38">
        <v>1.38</v>
      </c>
      <c r="T83" s="38">
        <v>1.2</v>
      </c>
      <c r="U83" s="38" t="s">
        <v>124</v>
      </c>
      <c r="V83" s="38" t="s">
        <v>124</v>
      </c>
      <c r="W83" s="38" t="s">
        <v>124</v>
      </c>
      <c r="X83" s="38" t="s">
        <v>124</v>
      </c>
      <c r="Y83" s="38" t="s">
        <v>124</v>
      </c>
      <c r="Z83" s="38" t="s">
        <v>124</v>
      </c>
      <c r="AB83" s="30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 outlineLevel="2" x14ac:dyDescent="0.25">
      <c r="A84" s="29">
        <v>1</v>
      </c>
      <c r="C84" s="24" t="str">
        <f>"        Common Dividend per Share (Ex-date)"</f>
        <v xml:space="preserve">        Common Dividend per Share (Ex-date)</v>
      </c>
      <c r="D84" s="33">
        <f t="shared" si="24"/>
        <v>1.45</v>
      </c>
      <c r="E84" s="33">
        <f t="shared" si="25"/>
        <v>1.1299999999999999</v>
      </c>
      <c r="F84" s="33">
        <f t="shared" si="26"/>
        <v>0</v>
      </c>
      <c r="G84" s="33">
        <f t="shared" si="27"/>
        <v>1.52</v>
      </c>
      <c r="H84" s="33">
        <f t="shared" si="28"/>
        <v>0.995</v>
      </c>
      <c r="I84" s="33">
        <f t="shared" si="29"/>
        <v>1.52</v>
      </c>
      <c r="J84" s="33">
        <f t="shared" si="30"/>
        <v>0.59942829906026773</v>
      </c>
      <c r="K84" s="33">
        <f t="shared" si="31"/>
        <v>0.53046752129227237</v>
      </c>
      <c r="L84" s="38"/>
      <c r="M84" s="38" t="s">
        <v>124</v>
      </c>
      <c r="N84" s="38">
        <v>0.38</v>
      </c>
      <c r="O84" s="38">
        <v>1.52</v>
      </c>
      <c r="P84" s="38">
        <v>1.52</v>
      </c>
      <c r="Q84" s="38">
        <v>1.52</v>
      </c>
      <c r="R84" s="38">
        <v>1.52</v>
      </c>
      <c r="S84" s="38">
        <v>1.38</v>
      </c>
      <c r="T84" s="38">
        <v>1.2</v>
      </c>
      <c r="U84" s="38">
        <v>0</v>
      </c>
      <c r="V84" s="38" t="s">
        <v>124</v>
      </c>
      <c r="W84" s="38" t="s">
        <v>124</v>
      </c>
      <c r="X84" s="38" t="s">
        <v>124</v>
      </c>
      <c r="Y84" s="38" t="s">
        <v>124</v>
      </c>
      <c r="Z84" s="38" t="s">
        <v>124</v>
      </c>
      <c r="AB84" s="30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 outlineLevel="2" x14ac:dyDescent="0.25">
      <c r="A85" s="29">
        <v>1</v>
      </c>
      <c r="C85" s="24" t="str">
        <f>"        EBITDA per Share"</f>
        <v xml:space="preserve">        EBITDA per Share</v>
      </c>
      <c r="D85" s="33">
        <f t="shared" si="24"/>
        <v>10.058777506296849</v>
      </c>
      <c r="E85" s="33">
        <f t="shared" si="25"/>
        <v>16.92856963868844</v>
      </c>
      <c r="F85" s="33">
        <f t="shared" si="26"/>
        <v>-29.649395509499136</v>
      </c>
      <c r="G85" s="33">
        <f t="shared" si="27"/>
        <v>128.3318918918919</v>
      </c>
      <c r="H85" s="33">
        <f t="shared" si="28"/>
        <v>8.4672712122459064</v>
      </c>
      <c r="I85" s="33">
        <f t="shared" si="29"/>
        <v>15.132202639180584</v>
      </c>
      <c r="J85" s="33">
        <f t="shared" si="30"/>
        <v>34.07693091171717</v>
      </c>
      <c r="K85" s="33">
        <f t="shared" si="31"/>
        <v>2.0129834734434962</v>
      </c>
      <c r="L85" s="38"/>
      <c r="M85" s="38">
        <v>17.431880108991827</v>
      </c>
      <c r="N85" s="38">
        <v>15.013869625520112</v>
      </c>
      <c r="O85" s="38">
        <v>15.171646977067407</v>
      </c>
      <c r="P85" s="38">
        <v>10.112159329140461</v>
      </c>
      <c r="Q85" s="38">
        <v>16.376005361930297</v>
      </c>
      <c r="R85" s="38">
        <v>14.145222929936306</v>
      </c>
      <c r="S85" s="38">
        <v>9.5530487804878046</v>
      </c>
      <c r="T85" s="38">
        <v>6.9211618257261414</v>
      </c>
      <c r="U85" s="38">
        <v>9.300119331742243</v>
      </c>
      <c r="V85" s="38">
        <v>6.0973134328358212</v>
      </c>
      <c r="W85" s="38">
        <v>10.005395683453237</v>
      </c>
      <c r="X85" s="38">
        <v>8.1896551724137936</v>
      </c>
      <c r="Y85" s="38">
        <v>128.3318918918919</v>
      </c>
      <c r="Z85" s="38">
        <v>-29.649395509499136</v>
      </c>
      <c r="AB85" s="30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 outlineLevel="2" x14ac:dyDescent="0.25">
      <c r="A86" s="29">
        <v>1</v>
      </c>
      <c r="C86" s="24" t="str">
        <f>"        EBITDAR per Share"</f>
        <v xml:space="preserve">        EBITDAR per Share</v>
      </c>
      <c r="D86" s="33">
        <f t="shared" si="24"/>
        <v>10.058777506296849</v>
      </c>
      <c r="E86" s="33">
        <f t="shared" si="25"/>
        <v>16.92856963868844</v>
      </c>
      <c r="F86" s="33">
        <f t="shared" si="26"/>
        <v>-29.649395509499136</v>
      </c>
      <c r="G86" s="33">
        <f t="shared" si="27"/>
        <v>128.3318918918919</v>
      </c>
      <c r="H86" s="33">
        <f t="shared" si="28"/>
        <v>8.4672712122459064</v>
      </c>
      <c r="I86" s="33">
        <f t="shared" si="29"/>
        <v>15.132202639180584</v>
      </c>
      <c r="J86" s="33">
        <f t="shared" si="30"/>
        <v>34.07693091171717</v>
      </c>
      <c r="K86" s="33">
        <f t="shared" si="31"/>
        <v>2.0129834734434962</v>
      </c>
      <c r="L86" s="38"/>
      <c r="M86" s="38">
        <v>17.431880108991827</v>
      </c>
      <c r="N86" s="38">
        <v>15.013869625520112</v>
      </c>
      <c r="O86" s="38">
        <v>15.171646977067407</v>
      </c>
      <c r="P86" s="38">
        <v>10.112159329140461</v>
      </c>
      <c r="Q86" s="38">
        <v>16.376005361930297</v>
      </c>
      <c r="R86" s="38">
        <v>14.145222929936306</v>
      </c>
      <c r="S86" s="38">
        <v>9.5530487804878046</v>
      </c>
      <c r="T86" s="38">
        <v>6.9211618257261414</v>
      </c>
      <c r="U86" s="38">
        <v>9.300119331742243</v>
      </c>
      <c r="V86" s="38">
        <v>6.0973134328358212</v>
      </c>
      <c r="W86" s="38">
        <v>10.005395683453237</v>
      </c>
      <c r="X86" s="38">
        <v>8.1896551724137936</v>
      </c>
      <c r="Y86" s="38">
        <v>128.3318918918919</v>
      </c>
      <c r="Z86" s="38">
        <v>-29.649395509499136</v>
      </c>
      <c r="AB86" s="30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 outlineLevel="2" x14ac:dyDescent="0.25">
      <c r="A87" s="29">
        <v>1</v>
      </c>
      <c r="C87" s="24" t="str">
        <f>"        Basic EPS (Normalized)"</f>
        <v xml:space="preserve">        Basic EPS (Normalized)</v>
      </c>
      <c r="D87" s="33">
        <f t="shared" si="24"/>
        <v>5.4863099894257044</v>
      </c>
      <c r="E87" s="33">
        <f t="shared" si="25"/>
        <v>10.57046398137072</v>
      </c>
      <c r="F87" s="33">
        <f t="shared" si="26"/>
        <v>-43.643661485319512</v>
      </c>
      <c r="G87" s="33">
        <f t="shared" si="27"/>
        <v>115.30286486486487</v>
      </c>
      <c r="H87" s="33">
        <f t="shared" si="28"/>
        <v>3.5556744412868957</v>
      </c>
      <c r="I87" s="33">
        <f t="shared" si="29"/>
        <v>6.7155916579387211</v>
      </c>
      <c r="J87" s="33">
        <f t="shared" si="30"/>
        <v>33.250988905604522</v>
      </c>
      <c r="K87" s="33">
        <f t="shared" si="31"/>
        <v>3.145650840323162</v>
      </c>
      <c r="L87" s="38"/>
      <c r="M87" s="38">
        <v>7.1550654720882152</v>
      </c>
      <c r="N87" s="38">
        <v>4.9302163293789256</v>
      </c>
      <c r="O87" s="38">
        <v>4.867977528089888</v>
      </c>
      <c r="P87" s="38">
        <v>6.6364280652019847</v>
      </c>
      <c r="Q87" s="38">
        <v>6.7419795221843</v>
      </c>
      <c r="R87" s="38">
        <v>6.2428571428571429</v>
      </c>
      <c r="S87" s="38">
        <v>5.1759142496847419</v>
      </c>
      <c r="T87" s="38">
        <v>1.9633215355335349</v>
      </c>
      <c r="U87" s="38">
        <v>3.0321754676150547</v>
      </c>
      <c r="V87" s="38">
        <v>20.666411238825035</v>
      </c>
      <c r="W87" s="38">
        <v>5.7967057291666668</v>
      </c>
      <c r="X87" s="38">
        <v>3.1182400790192317</v>
      </c>
      <c r="Y87" s="38">
        <v>115.30286486486487</v>
      </c>
      <c r="Z87" s="38">
        <v>-43.643661485319512</v>
      </c>
      <c r="AB87" s="30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 outlineLevel="2" x14ac:dyDescent="0.25">
      <c r="A88" s="29">
        <v>1</v>
      </c>
      <c r="C88" s="24" t="str">
        <f>"        Diluted EPS (Normalized)"</f>
        <v xml:space="preserve">        Diluted EPS (Normalized)</v>
      </c>
      <c r="D88" s="33">
        <f t="shared" si="24"/>
        <v>5.1844544364508396</v>
      </c>
      <c r="E88" s="33">
        <f t="shared" si="25"/>
        <v>10.469214767497196</v>
      </c>
      <c r="F88" s="33">
        <f t="shared" si="26"/>
        <v>-43.643661485319512</v>
      </c>
      <c r="G88" s="33">
        <f t="shared" si="27"/>
        <v>115.30286486486487</v>
      </c>
      <c r="H88" s="33">
        <f t="shared" si="28"/>
        <v>3.5900000000000003</v>
      </c>
      <c r="I88" s="33">
        <f t="shared" si="29"/>
        <v>6.6</v>
      </c>
      <c r="J88" s="33">
        <f t="shared" si="30"/>
        <v>33.215073009368204</v>
      </c>
      <c r="K88" s="33">
        <f t="shared" si="31"/>
        <v>3.172642241755129</v>
      </c>
      <c r="L88" s="38"/>
      <c r="M88" s="38">
        <v>7.07</v>
      </c>
      <c r="N88" s="38">
        <v>4.9000000000000004</v>
      </c>
      <c r="O88" s="38">
        <v>4.82</v>
      </c>
      <c r="P88" s="38">
        <v>6.54</v>
      </c>
      <c r="Q88" s="38">
        <v>6.62</v>
      </c>
      <c r="R88" s="38">
        <v>6.12</v>
      </c>
      <c r="S88" s="38">
        <v>5</v>
      </c>
      <c r="T88" s="38">
        <v>3.05</v>
      </c>
      <c r="U88" s="38">
        <v>3.18</v>
      </c>
      <c r="V88" s="38">
        <v>19.343283582089555</v>
      </c>
      <c r="W88" s="38">
        <v>5.3689088729016792</v>
      </c>
      <c r="X88" s="38">
        <v>2.8976109104241674</v>
      </c>
      <c r="Y88" s="38">
        <v>115.30286486486487</v>
      </c>
      <c r="Z88" s="38">
        <v>-43.643661485319512</v>
      </c>
      <c r="AB88" s="30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 outlineLevel="2" x14ac:dyDescent="0.25">
      <c r="A89" s="29">
        <v>1</v>
      </c>
      <c r="C89" s="24" t="str">
        <f>"        Normalized EBITDA per Share"</f>
        <v xml:space="preserve">        Normalized EBITDA per Share</v>
      </c>
      <c r="D89" s="33">
        <f t="shared" si="24"/>
        <v>12.547519818540071</v>
      </c>
      <c r="E89" s="33">
        <f t="shared" si="25"/>
        <v>19.500138088027096</v>
      </c>
      <c r="F89" s="33">
        <f t="shared" si="26"/>
        <v>-14.531951640759932</v>
      </c>
      <c r="G89" s="33">
        <f t="shared" si="27"/>
        <v>131.59783783783783</v>
      </c>
      <c r="H89" s="33">
        <f t="shared" si="28"/>
        <v>9.60213996740206</v>
      </c>
      <c r="I89" s="33">
        <f t="shared" si="29"/>
        <v>16.100539569853208</v>
      </c>
      <c r="J89" s="33">
        <f t="shared" si="30"/>
        <v>33.346805034961129</v>
      </c>
      <c r="K89" s="33">
        <f t="shared" si="31"/>
        <v>1.7100804560679372</v>
      </c>
      <c r="L89" s="38"/>
      <c r="M89" s="38">
        <v>17.031335149863761</v>
      </c>
      <c r="N89" s="38">
        <v>14.970873786407767</v>
      </c>
      <c r="O89" s="38">
        <v>15.056984016678248</v>
      </c>
      <c r="P89" s="38">
        <v>10.049266247379455</v>
      </c>
      <c r="Q89" s="38">
        <v>16.448391420911527</v>
      </c>
      <c r="R89" s="38">
        <v>14.29108280254777</v>
      </c>
      <c r="S89" s="38">
        <v>9.7707317073170739</v>
      </c>
      <c r="T89" s="38">
        <v>7.1315945465323063</v>
      </c>
      <c r="U89" s="38">
        <v>9.5459427207637226</v>
      </c>
      <c r="V89" s="38">
        <v>22.637611940298509</v>
      </c>
      <c r="W89" s="38">
        <v>10.803956834532373</v>
      </c>
      <c r="X89" s="38">
        <v>8.1982758620689662</v>
      </c>
      <c r="Y89" s="38">
        <v>131.59783783783783</v>
      </c>
      <c r="Z89" s="38">
        <v>-14.531951640759932</v>
      </c>
      <c r="AB89" s="30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 outlineLevel="2" x14ac:dyDescent="0.25">
      <c r="A90" s="29">
        <v>1</v>
      </c>
      <c r="C90" s="24" t="str">
        <f>"        Normalized EBITDAR per Share"</f>
        <v xml:space="preserve">        Normalized EBITDAR per Share</v>
      </c>
      <c r="D90" s="33">
        <f t="shared" si="24"/>
        <v>12.547519818540071</v>
      </c>
      <c r="E90" s="33">
        <f t="shared" si="25"/>
        <v>19.500138088027096</v>
      </c>
      <c r="F90" s="33">
        <f t="shared" si="26"/>
        <v>-14.531951640759932</v>
      </c>
      <c r="G90" s="33">
        <f t="shared" si="27"/>
        <v>131.59783783783783</v>
      </c>
      <c r="H90" s="33">
        <f t="shared" si="28"/>
        <v>9.60213996740206</v>
      </c>
      <c r="I90" s="33">
        <f t="shared" si="29"/>
        <v>16.100539569853208</v>
      </c>
      <c r="J90" s="33">
        <f t="shared" si="30"/>
        <v>33.346805034961129</v>
      </c>
      <c r="K90" s="33">
        <f t="shared" si="31"/>
        <v>1.7100804560679372</v>
      </c>
      <c r="L90" s="38"/>
      <c r="M90" s="38">
        <v>17.031335149863761</v>
      </c>
      <c r="N90" s="38">
        <v>14.970873786407767</v>
      </c>
      <c r="O90" s="38">
        <v>15.056984016678248</v>
      </c>
      <c r="P90" s="38">
        <v>10.049266247379455</v>
      </c>
      <c r="Q90" s="38">
        <v>16.448391420911527</v>
      </c>
      <c r="R90" s="38">
        <v>14.29108280254777</v>
      </c>
      <c r="S90" s="38">
        <v>9.7707317073170739</v>
      </c>
      <c r="T90" s="38">
        <v>7.1315945465323063</v>
      </c>
      <c r="U90" s="38">
        <v>9.5459427207637226</v>
      </c>
      <c r="V90" s="38">
        <v>22.637611940298509</v>
      </c>
      <c r="W90" s="38">
        <v>10.803956834532373</v>
      </c>
      <c r="X90" s="38">
        <v>8.1982758620689662</v>
      </c>
      <c r="Y90" s="38">
        <v>131.59783783783783</v>
      </c>
      <c r="Z90" s="38">
        <v>-14.531951640759932</v>
      </c>
      <c r="AB90" s="30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 outlineLevel="2" x14ac:dyDescent="0.25">
      <c r="A91" s="29">
        <v>1</v>
      </c>
      <c r="C91" s="24" t="str">
        <f>"        Recommended Normalized Basic EPS"</f>
        <v xml:space="preserve">        Recommended Normalized Basic EPS</v>
      </c>
      <c r="D91" s="33">
        <f t="shared" si="24"/>
        <v>5.4863099894257044</v>
      </c>
      <c r="E91" s="33">
        <f t="shared" si="25"/>
        <v>10.57046398137072</v>
      </c>
      <c r="F91" s="33">
        <f t="shared" si="26"/>
        <v>-43.643661485319512</v>
      </c>
      <c r="G91" s="33">
        <f t="shared" si="27"/>
        <v>115.30286486486487</v>
      </c>
      <c r="H91" s="33">
        <f t="shared" si="28"/>
        <v>3.5556744412868957</v>
      </c>
      <c r="I91" s="33">
        <f t="shared" si="29"/>
        <v>6.7155916579387211</v>
      </c>
      <c r="J91" s="33">
        <f t="shared" si="30"/>
        <v>33.250988905604522</v>
      </c>
      <c r="K91" s="33">
        <f t="shared" si="31"/>
        <v>3.145650840323162</v>
      </c>
      <c r="L91" s="38"/>
      <c r="M91" s="38">
        <v>7.1550654720882152</v>
      </c>
      <c r="N91" s="38">
        <v>4.9302163293789256</v>
      </c>
      <c r="O91" s="38">
        <v>4.867977528089888</v>
      </c>
      <c r="P91" s="38">
        <v>6.6364280652019847</v>
      </c>
      <c r="Q91" s="38">
        <v>6.7419795221843</v>
      </c>
      <c r="R91" s="38">
        <v>6.2428571428571429</v>
      </c>
      <c r="S91" s="38">
        <v>5.1759142496847419</v>
      </c>
      <c r="T91" s="38">
        <v>1.9633215355335349</v>
      </c>
      <c r="U91" s="38">
        <v>3.0321754676150547</v>
      </c>
      <c r="V91" s="38">
        <v>20.666411238825035</v>
      </c>
      <c r="W91" s="38">
        <v>5.7967057291666668</v>
      </c>
      <c r="X91" s="38">
        <v>3.1182400790192317</v>
      </c>
      <c r="Y91" s="38">
        <v>115.30286486486487</v>
      </c>
      <c r="Z91" s="38">
        <v>-43.643661485319512</v>
      </c>
      <c r="AB91" s="30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 outlineLevel="2" x14ac:dyDescent="0.25">
      <c r="A92" s="29">
        <v>1</v>
      </c>
      <c r="C92" s="24" t="str">
        <f>"        Recommended Normalized Diluted EPS"</f>
        <v xml:space="preserve">        Recommended Normalized Diluted EPS</v>
      </c>
      <c r="D92" s="33">
        <f t="shared" si="24"/>
        <v>5.1844544364508396</v>
      </c>
      <c r="E92" s="33">
        <f t="shared" si="25"/>
        <v>10.469214767497196</v>
      </c>
      <c r="F92" s="33">
        <f t="shared" si="26"/>
        <v>-43.643661485319512</v>
      </c>
      <c r="G92" s="33">
        <f t="shared" si="27"/>
        <v>115.30286486486487</v>
      </c>
      <c r="H92" s="33">
        <f t="shared" si="28"/>
        <v>3.5900000000000003</v>
      </c>
      <c r="I92" s="33">
        <f t="shared" si="29"/>
        <v>6.6</v>
      </c>
      <c r="J92" s="33">
        <f t="shared" si="30"/>
        <v>33.215073009368204</v>
      </c>
      <c r="K92" s="33">
        <f t="shared" si="31"/>
        <v>3.172642241755129</v>
      </c>
      <c r="L92" s="38"/>
      <c r="M92" s="38">
        <v>7.07</v>
      </c>
      <c r="N92" s="38">
        <v>4.9000000000000004</v>
      </c>
      <c r="O92" s="38">
        <v>4.82</v>
      </c>
      <c r="P92" s="38">
        <v>6.54</v>
      </c>
      <c r="Q92" s="38">
        <v>6.62</v>
      </c>
      <c r="R92" s="38">
        <v>6.12</v>
      </c>
      <c r="S92" s="38">
        <v>5</v>
      </c>
      <c r="T92" s="38">
        <v>3.05</v>
      </c>
      <c r="U92" s="38">
        <v>3.18</v>
      </c>
      <c r="V92" s="38">
        <v>19.343283582089555</v>
      </c>
      <c r="W92" s="38">
        <v>5.3689088729016792</v>
      </c>
      <c r="X92" s="38">
        <v>2.8976109104241674</v>
      </c>
      <c r="Y92" s="38">
        <v>115.30286486486487</v>
      </c>
      <c r="Z92" s="38">
        <v>-43.643661485319512</v>
      </c>
      <c r="AB92" s="30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 outlineLevel="2" x14ac:dyDescent="0.25">
      <c r="A93" s="29">
        <v>1</v>
      </c>
      <c r="C93" s="24" t="str">
        <f>"        Sales per Share"</f>
        <v xml:space="preserve">        Sales per Share</v>
      </c>
      <c r="D93" s="33">
        <f t="shared" si="24"/>
        <v>92.583315236689941</v>
      </c>
      <c r="E93" s="33">
        <f t="shared" si="25"/>
        <v>104.64073383586421</v>
      </c>
      <c r="F93" s="33">
        <f t="shared" si="26"/>
        <v>82.759146341463421</v>
      </c>
      <c r="G93" s="33">
        <f t="shared" si="27"/>
        <v>257.30397236614851</v>
      </c>
      <c r="H93" s="33">
        <f t="shared" si="28"/>
        <v>87.409621076980372</v>
      </c>
      <c r="I93" s="33">
        <f t="shared" si="29"/>
        <v>97.026741649231397</v>
      </c>
      <c r="J93" s="33">
        <f t="shared" si="30"/>
        <v>44.672240574967816</v>
      </c>
      <c r="K93" s="33">
        <f t="shared" si="31"/>
        <v>0.42691062015141379</v>
      </c>
      <c r="L93" s="38"/>
      <c r="M93" s="38">
        <v>86.514986376021795</v>
      </c>
      <c r="N93" s="38">
        <v>84.941054091539527</v>
      </c>
      <c r="O93" s="38">
        <v>95.369701181375959</v>
      </c>
      <c r="P93" s="38">
        <v>102.75960866526904</v>
      </c>
      <c r="Q93" s="38">
        <v>97.579088471849872</v>
      </c>
      <c r="R93" s="38">
        <v>95.021656050955414</v>
      </c>
      <c r="S93" s="38">
        <v>82.759146341463421</v>
      </c>
      <c r="T93" s="38">
        <v>92.429756965026669</v>
      </c>
      <c r="U93" s="38">
        <v>92.736873508353227</v>
      </c>
      <c r="V93" s="38">
        <v>90.899104477611942</v>
      </c>
      <c r="W93" s="38">
        <v>90.093525179856115</v>
      </c>
      <c r="X93" s="38">
        <v>83.49261083743842</v>
      </c>
      <c r="Y93" s="38">
        <v>113.06918918918919</v>
      </c>
      <c r="Z93" s="38">
        <v>257.30397236614851</v>
      </c>
      <c r="AB93" s="30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 outlineLevel="2" x14ac:dyDescent="0.25">
      <c r="A94" s="29">
        <v>1</v>
      </c>
      <c r="C94" s="24" t="str">
        <f>"        Total Dividend per Share"</f>
        <v xml:space="preserve">        Total Dividend per Share</v>
      </c>
      <c r="D94" s="33">
        <f t="shared" si="24"/>
        <v>1.45</v>
      </c>
      <c r="E94" s="33">
        <f t="shared" si="25"/>
        <v>1.1299999999999999</v>
      </c>
      <c r="F94" s="33">
        <f t="shared" si="26"/>
        <v>0</v>
      </c>
      <c r="G94" s="33">
        <f t="shared" si="27"/>
        <v>1.52</v>
      </c>
      <c r="H94" s="33">
        <f t="shared" si="28"/>
        <v>0.995</v>
      </c>
      <c r="I94" s="33">
        <f t="shared" si="29"/>
        <v>1.52</v>
      </c>
      <c r="J94" s="33">
        <f t="shared" si="30"/>
        <v>0.59942829906026773</v>
      </c>
      <c r="K94" s="33">
        <f t="shared" si="31"/>
        <v>0.53046752129227237</v>
      </c>
      <c r="L94" s="38"/>
      <c r="M94" s="38" t="s">
        <v>124</v>
      </c>
      <c r="N94" s="38">
        <v>0.38</v>
      </c>
      <c r="O94" s="38">
        <v>1.52</v>
      </c>
      <c r="P94" s="38">
        <v>1.52</v>
      </c>
      <c r="Q94" s="38">
        <v>1.52</v>
      </c>
      <c r="R94" s="38">
        <v>1.52</v>
      </c>
      <c r="S94" s="38">
        <v>1.38</v>
      </c>
      <c r="T94" s="38">
        <v>1.2</v>
      </c>
      <c r="U94" s="38">
        <v>0</v>
      </c>
      <c r="V94" s="38" t="s">
        <v>124</v>
      </c>
      <c r="W94" s="38" t="s">
        <v>124</v>
      </c>
      <c r="X94" s="38" t="s">
        <v>124</v>
      </c>
      <c r="Y94" s="38" t="s">
        <v>124</v>
      </c>
      <c r="Z94" s="38" t="s">
        <v>124</v>
      </c>
      <c r="AB94" s="30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 outlineLevel="1" x14ac:dyDescent="0.25">
      <c r="A95" s="29">
        <v>1</v>
      </c>
      <c r="C95" s="24" t="str">
        <f>"    Reported Normalized and Operating Income/Expense Supplemental Section"</f>
        <v xml:space="preserve">    Reported Normalized and Operating Income/Expense Supplemental Section</v>
      </c>
      <c r="D95" s="36"/>
      <c r="E95" s="36"/>
      <c r="F95" s="36"/>
      <c r="G95" s="36"/>
      <c r="H95" s="36"/>
      <c r="I95" s="36"/>
      <c r="J95" s="36"/>
      <c r="K95" s="36"/>
      <c r="L95" s="41"/>
      <c r="M95" s="41" t="s">
        <v>124</v>
      </c>
      <c r="N95" s="41" t="s">
        <v>124</v>
      </c>
      <c r="O95" s="41" t="s">
        <v>124</v>
      </c>
      <c r="P95" s="41" t="s">
        <v>124</v>
      </c>
      <c r="Q95" s="41" t="s">
        <v>124</v>
      </c>
      <c r="R95" s="41" t="s">
        <v>124</v>
      </c>
      <c r="S95" s="41" t="s">
        <v>124</v>
      </c>
      <c r="T95" s="41" t="s">
        <v>124</v>
      </c>
      <c r="U95" s="41" t="s">
        <v>124</v>
      </c>
      <c r="V95" s="41" t="s">
        <v>124</v>
      </c>
      <c r="W95" s="41" t="s">
        <v>124</v>
      </c>
      <c r="X95" s="41" t="s">
        <v>124</v>
      </c>
      <c r="Y95" s="41" t="s">
        <v>124</v>
      </c>
      <c r="Z95" s="41" t="s">
        <v>124</v>
      </c>
      <c r="AB95" s="30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 outlineLevel="2" x14ac:dyDescent="0.25">
      <c r="A96" s="29">
        <v>1</v>
      </c>
      <c r="C96" s="24" t="str">
        <f>"        Reported Total Revenue"</f>
        <v xml:space="preserve">        Reported Total Revenue</v>
      </c>
      <c r="D96" s="32">
        <f t="shared" ref="D96:D101" si="32">IF(COUNT(M96:Z96)&gt;0,MEDIAN(M96:Z96),"")</f>
        <v>146318500</v>
      </c>
      <c r="E96" s="32">
        <f t="shared" ref="E96:E101" si="33">IF(COUNT(M96:Z96)&gt;0,AVERAGE(M96:Z96),"")</f>
        <v>140522857.14285713</v>
      </c>
      <c r="F96" s="32">
        <f t="shared" ref="F96:F101" si="34">IF(COUNT(M96:Z96)&gt;0,MIN(M96:Z96),"")</f>
        <v>104589000</v>
      </c>
      <c r="G96" s="32">
        <f t="shared" ref="G96:G101" si="35">IF(COUNT(M96:Z96)&gt;0,MAX(M96:Z96),"")</f>
        <v>155929000</v>
      </c>
      <c r="H96" s="32">
        <f t="shared" ref="H96:H101" si="36">IF(COUNT(M96:Z96)&gt;0,QUARTILE(M96:Z96,1),"")</f>
        <v>135625250</v>
      </c>
      <c r="I96" s="32">
        <f t="shared" ref="I96:I101" si="37">IF(COUNT(M96:Z96)&gt;0,QUARTILE(M96:Z96,3),"")</f>
        <v>150003000</v>
      </c>
      <c r="J96" s="32">
        <f t="shared" ref="J96:J101" si="38">IF(COUNT(M96:Z96)&gt;1,STDEV(M96:Z96),"")</f>
        <v>14582752.271919588</v>
      </c>
      <c r="K96" s="33">
        <f t="shared" ref="K96:K101" si="39">IF(COUNT(M96:Z96)&gt;1,STDEV(M96:Z96)/AVERAGE(M96:Z96),"")</f>
        <v>0.10377494856295581</v>
      </c>
      <c r="L96" s="37"/>
      <c r="M96" s="37">
        <v>127004000</v>
      </c>
      <c r="N96" s="37">
        <v>122485000</v>
      </c>
      <c r="O96" s="37">
        <v>137237000</v>
      </c>
      <c r="P96" s="37">
        <v>147049000</v>
      </c>
      <c r="Q96" s="37">
        <v>145588000</v>
      </c>
      <c r="R96" s="37">
        <v>149184000</v>
      </c>
      <c r="S96" s="37">
        <v>135725000</v>
      </c>
      <c r="T96" s="37">
        <v>155929000</v>
      </c>
      <c r="U96" s="37">
        <v>155427000</v>
      </c>
      <c r="V96" s="37">
        <v>152256000</v>
      </c>
      <c r="W96" s="37">
        <v>150276000</v>
      </c>
      <c r="X96" s="37">
        <v>135592000</v>
      </c>
      <c r="Y96" s="37">
        <v>104589000</v>
      </c>
      <c r="Z96" s="37">
        <v>148979000</v>
      </c>
      <c r="AB96" s="30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 outlineLevel="2" x14ac:dyDescent="0.25">
      <c r="A97" s="29">
        <v>1</v>
      </c>
      <c r="C97" s="24" t="str">
        <f>"        Reported Total Operating Profit/Loss"</f>
        <v xml:space="preserve">        Reported Total Operating Profit/Loss</v>
      </c>
      <c r="D97" s="32">
        <f t="shared" si="32"/>
        <v>5306000</v>
      </c>
      <c r="E97" s="32">
        <f t="shared" si="33"/>
        <v>-458714.28571428574</v>
      </c>
      <c r="F97" s="32">
        <f t="shared" si="34"/>
        <v>-30363000</v>
      </c>
      <c r="G97" s="32">
        <f t="shared" si="35"/>
        <v>9324000</v>
      </c>
      <c r="H97" s="32">
        <f t="shared" si="36"/>
        <v>2258750</v>
      </c>
      <c r="I97" s="32">
        <f t="shared" si="37"/>
        <v>6389500</v>
      </c>
      <c r="J97" s="32">
        <f t="shared" si="38"/>
        <v>13185862.694151301</v>
      </c>
      <c r="K97" s="33">
        <f t="shared" si="39"/>
        <v>-28.745262802572128</v>
      </c>
      <c r="L97" s="37"/>
      <c r="M97" s="37">
        <v>9324000</v>
      </c>
      <c r="N97" s="37">
        <v>6634000</v>
      </c>
      <c r="O97" s="37">
        <v>5481000</v>
      </c>
      <c r="P97" s="37">
        <v>4445000</v>
      </c>
      <c r="Q97" s="37">
        <v>8661000</v>
      </c>
      <c r="R97" s="37">
        <v>8686000</v>
      </c>
      <c r="S97" s="37">
        <v>5538000</v>
      </c>
      <c r="T97" s="37">
        <v>1530000</v>
      </c>
      <c r="U97" s="37">
        <v>5131000</v>
      </c>
      <c r="V97" s="37">
        <v>-30363000</v>
      </c>
      <c r="W97" s="37">
        <v>5656000</v>
      </c>
      <c r="X97" s="37">
        <v>5108000</v>
      </c>
      <c r="Y97" s="37">
        <v>-21023000</v>
      </c>
      <c r="Z97" s="37">
        <v>-21230000</v>
      </c>
      <c r="AB97" s="30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 outlineLevel="2" x14ac:dyDescent="0.25">
      <c r="A98" s="29">
        <v>1</v>
      </c>
      <c r="C98" s="24" t="str">
        <f>"        Reported Normalized Income"</f>
        <v xml:space="preserve">        Reported Normalized Income</v>
      </c>
      <c r="D98" s="32">
        <f t="shared" si="32"/>
        <v>9364000</v>
      </c>
      <c r="E98" s="32">
        <f t="shared" si="33"/>
        <v>8777571.4285714291</v>
      </c>
      <c r="F98" s="32">
        <f t="shared" si="34"/>
        <v>6932000</v>
      </c>
      <c r="G98" s="32">
        <f t="shared" si="35"/>
        <v>10382000</v>
      </c>
      <c r="H98" s="32">
        <f t="shared" si="36"/>
        <v>7637000</v>
      </c>
      <c r="I98" s="32">
        <f t="shared" si="37"/>
        <v>9745500</v>
      </c>
      <c r="J98" s="32">
        <f t="shared" si="38"/>
        <v>1383760.1980524955</v>
      </c>
      <c r="K98" s="33">
        <f t="shared" si="39"/>
        <v>0.15764727286049621</v>
      </c>
      <c r="L98" s="37"/>
      <c r="M98" s="37">
        <v>10382000</v>
      </c>
      <c r="N98" s="37">
        <v>7065000</v>
      </c>
      <c r="O98" s="37">
        <v>6932000</v>
      </c>
      <c r="P98" s="37">
        <v>9364000</v>
      </c>
      <c r="Q98" s="37">
        <v>9877000</v>
      </c>
      <c r="R98" s="37">
        <v>9614000</v>
      </c>
      <c r="S98" s="37">
        <v>8209000</v>
      </c>
      <c r="T98" s="37" t="s">
        <v>124</v>
      </c>
      <c r="U98" s="37" t="s">
        <v>124</v>
      </c>
      <c r="V98" s="37" t="s">
        <v>124</v>
      </c>
      <c r="W98" s="37" t="s">
        <v>124</v>
      </c>
      <c r="X98" s="37" t="s">
        <v>124</v>
      </c>
      <c r="Y98" s="37" t="s">
        <v>124</v>
      </c>
      <c r="Z98" s="37" t="s">
        <v>124</v>
      </c>
      <c r="AB98" s="3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 outlineLevel="2" x14ac:dyDescent="0.25">
      <c r="A99" s="29">
        <v>1</v>
      </c>
      <c r="C99" s="24" t="str">
        <f>"        Reported Normalized Diluted EPS"</f>
        <v xml:space="preserve">        Reported Normalized Diluted EPS</v>
      </c>
      <c r="D99" s="33">
        <f t="shared" si="32"/>
        <v>5</v>
      </c>
      <c r="E99" s="33">
        <f t="shared" si="33"/>
        <v>5.2555555555555555</v>
      </c>
      <c r="F99" s="33">
        <f t="shared" si="34"/>
        <v>3.05</v>
      </c>
      <c r="G99" s="33">
        <f t="shared" si="35"/>
        <v>7.07</v>
      </c>
      <c r="H99" s="33">
        <f t="shared" si="36"/>
        <v>4.82</v>
      </c>
      <c r="I99" s="33">
        <f t="shared" si="37"/>
        <v>6.54</v>
      </c>
      <c r="J99" s="33">
        <f t="shared" si="38"/>
        <v>1.4622252828404321</v>
      </c>
      <c r="K99" s="33">
        <f t="shared" si="39"/>
        <v>0.27822468383856003</v>
      </c>
      <c r="L99" s="38"/>
      <c r="M99" s="38">
        <v>7.07</v>
      </c>
      <c r="N99" s="38">
        <v>4.9000000000000004</v>
      </c>
      <c r="O99" s="38">
        <v>4.82</v>
      </c>
      <c r="P99" s="38">
        <v>6.54</v>
      </c>
      <c r="Q99" s="38">
        <v>6.62</v>
      </c>
      <c r="R99" s="38">
        <v>6.12</v>
      </c>
      <c r="S99" s="38">
        <v>5</v>
      </c>
      <c r="T99" s="38">
        <v>3.05</v>
      </c>
      <c r="U99" s="38">
        <v>3.18</v>
      </c>
      <c r="V99" s="38" t="s">
        <v>124</v>
      </c>
      <c r="W99" s="38" t="s">
        <v>124</v>
      </c>
      <c r="X99" s="38" t="s">
        <v>124</v>
      </c>
      <c r="Y99" s="38" t="s">
        <v>124</v>
      </c>
      <c r="Z99" s="38" t="s">
        <v>124</v>
      </c>
      <c r="AB99" s="30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 outlineLevel="2" x14ac:dyDescent="0.25">
      <c r="A100" s="29">
        <v>1</v>
      </c>
      <c r="C100" s="24" t="str">
        <f>"        Reported Effective Tax Rate"</f>
        <v xml:space="preserve">        Reported Effective Tax Rate</v>
      </c>
      <c r="D100" s="35">
        <f t="shared" si="32"/>
        <v>0.218</v>
      </c>
      <c r="E100" s="35">
        <f t="shared" si="33"/>
        <v>0.2772857142857143</v>
      </c>
      <c r="F100" s="35">
        <f t="shared" si="34"/>
        <v>5.5E-2</v>
      </c>
      <c r="G100" s="35">
        <f t="shared" si="35"/>
        <v>0.97199999999999998</v>
      </c>
      <c r="H100" s="35">
        <f t="shared" si="36"/>
        <v>0.1245</v>
      </c>
      <c r="I100" s="35">
        <f t="shared" si="37"/>
        <v>0.2235</v>
      </c>
      <c r="J100" s="35">
        <f t="shared" si="38"/>
        <v>0.3133133225626355</v>
      </c>
      <c r="K100" s="33">
        <f t="shared" si="39"/>
        <v>1.1299295507153264</v>
      </c>
      <c r="L100" s="40"/>
      <c r="M100" s="40">
        <v>0.218</v>
      </c>
      <c r="N100" s="40">
        <v>0.219</v>
      </c>
      <c r="O100" s="40">
        <v>0.10299999999999999</v>
      </c>
      <c r="P100" s="40">
        <v>5.5E-2</v>
      </c>
      <c r="Q100" s="40">
        <v>0.97199999999999998</v>
      </c>
      <c r="R100" s="40">
        <v>0.22800000000000001</v>
      </c>
      <c r="S100" s="40">
        <v>0.14599999999999999</v>
      </c>
      <c r="T100" s="40" t="s">
        <v>124</v>
      </c>
      <c r="U100" s="40" t="s">
        <v>124</v>
      </c>
      <c r="V100" s="40" t="s">
        <v>124</v>
      </c>
      <c r="W100" s="40" t="s">
        <v>124</v>
      </c>
      <c r="X100" s="40" t="s">
        <v>124</v>
      </c>
      <c r="Y100" s="40" t="s">
        <v>124</v>
      </c>
      <c r="Z100" s="40" t="s">
        <v>124</v>
      </c>
      <c r="AB100" s="30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 outlineLevel="2" x14ac:dyDescent="0.25">
      <c r="A101" s="29">
        <v>1</v>
      </c>
      <c r="C101" s="24" t="str">
        <f>"        Reported Normalized EBIT"</f>
        <v xml:space="preserve">        Reported Normalized EBIT</v>
      </c>
      <c r="D101" s="32">
        <f t="shared" si="32"/>
        <v>9710000</v>
      </c>
      <c r="E101" s="32">
        <f t="shared" si="33"/>
        <v>10232454.545454545</v>
      </c>
      <c r="F101" s="32">
        <f t="shared" si="34"/>
        <v>6494000</v>
      </c>
      <c r="G101" s="32">
        <f t="shared" si="35"/>
        <v>14295000</v>
      </c>
      <c r="H101" s="32">
        <f t="shared" si="36"/>
        <v>8348500</v>
      </c>
      <c r="I101" s="32">
        <f t="shared" si="37"/>
        <v>12313500</v>
      </c>
      <c r="J101" s="32">
        <f t="shared" si="38"/>
        <v>2525306.6096470891</v>
      </c>
      <c r="K101" s="33">
        <f t="shared" si="39"/>
        <v>0.24679382629350446</v>
      </c>
      <c r="L101" s="37"/>
      <c r="M101" s="37">
        <v>14295000</v>
      </c>
      <c r="N101" s="37">
        <v>9710000</v>
      </c>
      <c r="O101" s="37">
        <v>8393000</v>
      </c>
      <c r="P101" s="37">
        <v>11783000</v>
      </c>
      <c r="Q101" s="37">
        <v>12844000</v>
      </c>
      <c r="R101" s="37">
        <v>12848000</v>
      </c>
      <c r="S101" s="37">
        <v>11449000</v>
      </c>
      <c r="T101" s="37">
        <v>6494000</v>
      </c>
      <c r="U101" s="37">
        <v>8578000</v>
      </c>
      <c r="V101" s="37">
        <v>7859000</v>
      </c>
      <c r="W101" s="37">
        <v>8304000</v>
      </c>
      <c r="X101" s="37" t="s">
        <v>124</v>
      </c>
      <c r="Y101" s="37" t="s">
        <v>124</v>
      </c>
      <c r="Z101" s="37" t="s">
        <v>124</v>
      </c>
      <c r="AB101" s="30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 outlineLevel="1" x14ac:dyDescent="0.25">
      <c r="A102" s="29">
        <v>1</v>
      </c>
      <c r="C102" s="24" t="str">
        <f>"    Operating (Income)/Expenses, Supplemental Section"</f>
        <v xml:space="preserve">    Operating (Income)/Expenses, Supplemental Section</v>
      </c>
      <c r="D102" s="36"/>
      <c r="E102" s="36"/>
      <c r="F102" s="36"/>
      <c r="G102" s="36"/>
      <c r="H102" s="36"/>
      <c r="I102" s="36"/>
      <c r="J102" s="36"/>
      <c r="K102" s="36"/>
      <c r="L102" s="41"/>
      <c r="M102" s="41" t="s">
        <v>124</v>
      </c>
      <c r="N102" s="41" t="s">
        <v>124</v>
      </c>
      <c r="O102" s="41" t="s">
        <v>124</v>
      </c>
      <c r="P102" s="41" t="s">
        <v>124</v>
      </c>
      <c r="Q102" s="41" t="s">
        <v>124</v>
      </c>
      <c r="R102" s="41" t="s">
        <v>124</v>
      </c>
      <c r="S102" s="41" t="s">
        <v>124</v>
      </c>
      <c r="T102" s="41" t="s">
        <v>124</v>
      </c>
      <c r="U102" s="41" t="s">
        <v>124</v>
      </c>
      <c r="V102" s="41" t="s">
        <v>124</v>
      </c>
      <c r="W102" s="41" t="s">
        <v>124</v>
      </c>
      <c r="X102" s="41" t="s">
        <v>124</v>
      </c>
      <c r="Y102" s="41" t="s">
        <v>124</v>
      </c>
      <c r="Z102" s="41" t="s">
        <v>124</v>
      </c>
      <c r="AB102" s="30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 outlineLevel="2" x14ac:dyDescent="0.25">
      <c r="A103" s="29">
        <v>1</v>
      </c>
      <c r="C103" s="24" t="str">
        <f>IF(SUBTOTAL(109,A103)=A103,"        Depreciation, Amortization and Depletion, Supplemental","        Depreciation, Amortization and Depletion, Supplemental")</f>
        <v xml:space="preserve">        Depreciation, Amortization and Depletion, Supplemental</v>
      </c>
      <c r="D103" s="32" t="str">
        <f t="shared" ref="D103:D108" si="40">IF(COUNT(M103:Z103)&gt;0,MEDIAN(M103:Z103),"")</f>
        <v/>
      </c>
      <c r="E103" s="32" t="str">
        <f t="shared" ref="E103:E108" si="41">IF(COUNT(M103:Z103)&gt;0,AVERAGE(M103:Z103),"")</f>
        <v/>
      </c>
      <c r="F103" s="32" t="str">
        <f t="shared" ref="F103:F108" si="42">IF(COUNT(M103:Z103)&gt;0,MIN(M103:Z103),"")</f>
        <v/>
      </c>
      <c r="G103" s="32" t="str">
        <f t="shared" ref="G103:G108" si="43">IF(COUNT(M103:Z103)&gt;0,MAX(M103:Z103),"")</f>
        <v/>
      </c>
      <c r="H103" s="32" t="str">
        <f t="shared" ref="H103:H108" si="44">IF(COUNT(M103:Z103)&gt;0,QUARTILE(M103:Z103,1),"")</f>
        <v/>
      </c>
      <c r="I103" s="32" t="str">
        <f t="shared" ref="I103:I108" si="45">IF(COUNT(M103:Z103)&gt;0,QUARTILE(M103:Z103,3),"")</f>
        <v/>
      </c>
      <c r="J103" s="32" t="str">
        <f t="shared" ref="J103:J108" si="46">IF(COUNT(M103:Z103)&gt;1,STDEV(M103:Z103),"")</f>
        <v/>
      </c>
      <c r="K103" s="33" t="str">
        <f t="shared" ref="K103:K108" si="47">IF(COUNT(M103:Z103)&gt;1,STDEV(M103:Z103)/AVERAGE(M103:Z103),"")</f>
        <v/>
      </c>
      <c r="L103" s="37"/>
      <c r="M103" s="37" t="str">
        <f>IF(SUBTOTAL(109,A103)=A103,"",12070000)</f>
        <v/>
      </c>
      <c r="N103" s="37" t="str">
        <f>IF(SUBTOTAL(109,A103)=A103,"",12698000)</f>
        <v/>
      </c>
      <c r="O103" s="37" t="str">
        <f>IF(SUBTOTAL(109,A103)=A103,"",14043000)</f>
        <v/>
      </c>
      <c r="P103" s="37" t="str">
        <f>IF(SUBTOTAL(109,A103)=A103,"",5601500)</f>
        <v/>
      </c>
      <c r="Q103" s="37" t="str">
        <f>IF(SUBTOTAL(109,A103)=A103,"","")</f>
        <v/>
      </c>
      <c r="R103" s="37" t="str">
        <f>IF(SUBTOTAL(109,A103)=A103,"","")</f>
        <v/>
      </c>
      <c r="S103" s="37" t="str">
        <f>IF(SUBTOTAL(109,A103)=A103,"","")</f>
        <v/>
      </c>
      <c r="T103" s="37" t="str">
        <f>IF(SUBTOTAL(109,A103)=A103,"","")</f>
        <v/>
      </c>
      <c r="U103" s="37" t="str">
        <f>IF(SUBTOTAL(109,A103)=A103,"","")</f>
        <v/>
      </c>
      <c r="V103" s="37" t="str">
        <f>IF(SUBTOTAL(109,A103)=A103,"","")</f>
        <v/>
      </c>
      <c r="W103" s="37" t="str">
        <f>IF(SUBTOTAL(109,A103)=A103,"","")</f>
        <v/>
      </c>
      <c r="X103" s="37" t="str">
        <f>IF(SUBTOTAL(109,A103)=A103,"","")</f>
        <v/>
      </c>
      <c r="Y103" s="37" t="str">
        <f>IF(SUBTOTAL(109,A103)=A103,"","")</f>
        <v/>
      </c>
      <c r="Z103" s="37" t="str">
        <f>IF(SUBTOTAL(109,A103)=A103,"","")</f>
        <v/>
      </c>
      <c r="AB103" s="30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 outlineLevel="3" x14ac:dyDescent="0.25">
      <c r="A104" s="29">
        <v>1</v>
      </c>
      <c r="C104" s="24" t="str">
        <f>IF(SUBTOTAL(109,A104)=A104,"            Depreciation and Amortization, Supplemental","            Depreciation and Amortization, Supplemental")</f>
        <v xml:space="preserve">            Depreciation and Amortization, Supplemental</v>
      </c>
      <c r="D104" s="32" t="str">
        <f t="shared" si="40"/>
        <v/>
      </c>
      <c r="E104" s="32" t="str">
        <f t="shared" si="41"/>
        <v/>
      </c>
      <c r="F104" s="32" t="str">
        <f t="shared" si="42"/>
        <v/>
      </c>
      <c r="G104" s="32" t="str">
        <f t="shared" si="43"/>
        <v/>
      </c>
      <c r="H104" s="32" t="str">
        <f t="shared" si="44"/>
        <v/>
      </c>
      <c r="I104" s="32" t="str">
        <f t="shared" si="45"/>
        <v/>
      </c>
      <c r="J104" s="32" t="str">
        <f t="shared" si="46"/>
        <v/>
      </c>
      <c r="K104" s="33" t="str">
        <f t="shared" si="47"/>
        <v/>
      </c>
      <c r="L104" s="37"/>
      <c r="M104" s="37" t="str">
        <f>IF(SUBTOTAL(109,A104)=A104,"",12070000)</f>
        <v/>
      </c>
      <c r="N104" s="37" t="str">
        <f>IF(SUBTOTAL(109,A104)=A104,"",12698000)</f>
        <v/>
      </c>
      <c r="O104" s="37" t="str">
        <f>IF(SUBTOTAL(109,A104)=A104,"",14043000)</f>
        <v/>
      </c>
      <c r="P104" s="37" t="str">
        <f>IF(SUBTOTAL(109,A104)=A104,"",5601500)</f>
        <v/>
      </c>
      <c r="Q104" s="37" t="str">
        <f>IF(SUBTOTAL(109,A104)=A104,"","")</f>
        <v/>
      </c>
      <c r="R104" s="37" t="str">
        <f>IF(SUBTOTAL(109,A104)=A104,"","")</f>
        <v/>
      </c>
      <c r="S104" s="37" t="str">
        <f>IF(SUBTOTAL(109,A104)=A104,"","")</f>
        <v/>
      </c>
      <c r="T104" s="37" t="str">
        <f>IF(SUBTOTAL(109,A104)=A104,"","")</f>
        <v/>
      </c>
      <c r="U104" s="37" t="str">
        <f>IF(SUBTOTAL(109,A104)=A104,"","")</f>
        <v/>
      </c>
      <c r="V104" s="37" t="str">
        <f>IF(SUBTOTAL(109,A104)=A104,"","")</f>
        <v/>
      </c>
      <c r="W104" s="37" t="str">
        <f>IF(SUBTOTAL(109,A104)=A104,"","")</f>
        <v/>
      </c>
      <c r="X104" s="37" t="str">
        <f>IF(SUBTOTAL(109,A104)=A104,"","")</f>
        <v/>
      </c>
      <c r="Y104" s="37" t="str">
        <f>IF(SUBTOTAL(109,A104)=A104,"","")</f>
        <v/>
      </c>
      <c r="Z104" s="37" t="str">
        <f>IF(SUBTOTAL(109,A104)=A104,"","")</f>
        <v/>
      </c>
      <c r="AB104" s="30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 outlineLevel="4" x14ac:dyDescent="0.25">
      <c r="A105" s="29">
        <v>1</v>
      </c>
      <c r="C105" s="24" t="str">
        <f>"                Depreciation, Supplemental"</f>
        <v xml:space="preserve">                Depreciation, Supplemental</v>
      </c>
      <c r="D105" s="32">
        <f t="shared" si="40"/>
        <v>12241500</v>
      </c>
      <c r="E105" s="32">
        <f t="shared" si="41"/>
        <v>10919625</v>
      </c>
      <c r="F105" s="32">
        <f t="shared" si="42"/>
        <v>5354500</v>
      </c>
      <c r="G105" s="32">
        <f t="shared" si="43"/>
        <v>13841000</v>
      </c>
      <c r="H105" s="32">
        <f t="shared" si="44"/>
        <v>10285375</v>
      </c>
      <c r="I105" s="32">
        <f t="shared" si="45"/>
        <v>12875750</v>
      </c>
      <c r="J105" s="32">
        <f t="shared" si="46"/>
        <v>3794516.5562734515</v>
      </c>
      <c r="K105" s="33">
        <f t="shared" si="47"/>
        <v>0.34749513433597323</v>
      </c>
      <c r="L105" s="37"/>
      <c r="M105" s="37">
        <v>11929000</v>
      </c>
      <c r="N105" s="37">
        <v>12554000</v>
      </c>
      <c r="O105" s="37">
        <v>13841000</v>
      </c>
      <c r="P105" s="37">
        <v>5354500</v>
      </c>
      <c r="Q105" s="37" t="s">
        <v>124</v>
      </c>
      <c r="R105" s="37" t="s">
        <v>124</v>
      </c>
      <c r="S105" s="37" t="s">
        <v>124</v>
      </c>
      <c r="T105" s="37" t="s">
        <v>124</v>
      </c>
      <c r="U105" s="37" t="s">
        <v>124</v>
      </c>
      <c r="V105" s="37" t="s">
        <v>124</v>
      </c>
      <c r="W105" s="37" t="s">
        <v>124</v>
      </c>
      <c r="X105" s="37" t="s">
        <v>124</v>
      </c>
      <c r="Y105" s="37" t="s">
        <v>124</v>
      </c>
      <c r="Z105" s="37" t="s">
        <v>124</v>
      </c>
      <c r="AB105" s="30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 outlineLevel="4" x14ac:dyDescent="0.25">
      <c r="A106" s="29">
        <v>1</v>
      </c>
      <c r="C106" s="24" t="str">
        <f>"                Amortization, Supplemental"</f>
        <v xml:space="preserve">                Amortization, Supplemental</v>
      </c>
      <c r="D106" s="32">
        <f t="shared" si="40"/>
        <v>173000</v>
      </c>
      <c r="E106" s="32">
        <f t="shared" si="41"/>
        <v>183500</v>
      </c>
      <c r="F106" s="32">
        <f t="shared" si="42"/>
        <v>141000</v>
      </c>
      <c r="G106" s="32">
        <f t="shared" si="43"/>
        <v>247000</v>
      </c>
      <c r="H106" s="32">
        <f t="shared" si="44"/>
        <v>143250</v>
      </c>
      <c r="I106" s="32">
        <f t="shared" si="45"/>
        <v>213250</v>
      </c>
      <c r="J106" s="32">
        <f t="shared" si="46"/>
        <v>50796.98153762026</v>
      </c>
      <c r="K106" s="33">
        <f t="shared" si="47"/>
        <v>0.27682278767095508</v>
      </c>
      <c r="L106" s="37"/>
      <c r="M106" s="37">
        <v>141000</v>
      </c>
      <c r="N106" s="37">
        <v>144000</v>
      </c>
      <c r="O106" s="37">
        <v>202000</v>
      </c>
      <c r="P106" s="37">
        <v>247000</v>
      </c>
      <c r="Q106" s="37" t="s">
        <v>124</v>
      </c>
      <c r="R106" s="37" t="s">
        <v>124</v>
      </c>
      <c r="S106" s="37" t="s">
        <v>124</v>
      </c>
      <c r="T106" s="37" t="s">
        <v>124</v>
      </c>
      <c r="U106" s="37" t="s">
        <v>124</v>
      </c>
      <c r="V106" s="37" t="s">
        <v>124</v>
      </c>
      <c r="W106" s="37" t="s">
        <v>124</v>
      </c>
      <c r="X106" s="37" t="s">
        <v>124</v>
      </c>
      <c r="Y106" s="37" t="s">
        <v>124</v>
      </c>
      <c r="Z106" s="37" t="s">
        <v>124</v>
      </c>
      <c r="AB106" s="30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 outlineLevel="4" x14ac:dyDescent="0.25">
      <c r="A107" s="29">
        <v>1</v>
      </c>
      <c r="C107" s="25" t="str">
        <f>"                Total Depreciation and Amortization, Supplemental"</f>
        <v xml:space="preserve">                Total Depreciation and Amortization, Supplemental</v>
      </c>
      <c r="D107" s="45">
        <f t="shared" si="40"/>
        <v>12384000</v>
      </c>
      <c r="E107" s="45">
        <f t="shared" si="41"/>
        <v>11103125</v>
      </c>
      <c r="F107" s="45">
        <f t="shared" si="42"/>
        <v>5601500</v>
      </c>
      <c r="G107" s="45">
        <f t="shared" si="43"/>
        <v>14043000</v>
      </c>
      <c r="H107" s="45">
        <f t="shared" si="44"/>
        <v>10452875</v>
      </c>
      <c r="I107" s="45">
        <f t="shared" si="45"/>
        <v>13034250</v>
      </c>
      <c r="J107" s="45">
        <f t="shared" si="46"/>
        <v>3758954.4728776198</v>
      </c>
      <c r="K107" s="46">
        <f t="shared" si="47"/>
        <v>0.33854923482151372</v>
      </c>
      <c r="L107" s="47"/>
      <c r="M107" s="47">
        <v>12070000</v>
      </c>
      <c r="N107" s="47">
        <v>12698000</v>
      </c>
      <c r="O107" s="47">
        <v>14043000</v>
      </c>
      <c r="P107" s="47">
        <v>5601500</v>
      </c>
      <c r="Q107" s="47" t="s">
        <v>124</v>
      </c>
      <c r="R107" s="47" t="s">
        <v>124</v>
      </c>
      <c r="S107" s="47" t="s">
        <v>124</v>
      </c>
      <c r="T107" s="47" t="s">
        <v>124</v>
      </c>
      <c r="U107" s="47" t="s">
        <v>124</v>
      </c>
      <c r="V107" s="47" t="s">
        <v>124</v>
      </c>
      <c r="W107" s="47" t="s">
        <v>124</v>
      </c>
      <c r="X107" s="47" t="s">
        <v>124</v>
      </c>
      <c r="Y107" s="47" t="s">
        <v>124</v>
      </c>
      <c r="Z107" s="47" t="s">
        <v>124</v>
      </c>
      <c r="AB107" s="30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 outlineLevel="3" x14ac:dyDescent="0.25">
      <c r="A108" s="29">
        <v>1</v>
      </c>
      <c r="C108" s="25" t="str">
        <f>"            Total Depreciation, Amortization and Depletion, Supplemental"</f>
        <v xml:space="preserve">            Total Depreciation, Amortization and Depletion, Supplemental</v>
      </c>
      <c r="D108" s="45">
        <f t="shared" si="40"/>
        <v>12384000</v>
      </c>
      <c r="E108" s="45">
        <f t="shared" si="41"/>
        <v>11103125</v>
      </c>
      <c r="F108" s="45">
        <f t="shared" si="42"/>
        <v>5601500</v>
      </c>
      <c r="G108" s="45">
        <f t="shared" si="43"/>
        <v>14043000</v>
      </c>
      <c r="H108" s="45">
        <f t="shared" si="44"/>
        <v>10452875</v>
      </c>
      <c r="I108" s="45">
        <f t="shared" si="45"/>
        <v>13034250</v>
      </c>
      <c r="J108" s="45">
        <f t="shared" si="46"/>
        <v>3758954.4728776198</v>
      </c>
      <c r="K108" s="46">
        <f t="shared" si="47"/>
        <v>0.33854923482151372</v>
      </c>
      <c r="L108" s="47"/>
      <c r="M108" s="47">
        <v>12070000</v>
      </c>
      <c r="N108" s="47">
        <v>12698000</v>
      </c>
      <c r="O108" s="47">
        <v>14043000</v>
      </c>
      <c r="P108" s="47">
        <v>5601500</v>
      </c>
      <c r="Q108" s="47" t="s">
        <v>124</v>
      </c>
      <c r="R108" s="47" t="s">
        <v>124</v>
      </c>
      <c r="S108" s="47" t="s">
        <v>124</v>
      </c>
      <c r="T108" s="47" t="s">
        <v>124</v>
      </c>
      <c r="U108" s="47" t="s">
        <v>124</v>
      </c>
      <c r="V108" s="47" t="s">
        <v>124</v>
      </c>
      <c r="W108" s="47" t="s">
        <v>124</v>
      </c>
      <c r="X108" s="47" t="s">
        <v>124</v>
      </c>
      <c r="Y108" s="47" t="s">
        <v>124</v>
      </c>
      <c r="Z108" s="47" t="s">
        <v>124</v>
      </c>
      <c r="AB108" s="30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 x14ac:dyDescent="0.25">
      <c r="A109" s="29">
        <v>1</v>
      </c>
      <c r="C109" s="26" t="str">
        <f>"Profitability Metrics"</f>
        <v>Profitability Metrics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 t="s">
        <v>124</v>
      </c>
      <c r="N109" s="44" t="s">
        <v>124</v>
      </c>
      <c r="O109" s="44" t="s">
        <v>124</v>
      </c>
      <c r="P109" s="44" t="s">
        <v>124</v>
      </c>
      <c r="Q109" s="44" t="s">
        <v>124</v>
      </c>
      <c r="R109" s="44" t="s">
        <v>124</v>
      </c>
      <c r="S109" s="44" t="s">
        <v>124</v>
      </c>
      <c r="T109" s="44" t="s">
        <v>124</v>
      </c>
      <c r="U109" s="44" t="s">
        <v>124</v>
      </c>
      <c r="V109" s="44" t="s">
        <v>124</v>
      </c>
      <c r="W109" s="44" t="s">
        <v>124</v>
      </c>
      <c r="X109" s="44" t="s">
        <v>124</v>
      </c>
      <c r="Y109" s="44" t="s">
        <v>124</v>
      </c>
      <c r="Z109" s="44" t="s">
        <v>124</v>
      </c>
      <c r="AB109" s="30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 outlineLevel="1" x14ac:dyDescent="0.25">
      <c r="A110" s="29">
        <v>1</v>
      </c>
      <c r="C110" s="24" t="str">
        <f>"    Unadjusted Profitability Metrics"</f>
        <v xml:space="preserve">    Unadjusted Profitability Metrics</v>
      </c>
      <c r="D110" s="36"/>
      <c r="E110" s="36"/>
      <c r="F110" s="36"/>
      <c r="G110" s="36"/>
      <c r="H110" s="36"/>
      <c r="I110" s="36"/>
      <c r="J110" s="36"/>
      <c r="K110" s="36"/>
      <c r="L110" s="41"/>
      <c r="M110" s="41" t="s">
        <v>124</v>
      </c>
      <c r="N110" s="41" t="s">
        <v>124</v>
      </c>
      <c r="O110" s="41" t="s">
        <v>124</v>
      </c>
      <c r="P110" s="41" t="s">
        <v>124</v>
      </c>
      <c r="Q110" s="41" t="s">
        <v>124</v>
      </c>
      <c r="R110" s="41" t="s">
        <v>124</v>
      </c>
      <c r="S110" s="41" t="s">
        <v>124</v>
      </c>
      <c r="T110" s="41" t="s">
        <v>124</v>
      </c>
      <c r="U110" s="41" t="s">
        <v>124</v>
      </c>
      <c r="V110" s="41" t="s">
        <v>124</v>
      </c>
      <c r="W110" s="41" t="s">
        <v>124</v>
      </c>
      <c r="X110" s="41" t="s">
        <v>124</v>
      </c>
      <c r="Y110" s="41" t="s">
        <v>124</v>
      </c>
      <c r="Z110" s="41" t="s">
        <v>124</v>
      </c>
      <c r="AB110" s="30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 outlineLevel="2" x14ac:dyDescent="0.25">
      <c r="A111" s="29">
        <v>1</v>
      </c>
      <c r="C111" s="24" t="str">
        <f>"        EBITDA"</f>
        <v xml:space="preserve">        EBITDA</v>
      </c>
      <c r="D111" s="32">
        <f t="shared" ref="D111:D121" si="48">IF(COUNT(M111:Z111)&gt;0,MEDIAN(M111:Z111),"")</f>
        <v>16178000</v>
      </c>
      <c r="E111" s="32">
        <f t="shared" ref="E111:E121" si="49">IF(COUNT(M111:Z111)&gt;0,AVERAGE(M111:Z111),"")</f>
        <v>22489678.571428571</v>
      </c>
      <c r="F111" s="32">
        <f t="shared" ref="F111:F121" si="50">IF(COUNT(M111:Z111)&gt;0,MIN(M111:Z111),"")</f>
        <v>-17167000</v>
      </c>
      <c r="G111" s="32">
        <f t="shared" ref="G111:G121" si="51">IF(COUNT(M111:Z111)&gt;0,MAX(M111:Z111),"")</f>
        <v>118707000</v>
      </c>
      <c r="H111" s="32">
        <f t="shared" ref="H111:H121" si="52">IF(COUNT(M111:Z111)&gt;0,QUARTILE(M111:Z111,1),"")</f>
        <v>13592625</v>
      </c>
      <c r="I111" s="32">
        <f t="shared" ref="I111:I121" si="53">IF(COUNT(M111:Z111)&gt;0,QUARTILE(M111:Z111,3),"")</f>
        <v>22114000</v>
      </c>
      <c r="J111" s="32">
        <f t="shared" ref="J111:J121" si="54">IF(COUNT(M111:Z111)&gt;1,STDEV(M111:Z111),"")</f>
        <v>29598965.961413078</v>
      </c>
      <c r="K111" s="33">
        <f t="shared" ref="K111:K121" si="55">IF(COUNT(M111:Z111)&gt;1,STDEV(M111:Z111)/AVERAGE(M111:Z111),"")</f>
        <v>1.3161133391660083</v>
      </c>
      <c r="L111" s="37"/>
      <c r="M111" s="37">
        <v>25590000</v>
      </c>
      <c r="N111" s="37">
        <v>21650000</v>
      </c>
      <c r="O111" s="37">
        <v>21832000</v>
      </c>
      <c r="P111" s="37">
        <v>14470500</v>
      </c>
      <c r="Q111" s="37">
        <v>24433000</v>
      </c>
      <c r="R111" s="37">
        <v>22208000</v>
      </c>
      <c r="S111" s="37">
        <v>15667000</v>
      </c>
      <c r="T111" s="37">
        <v>11676000</v>
      </c>
      <c r="U111" s="37">
        <v>15587000</v>
      </c>
      <c r="V111" s="37">
        <v>10213000</v>
      </c>
      <c r="W111" s="37">
        <v>16689000</v>
      </c>
      <c r="X111" s="37">
        <v>13300000</v>
      </c>
      <c r="Y111" s="37">
        <v>118707000</v>
      </c>
      <c r="Z111" s="37">
        <v>-17167000</v>
      </c>
      <c r="AB111" s="30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 outlineLevel="2" x14ac:dyDescent="0.25">
      <c r="A112" s="29">
        <v>1</v>
      </c>
      <c r="C112" s="24" t="str">
        <f>"        EBITA"</f>
        <v xml:space="preserve">        EBITA</v>
      </c>
      <c r="D112" s="32">
        <f t="shared" si="48"/>
        <v>7947000</v>
      </c>
      <c r="E112" s="32">
        <f t="shared" si="49"/>
        <v>10202821.428571429</v>
      </c>
      <c r="F112" s="32">
        <f t="shared" si="50"/>
        <v>-28549000</v>
      </c>
      <c r="G112" s="32">
        <f t="shared" si="51"/>
        <v>107323000</v>
      </c>
      <c r="H112" s="32">
        <f t="shared" si="52"/>
        <v>4921000</v>
      </c>
      <c r="I112" s="32">
        <f t="shared" si="53"/>
        <v>11444500</v>
      </c>
      <c r="J112" s="32">
        <f t="shared" si="54"/>
        <v>31018331.221297525</v>
      </c>
      <c r="K112" s="33">
        <f t="shared" si="55"/>
        <v>3.0401719209193909</v>
      </c>
      <c r="L112" s="37"/>
      <c r="M112" s="37">
        <v>13539000</v>
      </c>
      <c r="N112" s="37">
        <v>8835000</v>
      </c>
      <c r="O112" s="37">
        <v>7714000</v>
      </c>
      <c r="P112" s="37">
        <v>801500</v>
      </c>
      <c r="Q112" s="37">
        <v>12172000</v>
      </c>
      <c r="R112" s="37">
        <v>12389000</v>
      </c>
      <c r="S112" s="37">
        <v>8180000</v>
      </c>
      <c r="T112" s="37">
        <v>4438000</v>
      </c>
      <c r="U112" s="37">
        <v>7546000</v>
      </c>
      <c r="V112" s="37">
        <v>-28549000</v>
      </c>
      <c r="W112" s="37">
        <v>9262000</v>
      </c>
      <c r="X112" s="37">
        <v>6370000</v>
      </c>
      <c r="Y112" s="37">
        <v>107323000</v>
      </c>
      <c r="Z112" s="37">
        <v>-27181000</v>
      </c>
      <c r="AB112" s="30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 outlineLevel="2" x14ac:dyDescent="0.25">
      <c r="A113" s="29">
        <v>1</v>
      </c>
      <c r="C113" s="24" t="str">
        <f>"        EBIT"</f>
        <v xml:space="preserve">        EBIT</v>
      </c>
      <c r="D113" s="32">
        <f t="shared" si="48"/>
        <v>8524500</v>
      </c>
      <c r="E113" s="32">
        <f t="shared" si="49"/>
        <v>10777928.571428571</v>
      </c>
      <c r="F113" s="32">
        <f t="shared" si="50"/>
        <v>-28549000</v>
      </c>
      <c r="G113" s="32">
        <f t="shared" si="51"/>
        <v>107323000</v>
      </c>
      <c r="H113" s="32">
        <f t="shared" si="52"/>
        <v>6664000</v>
      </c>
      <c r="I113" s="32">
        <f t="shared" si="53"/>
        <v>11444500</v>
      </c>
      <c r="J113" s="32">
        <f t="shared" si="54"/>
        <v>30921624.75197896</v>
      </c>
      <c r="K113" s="33">
        <f t="shared" si="55"/>
        <v>2.86897658924459</v>
      </c>
      <c r="L113" s="37"/>
      <c r="M113" s="37">
        <v>13520000</v>
      </c>
      <c r="N113" s="37">
        <v>8952000</v>
      </c>
      <c r="O113" s="37">
        <v>7789000</v>
      </c>
      <c r="P113" s="37">
        <v>8869000</v>
      </c>
      <c r="Q113" s="37">
        <v>12172000</v>
      </c>
      <c r="R113" s="37">
        <v>12389000</v>
      </c>
      <c r="S113" s="37">
        <v>8180000</v>
      </c>
      <c r="T113" s="37">
        <v>4438000</v>
      </c>
      <c r="U113" s="37">
        <v>7546000</v>
      </c>
      <c r="V113" s="37">
        <v>-28549000</v>
      </c>
      <c r="W113" s="37">
        <v>9262000</v>
      </c>
      <c r="X113" s="37">
        <v>6370000</v>
      </c>
      <c r="Y113" s="37">
        <v>107323000</v>
      </c>
      <c r="Z113" s="37">
        <v>-27370000</v>
      </c>
      <c r="AB113" s="30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 outlineLevel="2" x14ac:dyDescent="0.25">
      <c r="A114" s="29">
        <v>1</v>
      </c>
      <c r="C114" s="24" t="str">
        <f>"        EBITDAR"</f>
        <v xml:space="preserve">        EBITDAR</v>
      </c>
      <c r="D114" s="32">
        <f t="shared" si="48"/>
        <v>16178000</v>
      </c>
      <c r="E114" s="32">
        <f t="shared" si="49"/>
        <v>22489678.571428571</v>
      </c>
      <c r="F114" s="32">
        <f t="shared" si="50"/>
        <v>-17167000</v>
      </c>
      <c r="G114" s="32">
        <f t="shared" si="51"/>
        <v>118707000</v>
      </c>
      <c r="H114" s="32">
        <f t="shared" si="52"/>
        <v>13592625</v>
      </c>
      <c r="I114" s="32">
        <f t="shared" si="53"/>
        <v>22114000</v>
      </c>
      <c r="J114" s="32">
        <f t="shared" si="54"/>
        <v>29598965.961413078</v>
      </c>
      <c r="K114" s="33">
        <f t="shared" si="55"/>
        <v>1.3161133391660083</v>
      </c>
      <c r="L114" s="37"/>
      <c r="M114" s="37">
        <v>25590000</v>
      </c>
      <c r="N114" s="37">
        <v>21650000</v>
      </c>
      <c r="O114" s="37">
        <v>21832000</v>
      </c>
      <c r="P114" s="37">
        <v>14470500</v>
      </c>
      <c r="Q114" s="37">
        <v>24433000</v>
      </c>
      <c r="R114" s="37">
        <v>22208000</v>
      </c>
      <c r="S114" s="37">
        <v>15667000</v>
      </c>
      <c r="T114" s="37">
        <v>11676000</v>
      </c>
      <c r="U114" s="37">
        <v>15587000</v>
      </c>
      <c r="V114" s="37">
        <v>10213000</v>
      </c>
      <c r="W114" s="37">
        <v>16689000</v>
      </c>
      <c r="X114" s="37">
        <v>13300000</v>
      </c>
      <c r="Y114" s="37">
        <v>118707000</v>
      </c>
      <c r="Z114" s="37">
        <v>-17167000</v>
      </c>
      <c r="AB114" s="30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 outlineLevel="2" x14ac:dyDescent="0.25">
      <c r="A115" s="29">
        <v>1</v>
      </c>
      <c r="C115" s="24" t="str">
        <f>"        Interest and Dividend Income"</f>
        <v xml:space="preserve">        Interest and Dividend Income</v>
      </c>
      <c r="D115" s="32">
        <f t="shared" si="48"/>
        <v>379500</v>
      </c>
      <c r="E115" s="32">
        <f t="shared" si="49"/>
        <v>436642.85714285716</v>
      </c>
      <c r="F115" s="32">
        <f t="shared" si="50"/>
        <v>146000</v>
      </c>
      <c r="G115" s="32">
        <f t="shared" si="51"/>
        <v>1292000</v>
      </c>
      <c r="H115" s="32">
        <f t="shared" si="52"/>
        <v>242250</v>
      </c>
      <c r="I115" s="32">
        <f t="shared" si="53"/>
        <v>566250</v>
      </c>
      <c r="J115" s="32">
        <f t="shared" si="54"/>
        <v>299390.0484299722</v>
      </c>
      <c r="K115" s="33">
        <f t="shared" si="55"/>
        <v>0.68566345133643225</v>
      </c>
      <c r="L115" s="37"/>
      <c r="M115" s="37">
        <v>146000</v>
      </c>
      <c r="N115" s="37">
        <v>241000</v>
      </c>
      <c r="O115" s="37">
        <v>429000</v>
      </c>
      <c r="P115" s="37">
        <v>335000</v>
      </c>
      <c r="Q115" s="37">
        <v>266000</v>
      </c>
      <c r="R115" s="37">
        <v>182000</v>
      </c>
      <c r="S115" s="37">
        <v>614000</v>
      </c>
      <c r="T115" s="37">
        <v>211000</v>
      </c>
      <c r="U115" s="37">
        <v>246000</v>
      </c>
      <c r="V115" s="37">
        <v>441000</v>
      </c>
      <c r="W115" s="37">
        <v>608000</v>
      </c>
      <c r="X115" s="37">
        <v>678000</v>
      </c>
      <c r="Y115" s="37">
        <v>1292000</v>
      </c>
      <c r="Z115" s="37">
        <v>424000</v>
      </c>
      <c r="AB115" s="30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 outlineLevel="2" x14ac:dyDescent="0.25">
      <c r="A116" s="29">
        <v>1</v>
      </c>
      <c r="C116" s="24" t="str">
        <f>"        Tax Effect of Unusual Items"</f>
        <v xml:space="preserve">        Tax Effect of Unusual Items</v>
      </c>
      <c r="D116" s="32">
        <f t="shared" si="48"/>
        <v>14359.467734338199</v>
      </c>
      <c r="E116" s="32">
        <f t="shared" si="49"/>
        <v>313212.38503943261</v>
      </c>
      <c r="F116" s="32">
        <f t="shared" si="50"/>
        <v>-128184</v>
      </c>
      <c r="G116" s="32">
        <f t="shared" si="51"/>
        <v>3063550</v>
      </c>
      <c r="H116" s="32">
        <f t="shared" si="52"/>
        <v>-11421</v>
      </c>
      <c r="I116" s="32">
        <f t="shared" si="53"/>
        <v>120153</v>
      </c>
      <c r="J116" s="32">
        <f t="shared" si="54"/>
        <v>841793.11036880978</v>
      </c>
      <c r="K116" s="33">
        <f t="shared" si="55"/>
        <v>2.6876111883724847</v>
      </c>
      <c r="L116" s="37"/>
      <c r="M116" s="37">
        <v>-128184</v>
      </c>
      <c r="N116" s="37">
        <v>-13578</v>
      </c>
      <c r="O116" s="37">
        <v>-16995</v>
      </c>
      <c r="P116" s="37">
        <v>-4950</v>
      </c>
      <c r="Q116" s="37">
        <v>43200</v>
      </c>
      <c r="R116" s="37">
        <v>52212</v>
      </c>
      <c r="S116" s="37">
        <v>142800</v>
      </c>
      <c r="T116" s="37">
        <v>12618.935468676402</v>
      </c>
      <c r="U116" s="37">
        <v>-36790.42638777152</v>
      </c>
      <c r="V116" s="37">
        <v>196000</v>
      </c>
      <c r="W116" s="37">
        <v>16099.999999999998</v>
      </c>
      <c r="X116" s="37">
        <v>1639.8814711521702</v>
      </c>
      <c r="Y116" s="37">
        <v>1057349.9999999998</v>
      </c>
      <c r="Z116" s="37">
        <v>3063550</v>
      </c>
      <c r="AB116" s="30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 outlineLevel="2" x14ac:dyDescent="0.25">
      <c r="A117" s="29">
        <v>1</v>
      </c>
      <c r="C117" s="24" t="str">
        <f>"        Total Unusual Items"</f>
        <v xml:space="preserve">        Total Unusual Items</v>
      </c>
      <c r="D117" s="32">
        <f t="shared" si="48"/>
        <v>292000</v>
      </c>
      <c r="E117" s="32">
        <f t="shared" si="49"/>
        <v>2955785.7142857141</v>
      </c>
      <c r="F117" s="32">
        <f t="shared" si="50"/>
        <v>-588000</v>
      </c>
      <c r="G117" s="32">
        <f t="shared" si="51"/>
        <v>27705000</v>
      </c>
      <c r="H117" s="32">
        <f t="shared" si="52"/>
        <v>-43000</v>
      </c>
      <c r="I117" s="32">
        <f t="shared" si="53"/>
        <v>1102000</v>
      </c>
      <c r="J117" s="32">
        <f t="shared" si="54"/>
        <v>7512255.4349396443</v>
      </c>
      <c r="K117" s="33">
        <f t="shared" si="55"/>
        <v>2.5415426424966778</v>
      </c>
      <c r="L117" s="37"/>
      <c r="M117" s="37">
        <v>-588000</v>
      </c>
      <c r="N117" s="37">
        <v>-62000</v>
      </c>
      <c r="O117" s="37">
        <v>-165000</v>
      </c>
      <c r="P117" s="37">
        <v>-90000</v>
      </c>
      <c r="Q117" s="37">
        <v>108000</v>
      </c>
      <c r="R117" s="37">
        <v>229000</v>
      </c>
      <c r="S117" s="37">
        <v>357000</v>
      </c>
      <c r="T117" s="37">
        <v>355000</v>
      </c>
      <c r="U117" s="37">
        <v>412000</v>
      </c>
      <c r="V117" s="37">
        <v>27705000</v>
      </c>
      <c r="W117" s="37">
        <v>1332000</v>
      </c>
      <c r="X117" s="37">
        <v>14000</v>
      </c>
      <c r="Y117" s="37">
        <v>3021000</v>
      </c>
      <c r="Z117" s="37">
        <v>8753000</v>
      </c>
      <c r="AB117" s="30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 outlineLevel="2" x14ac:dyDescent="0.25">
      <c r="A118" s="29">
        <v>1</v>
      </c>
      <c r="C118" s="24" t="str">
        <f>"        Total Unusual Items Excluding Goodwill"</f>
        <v xml:space="preserve">        Total Unusual Items Excluding Goodwill</v>
      </c>
      <c r="D118" s="32">
        <f t="shared" si="48"/>
        <v>77000</v>
      </c>
      <c r="E118" s="32">
        <f t="shared" si="49"/>
        <v>877785.71428571432</v>
      </c>
      <c r="F118" s="32">
        <f t="shared" si="50"/>
        <v>-588000</v>
      </c>
      <c r="G118" s="32">
        <f t="shared" si="51"/>
        <v>8753000</v>
      </c>
      <c r="H118" s="32">
        <f t="shared" si="52"/>
        <v>-83000</v>
      </c>
      <c r="I118" s="32">
        <f t="shared" si="53"/>
        <v>326500</v>
      </c>
      <c r="J118" s="32">
        <f t="shared" si="54"/>
        <v>2416586.6957843159</v>
      </c>
      <c r="K118" s="33">
        <f t="shared" si="55"/>
        <v>2.7530485589535698</v>
      </c>
      <c r="L118" s="37"/>
      <c r="M118" s="37">
        <v>-588000</v>
      </c>
      <c r="N118" s="37">
        <v>-62000</v>
      </c>
      <c r="O118" s="37">
        <v>-165000</v>
      </c>
      <c r="P118" s="37">
        <v>-90000</v>
      </c>
      <c r="Q118" s="37">
        <v>108000</v>
      </c>
      <c r="R118" s="37">
        <v>229000</v>
      </c>
      <c r="S118" s="37">
        <v>357000</v>
      </c>
      <c r="T118" s="37">
        <v>235000</v>
      </c>
      <c r="U118" s="37">
        <v>-129000</v>
      </c>
      <c r="V118" s="37">
        <v>560000</v>
      </c>
      <c r="W118" s="37">
        <v>46000</v>
      </c>
      <c r="X118" s="37">
        <v>14000</v>
      </c>
      <c r="Y118" s="37">
        <v>3021000</v>
      </c>
      <c r="Z118" s="37">
        <v>8753000</v>
      </c>
      <c r="AB118" s="30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 outlineLevel="2" x14ac:dyDescent="0.25">
      <c r="A119" s="29">
        <v>1</v>
      </c>
      <c r="C119" s="24" t="str">
        <f>"        Cost of Revenue and Operating Expense"</f>
        <v xml:space="preserve">        Cost of Revenue and Operating Expense</v>
      </c>
      <c r="D119" s="32">
        <f t="shared" si="48"/>
        <v>138712500</v>
      </c>
      <c r="E119" s="32">
        <f t="shared" si="49"/>
        <v>138860000</v>
      </c>
      <c r="F119" s="32">
        <f t="shared" si="50"/>
        <v>115851000</v>
      </c>
      <c r="G119" s="32">
        <f t="shared" si="51"/>
        <v>169599000</v>
      </c>
      <c r="H119" s="32">
        <f t="shared" si="52"/>
        <v>130261250</v>
      </c>
      <c r="I119" s="32">
        <f t="shared" si="53"/>
        <v>148149750</v>
      </c>
      <c r="J119" s="32">
        <f t="shared" si="54"/>
        <v>15107747.76779731</v>
      </c>
      <c r="K119" s="33">
        <f t="shared" si="55"/>
        <v>0.10879841399825227</v>
      </c>
      <c r="L119" s="37"/>
      <c r="M119" s="37">
        <v>117680000</v>
      </c>
      <c r="N119" s="37">
        <v>115851000</v>
      </c>
      <c r="O119" s="37">
        <v>131756000</v>
      </c>
      <c r="P119" s="37">
        <v>142604000</v>
      </c>
      <c r="Q119" s="37">
        <v>136927000</v>
      </c>
      <c r="R119" s="37">
        <v>140498000</v>
      </c>
      <c r="S119" s="37">
        <v>130187000</v>
      </c>
      <c r="T119" s="37">
        <v>154279000</v>
      </c>
      <c r="U119" s="37">
        <v>149755000</v>
      </c>
      <c r="V119" s="37">
        <v>155474000</v>
      </c>
      <c r="W119" s="37">
        <v>143334000</v>
      </c>
      <c r="X119" s="37">
        <v>130484000</v>
      </c>
      <c r="Y119" s="37">
        <v>125612000</v>
      </c>
      <c r="Z119" s="37">
        <v>169599000</v>
      </c>
      <c r="AB119" s="30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 outlineLevel="2" x14ac:dyDescent="0.25">
      <c r="A120" s="29">
        <v>1</v>
      </c>
      <c r="C120" s="24" t="str">
        <f>"        Net Operating Profit After Tax (NOPAT)"</f>
        <v xml:space="preserve">        Net Operating Profit After Tax (NOPAT)</v>
      </c>
      <c r="D120" s="32">
        <f t="shared" si="48"/>
        <v>6986979</v>
      </c>
      <c r="E120" s="32">
        <f t="shared" si="49"/>
        <v>11644826.019426199</v>
      </c>
      <c r="F120" s="32">
        <f t="shared" si="50"/>
        <v>-29685350</v>
      </c>
      <c r="G120" s="32">
        <f t="shared" si="51"/>
        <v>108356500</v>
      </c>
      <c r="H120" s="32">
        <f t="shared" si="52"/>
        <v>5587226.9911504425</v>
      </c>
      <c r="I120" s="32">
        <f t="shared" si="53"/>
        <v>9417250</v>
      </c>
      <c r="J120" s="32">
        <f t="shared" si="54"/>
        <v>29616121.654293217</v>
      </c>
      <c r="K120" s="33">
        <f t="shared" si="55"/>
        <v>2.5432858854985758</v>
      </c>
      <c r="L120" s="37"/>
      <c r="M120" s="37">
        <v>10573728</v>
      </c>
      <c r="N120" s="37">
        <v>6990317</v>
      </c>
      <c r="O120" s="37">
        <v>6983641</v>
      </c>
      <c r="P120" s="37">
        <v>8377400</v>
      </c>
      <c r="Q120" s="37">
        <v>515400</v>
      </c>
      <c r="R120" s="37">
        <v>9563132</v>
      </c>
      <c r="S120" s="37">
        <v>9475400</v>
      </c>
      <c r="T120" s="37">
        <v>4199690.0612341026</v>
      </c>
      <c r="U120" s="37">
        <v>5393902.6548672561</v>
      </c>
      <c r="V120" s="37">
        <v>6167200</v>
      </c>
      <c r="W120" s="37">
        <v>9242800</v>
      </c>
      <c r="X120" s="37">
        <v>6873803.5558654349</v>
      </c>
      <c r="Y120" s="37">
        <v>108356500</v>
      </c>
      <c r="Z120" s="37">
        <v>-29685350</v>
      </c>
      <c r="AB120" s="30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 outlineLevel="2" x14ac:dyDescent="0.25">
      <c r="A121" s="29">
        <v>1</v>
      </c>
      <c r="C121" s="24" t="str">
        <f>"        Income After Taxes"</f>
        <v xml:space="preserve">        Income After Taxes</v>
      </c>
      <c r="D121" s="32">
        <f t="shared" si="48"/>
        <v>6494000</v>
      </c>
      <c r="E121" s="32">
        <f t="shared" si="49"/>
        <v>10961142.857142856</v>
      </c>
      <c r="F121" s="32">
        <f t="shared" si="50"/>
        <v>-31237000</v>
      </c>
      <c r="G121" s="32">
        <f t="shared" si="51"/>
        <v>104659000</v>
      </c>
      <c r="H121" s="32">
        <f t="shared" si="52"/>
        <v>5131500</v>
      </c>
      <c r="I121" s="32">
        <f t="shared" si="53"/>
        <v>9282500</v>
      </c>
      <c r="J121" s="32">
        <f t="shared" si="54"/>
        <v>28913430.772825025</v>
      </c>
      <c r="K121" s="33">
        <f t="shared" si="55"/>
        <v>2.6378116907748828</v>
      </c>
      <c r="L121" s="37"/>
      <c r="M121" s="37">
        <v>9945000</v>
      </c>
      <c r="N121" s="37">
        <v>6321000</v>
      </c>
      <c r="O121" s="37">
        <v>6667000</v>
      </c>
      <c r="P121" s="37">
        <v>8075000</v>
      </c>
      <c r="Q121" s="37">
        <v>330000</v>
      </c>
      <c r="R121" s="37">
        <v>9269000</v>
      </c>
      <c r="S121" s="37">
        <v>9590000</v>
      </c>
      <c r="T121" s="37">
        <v>4018000</v>
      </c>
      <c r="U121" s="37">
        <v>5331000</v>
      </c>
      <c r="V121" s="37">
        <v>6136000</v>
      </c>
      <c r="W121" s="37">
        <v>9287000</v>
      </c>
      <c r="X121" s="37">
        <v>5065000</v>
      </c>
      <c r="Y121" s="37">
        <v>104659000</v>
      </c>
      <c r="Z121" s="37">
        <v>-31237000</v>
      </c>
      <c r="AB121" s="30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 outlineLevel="1" x14ac:dyDescent="0.25">
      <c r="A122" s="29">
        <v>1</v>
      </c>
      <c r="C122" s="24" t="str">
        <f>"    Normalized Profitability Metrics"</f>
        <v xml:space="preserve">    Normalized Profitability Metrics</v>
      </c>
      <c r="D122" s="36"/>
      <c r="E122" s="36"/>
      <c r="F122" s="36"/>
      <c r="G122" s="36"/>
      <c r="H122" s="36"/>
      <c r="I122" s="36"/>
      <c r="J122" s="36"/>
      <c r="K122" s="36"/>
      <c r="L122" s="41"/>
      <c r="M122" s="41" t="s">
        <v>124</v>
      </c>
      <c r="N122" s="41" t="s">
        <v>124</v>
      </c>
      <c r="O122" s="41" t="s">
        <v>124</v>
      </c>
      <c r="P122" s="41" t="s">
        <v>124</v>
      </c>
      <c r="Q122" s="41" t="s">
        <v>124</v>
      </c>
      <c r="R122" s="41" t="s">
        <v>124</v>
      </c>
      <c r="S122" s="41" t="s">
        <v>124</v>
      </c>
      <c r="T122" s="41" t="s">
        <v>124</v>
      </c>
      <c r="U122" s="41" t="s">
        <v>124</v>
      </c>
      <c r="V122" s="41" t="s">
        <v>124</v>
      </c>
      <c r="W122" s="41" t="s">
        <v>124</v>
      </c>
      <c r="X122" s="41" t="s">
        <v>124</v>
      </c>
      <c r="Y122" s="41" t="s">
        <v>124</v>
      </c>
      <c r="Z122" s="41" t="s">
        <v>124</v>
      </c>
      <c r="AB122" s="30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 outlineLevel="2" x14ac:dyDescent="0.25">
      <c r="A123" s="29">
        <v>1</v>
      </c>
      <c r="C123" s="24" t="str">
        <f>"        EBITDA (Normalized)"</f>
        <v xml:space="preserve">        EBITDA (Normalized)</v>
      </c>
      <c r="D123" s="32">
        <f>IF(COUNT(M123:Z123)&gt;0,MEDIAN(M123:Z123),"")</f>
        <v>19804500</v>
      </c>
      <c r="E123" s="32">
        <f>IF(COUNT(M123:Z123)&gt;0,AVERAGE(M123:Z123),"")</f>
        <v>25445464.285714287</v>
      </c>
      <c r="F123" s="32">
        <f>IF(COUNT(M123:Z123)&gt;0,MIN(M123:Z123),"")</f>
        <v>-8414000</v>
      </c>
      <c r="G123" s="32">
        <f>IF(COUNT(M123:Z123)&gt;0,MAX(M123:Z123),"")</f>
        <v>121728000</v>
      </c>
      <c r="H123" s="32">
        <f>IF(COUNT(M123:Z123)&gt;0,QUARTILE(M123:Z123,1),"")</f>
        <v>14785125</v>
      </c>
      <c r="I123" s="32">
        <f>IF(COUNT(M123:Z123)&gt;0,QUARTILE(M123:Z123,3),"")</f>
        <v>24015000</v>
      </c>
      <c r="J123" s="32">
        <f>IF(COUNT(M123:Z123)&gt;1,STDEV(M123:Z123),"")</f>
        <v>29475221.155602943</v>
      </c>
      <c r="K123" s="33">
        <f>IF(COUNT(M123:Z123)&gt;1,STDEV(M123:Z123)/AVERAGE(M123:Z123),"")</f>
        <v>1.1583683765656836</v>
      </c>
      <c r="L123" s="37"/>
      <c r="M123" s="37">
        <v>25002000</v>
      </c>
      <c r="N123" s="37">
        <v>21588000</v>
      </c>
      <c r="O123" s="37">
        <v>21667000</v>
      </c>
      <c r="P123" s="37">
        <v>14380500</v>
      </c>
      <c r="Q123" s="37">
        <v>24541000</v>
      </c>
      <c r="R123" s="37">
        <v>22437000</v>
      </c>
      <c r="S123" s="37">
        <v>16024000</v>
      </c>
      <c r="T123" s="37">
        <v>12031000</v>
      </c>
      <c r="U123" s="37">
        <v>15999000</v>
      </c>
      <c r="V123" s="37">
        <v>37918000</v>
      </c>
      <c r="W123" s="37">
        <v>18021000</v>
      </c>
      <c r="X123" s="37">
        <v>13314000</v>
      </c>
      <c r="Y123" s="37">
        <v>121728000</v>
      </c>
      <c r="Z123" s="37">
        <v>-8414000</v>
      </c>
      <c r="AB123" s="30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 outlineLevel="2" x14ac:dyDescent="0.25">
      <c r="A124" s="29">
        <v>1</v>
      </c>
      <c r="C124" s="24" t="str">
        <f>"        EBIT (Normalized)"</f>
        <v xml:space="preserve">        EBIT (Normalized)</v>
      </c>
      <c r="D124" s="32">
        <f>IF(COUNT(M124:Z124)&gt;0,MEDIAN(M124:Z124),"")</f>
        <v>9144000</v>
      </c>
      <c r="E124" s="32">
        <f>IF(COUNT(M124:Z124)&gt;0,AVERAGE(M124:Z124),"")</f>
        <v>15047714.285714285</v>
      </c>
      <c r="F124" s="32">
        <f>IF(COUNT(M124:Z124)&gt;0,MIN(M124:Z124),"")</f>
        <v>-18617000</v>
      </c>
      <c r="G124" s="32">
        <f>IF(COUNT(M124:Z124)&gt;0,MAX(M124:Z124),"")</f>
        <v>110344000</v>
      </c>
      <c r="H124" s="32">
        <f>IF(COUNT(M124:Z124)&gt;0,QUARTILE(M124:Z124,1),"")</f>
        <v>7970250</v>
      </c>
      <c r="I124" s="32">
        <f>IF(COUNT(M124:Z124)&gt;0,QUARTILE(M124:Z124,3),"")</f>
        <v>12578750</v>
      </c>
      <c r="J124" s="32">
        <f>IF(COUNT(M124:Z124)&gt;1,STDEV(M124:Z124),"")</f>
        <v>28566495.610252049</v>
      </c>
      <c r="K124" s="33">
        <f>IF(COUNT(M124:Z124)&gt;1,STDEV(M124:Z124)/AVERAGE(M124:Z124),"")</f>
        <v>1.8983943386918216</v>
      </c>
      <c r="L124" s="37"/>
      <c r="M124" s="37">
        <v>14295000</v>
      </c>
      <c r="N124" s="37">
        <v>9710000</v>
      </c>
      <c r="O124" s="37">
        <v>8393000</v>
      </c>
      <c r="P124" s="37">
        <v>11783000</v>
      </c>
      <c r="Q124" s="37">
        <v>12844000</v>
      </c>
      <c r="R124" s="37">
        <v>12848000</v>
      </c>
      <c r="S124" s="37">
        <v>11449000</v>
      </c>
      <c r="T124" s="37">
        <v>6494000</v>
      </c>
      <c r="U124" s="37">
        <v>8578000</v>
      </c>
      <c r="V124" s="37">
        <v>7859000</v>
      </c>
      <c r="W124" s="37">
        <v>8304000</v>
      </c>
      <c r="X124" s="37">
        <v>6384000</v>
      </c>
      <c r="Y124" s="37">
        <v>110344000</v>
      </c>
      <c r="Z124" s="37">
        <v>-18617000</v>
      </c>
      <c r="AB124" s="30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 outlineLevel="2" x14ac:dyDescent="0.25">
      <c r="A125" s="29">
        <v>1</v>
      </c>
      <c r="C125" s="24" t="str">
        <f>"        EBITDAR (Normalized)"</f>
        <v xml:space="preserve">        EBITDAR (Normalized)</v>
      </c>
      <c r="D125" s="32">
        <f>IF(COUNT(M125:Z125)&gt;0,MEDIAN(M125:Z125),"")</f>
        <v>19804500</v>
      </c>
      <c r="E125" s="32">
        <f>IF(COUNT(M125:Z125)&gt;0,AVERAGE(M125:Z125),"")</f>
        <v>25445464.285714287</v>
      </c>
      <c r="F125" s="32">
        <f>IF(COUNT(M125:Z125)&gt;0,MIN(M125:Z125),"")</f>
        <v>-8414000</v>
      </c>
      <c r="G125" s="32">
        <f>IF(COUNT(M125:Z125)&gt;0,MAX(M125:Z125),"")</f>
        <v>121728000</v>
      </c>
      <c r="H125" s="32">
        <f>IF(COUNT(M125:Z125)&gt;0,QUARTILE(M125:Z125,1),"")</f>
        <v>14785125</v>
      </c>
      <c r="I125" s="32">
        <f>IF(COUNT(M125:Z125)&gt;0,QUARTILE(M125:Z125,3),"")</f>
        <v>24015000</v>
      </c>
      <c r="J125" s="32">
        <f>IF(COUNT(M125:Z125)&gt;1,STDEV(M125:Z125),"")</f>
        <v>29475221.155602943</v>
      </c>
      <c r="K125" s="33">
        <f>IF(COUNT(M125:Z125)&gt;1,STDEV(M125:Z125)/AVERAGE(M125:Z125),"")</f>
        <v>1.1583683765656836</v>
      </c>
      <c r="L125" s="37"/>
      <c r="M125" s="37">
        <v>25002000</v>
      </c>
      <c r="N125" s="37">
        <v>21588000</v>
      </c>
      <c r="O125" s="37">
        <v>21667000</v>
      </c>
      <c r="P125" s="37">
        <v>14380500</v>
      </c>
      <c r="Q125" s="37">
        <v>24541000</v>
      </c>
      <c r="R125" s="37">
        <v>22437000</v>
      </c>
      <c r="S125" s="37">
        <v>16024000</v>
      </c>
      <c r="T125" s="37">
        <v>12031000</v>
      </c>
      <c r="U125" s="37">
        <v>15999000</v>
      </c>
      <c r="V125" s="37">
        <v>37918000</v>
      </c>
      <c r="W125" s="37">
        <v>18021000</v>
      </c>
      <c r="X125" s="37">
        <v>13314000</v>
      </c>
      <c r="Y125" s="37">
        <v>121728000</v>
      </c>
      <c r="Z125" s="37">
        <v>-8414000</v>
      </c>
      <c r="AB125" s="30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 outlineLevel="2" x14ac:dyDescent="0.25">
      <c r="A126" s="29">
        <v>1</v>
      </c>
      <c r="C126" s="24" t="str">
        <f>"        Net Income (Normalized)"</f>
        <v xml:space="preserve">        Net Income (Normalized)</v>
      </c>
      <c r="D126" s="32">
        <f>IF(COUNT(M126:Z126)&gt;0,MEDIAN(M126:Z126),"")</f>
        <v>8786500</v>
      </c>
      <c r="E126" s="32">
        <f>IF(COUNT(M126:Z126)&gt;0,AVERAGE(M126:Z126),"")</f>
        <v>14583252.257817712</v>
      </c>
      <c r="F126" s="32">
        <f>IF(COUNT(M126:Z126)&gt;0,MIN(M126:Z126),"")</f>
        <v>-25361550</v>
      </c>
      <c r="G126" s="32">
        <f>IF(COUNT(M126:Z126)&gt;0,MAX(M126:Z126),"")</f>
        <v>107180650</v>
      </c>
      <c r="H126" s="32">
        <f>IF(COUNT(M126:Z126)&gt;0,QUARTILE(M126:Z126,1),"")</f>
        <v>6619520.0888966359</v>
      </c>
      <c r="I126" s="32">
        <f>IF(COUNT(M126:Z126)&gt;0,QUARTILE(M126:Z126,3),"")</f>
        <v>10255750</v>
      </c>
      <c r="J126" s="32">
        <f>IF(COUNT(M126:Z126)&gt;1,STDEV(M126:Z126),"")</f>
        <v>29146299.289166883</v>
      </c>
      <c r="K126" s="33">
        <f>IF(COUNT(M126:Z126)&gt;1,STDEV(M126:Z126)/AVERAGE(M126:Z126),"")</f>
        <v>1.998614491053756</v>
      </c>
      <c r="L126" s="37"/>
      <c r="M126" s="37">
        <v>10382000</v>
      </c>
      <c r="N126" s="37">
        <v>7065000</v>
      </c>
      <c r="O126" s="37">
        <v>6932000</v>
      </c>
      <c r="P126" s="37">
        <v>9364000</v>
      </c>
      <c r="Q126" s="37">
        <v>9877000</v>
      </c>
      <c r="R126" s="37">
        <v>9614000</v>
      </c>
      <c r="S126" s="37">
        <v>8209000</v>
      </c>
      <c r="T126" s="37">
        <v>4360381.0645313235</v>
      </c>
      <c r="U126" s="37">
        <v>5779790.426387772</v>
      </c>
      <c r="V126" s="37">
        <v>33645000</v>
      </c>
      <c r="W126" s="37">
        <v>10602900</v>
      </c>
      <c r="X126" s="37">
        <v>6515360.1185288476</v>
      </c>
      <c r="Y126" s="37">
        <v>107180650</v>
      </c>
      <c r="Z126" s="37">
        <v>-25361550</v>
      </c>
      <c r="AB126" s="30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 outlineLevel="1" x14ac:dyDescent="0.25">
      <c r="A127" s="29">
        <v>1</v>
      </c>
      <c r="C127" s="24" t="str">
        <f>"    Analyst Normalized Profitability Metrics"</f>
        <v xml:space="preserve">    Analyst Normalized Profitability Metrics</v>
      </c>
      <c r="D127" s="36"/>
      <c r="E127" s="36"/>
      <c r="F127" s="36"/>
      <c r="G127" s="36"/>
      <c r="H127" s="36"/>
      <c r="I127" s="36"/>
      <c r="J127" s="36"/>
      <c r="K127" s="36"/>
      <c r="L127" s="41"/>
      <c r="M127" s="41" t="s">
        <v>124</v>
      </c>
      <c r="N127" s="41" t="s">
        <v>124</v>
      </c>
      <c r="O127" s="41" t="s">
        <v>124</v>
      </c>
      <c r="P127" s="41" t="s">
        <v>124</v>
      </c>
      <c r="Q127" s="41" t="s">
        <v>124</v>
      </c>
      <c r="R127" s="41" t="s">
        <v>124</v>
      </c>
      <c r="S127" s="41" t="s">
        <v>124</v>
      </c>
      <c r="T127" s="41" t="s">
        <v>124</v>
      </c>
      <c r="U127" s="41" t="s">
        <v>124</v>
      </c>
      <c r="V127" s="41" t="s">
        <v>124</v>
      </c>
      <c r="W127" s="41" t="s">
        <v>124</v>
      </c>
      <c r="X127" s="41" t="s">
        <v>124</v>
      </c>
      <c r="Y127" s="41" t="s">
        <v>124</v>
      </c>
      <c r="Z127" s="41" t="s">
        <v>124</v>
      </c>
      <c r="AB127" s="30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 outlineLevel="2" x14ac:dyDescent="0.25">
      <c r="A128" s="29">
        <v>1</v>
      </c>
      <c r="C128" s="24" t="str">
        <f>"        EBITDA (Analyst Normalized)"</f>
        <v xml:space="preserve">        EBITDA (Analyst Normalized)</v>
      </c>
      <c r="D128" s="32">
        <f>IF(COUNT(M128:Z128)&gt;0,MEDIAN(M128:Z128),"")</f>
        <v>18268019.230769232</v>
      </c>
      <c r="E128" s="32">
        <f>IF(COUNT(M128:Z128)&gt;0,AVERAGE(M128:Z128),"")</f>
        <v>18967881.815968845</v>
      </c>
      <c r="F128" s="32">
        <f>IF(COUNT(M128:Z128)&gt;0,MIN(M128:Z128),"")</f>
        <v>10866000</v>
      </c>
      <c r="G128" s="32">
        <f>IF(COUNT(M128:Z128)&gt;0,MAX(M128:Z128),"")</f>
        <v>26097000</v>
      </c>
      <c r="H128" s="32">
        <f>IF(COUNT(M128:Z128)&gt;0,QUARTILE(M128:Z128,1),"")</f>
        <v>15557423.076923078</v>
      </c>
      <c r="I128" s="32">
        <f>IF(COUNT(M128:Z128)&gt;0,QUARTILE(M128:Z128,3),"")</f>
        <v>22811442.307692308</v>
      </c>
      <c r="J128" s="32">
        <f>IF(COUNT(M128:Z128)&gt;1,STDEV(M128:Z128),"")</f>
        <v>4837435.4173567202</v>
      </c>
      <c r="K128" s="33">
        <f>IF(COUNT(M128:Z128)&gt;1,STDEV(M128:Z128)/AVERAGE(M128:Z128),"")</f>
        <v>0.25503297965954946</v>
      </c>
      <c r="L128" s="37"/>
      <c r="M128" s="37">
        <v>26097000</v>
      </c>
      <c r="N128" s="37">
        <v>21791620.25316456</v>
      </c>
      <c r="O128" s="37">
        <v>23731000</v>
      </c>
      <c r="P128" s="37">
        <v>17375500</v>
      </c>
      <c r="Q128" s="37">
        <v>25087000</v>
      </c>
      <c r="R128" s="37">
        <v>22504923.076923076</v>
      </c>
      <c r="S128" s="37">
        <v>19160538.461538464</v>
      </c>
      <c r="T128" s="37">
        <v>15118615.384615386</v>
      </c>
      <c r="U128" s="37">
        <v>16137692.307692308</v>
      </c>
      <c r="V128" s="37">
        <v>10866000</v>
      </c>
      <c r="W128" s="37">
        <v>15703692.307692308</v>
      </c>
      <c r="X128" s="37">
        <v>14041000</v>
      </c>
      <c r="Y128" s="37" t="s">
        <v>124</v>
      </c>
      <c r="Z128" s="37" t="s">
        <v>124</v>
      </c>
      <c r="AB128" s="3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 outlineLevel="2" x14ac:dyDescent="0.25">
      <c r="A129" s="29">
        <v>1</v>
      </c>
      <c r="C129" s="24" t="str">
        <f>"        EBIT (Analyst Normalized)"</f>
        <v xml:space="preserve">        EBIT (Analyst Normalized)</v>
      </c>
      <c r="D129" s="32">
        <f>IF(COUNT(M129:Z129)&gt;0,MEDIAN(M129:Z129),"")</f>
        <v>9390810.1265822779</v>
      </c>
      <c r="E129" s="32">
        <f>IF(COUNT(M129:Z129)&gt;0,AVERAGE(M129:Z129),"")</f>
        <v>7103090.1493021743</v>
      </c>
      <c r="F129" s="32">
        <f>IF(COUNT(M129:Z129)&gt;0,MIN(M129:Z129),"")</f>
        <v>-27896000</v>
      </c>
      <c r="G129" s="32">
        <f>IF(COUNT(M129:Z129)&gt;0,MAX(M129:Z129),"")</f>
        <v>14027000</v>
      </c>
      <c r="H129" s="32">
        <f>IF(COUNT(M129:Z129)&gt;0,QUARTILE(M129:Z129,1),"")</f>
        <v>8042673.076923077</v>
      </c>
      <c r="I129" s="32">
        <f>IF(COUNT(M129:Z129)&gt;0,QUARTILE(M129:Z129,3),"")</f>
        <v>12001980.769230768</v>
      </c>
      <c r="J129" s="32">
        <f>IF(COUNT(M129:Z129)&gt;1,STDEV(M129:Z129),"")</f>
        <v>11253751.376674043</v>
      </c>
      <c r="K129" s="33">
        <f>IF(COUNT(M129:Z129)&gt;1,STDEV(M129:Z129)/AVERAGE(M129:Z129),"")</f>
        <v>1.5843458466847193</v>
      </c>
      <c r="L129" s="37"/>
      <c r="M129" s="37">
        <v>14027000</v>
      </c>
      <c r="N129" s="37">
        <v>9093620.2531645559</v>
      </c>
      <c r="O129" s="37">
        <v>9688000</v>
      </c>
      <c r="P129" s="37">
        <v>11774000</v>
      </c>
      <c r="Q129" s="37">
        <v>12826000</v>
      </c>
      <c r="R129" s="37">
        <v>12685923.076923076</v>
      </c>
      <c r="S129" s="37">
        <v>11673538.461538462</v>
      </c>
      <c r="T129" s="37">
        <v>7880615.384615385</v>
      </c>
      <c r="U129" s="37">
        <v>8096692.307692308</v>
      </c>
      <c r="V129" s="37">
        <v>-27896000</v>
      </c>
      <c r="W129" s="37">
        <v>8276692.307692308</v>
      </c>
      <c r="X129" s="37">
        <v>7111000</v>
      </c>
      <c r="Y129" s="37" t="s">
        <v>124</v>
      </c>
      <c r="Z129" s="37" t="s">
        <v>124</v>
      </c>
      <c r="AB129" s="30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 outlineLevel="2" x14ac:dyDescent="0.25">
      <c r="A130" s="29">
        <v>1</v>
      </c>
      <c r="C130" s="24" t="str">
        <f>"        Net Income (Analyst Normalized)"</f>
        <v xml:space="preserve">        Net Income (Analyst Normalized)</v>
      </c>
      <c r="D130" s="32">
        <f>IF(COUNT(M130:Z130)&gt;0,MEDIAN(M130:Z130),"")</f>
        <v>8421500</v>
      </c>
      <c r="E130" s="32">
        <f>IF(COUNT(M130:Z130)&gt;0,AVERAGE(M130:Z130),"")</f>
        <v>8040789.4655414922</v>
      </c>
      <c r="F130" s="32">
        <f>IF(COUNT(M130:Z130)&gt;0,MIN(M130:Z130),"")</f>
        <v>5505500</v>
      </c>
      <c r="G130" s="32">
        <f>IF(COUNT(M130:Z130)&gt;0,MAX(M130:Z130),"")</f>
        <v>10389000</v>
      </c>
      <c r="H130" s="32">
        <f>IF(COUNT(M130:Z130)&gt;0,QUARTILE(M130:Z130,1),"")</f>
        <v>6681215.1898734178</v>
      </c>
      <c r="I130" s="32">
        <f>IF(COUNT(M130:Z130)&gt;0,QUARTILE(M130:Z130,3),"")</f>
        <v>9628250</v>
      </c>
      <c r="J130" s="32">
        <f>IF(COUNT(M130:Z130)&gt;1,STDEV(M130:Z130),"")</f>
        <v>1901839.0048525359</v>
      </c>
      <c r="K130" s="33">
        <f>IF(COUNT(M130:Z130)&gt;1,STDEV(M130:Z130)/AVERAGE(M130:Z130),"")</f>
        <v>0.2365239150959986</v>
      </c>
      <c r="L130" s="37"/>
      <c r="M130" s="37">
        <v>10389000</v>
      </c>
      <c r="N130" s="37">
        <v>6681215.1898734178</v>
      </c>
      <c r="O130" s="37">
        <v>6932000</v>
      </c>
      <c r="P130" s="37">
        <v>9364000</v>
      </c>
      <c r="Q130" s="37">
        <v>9879000</v>
      </c>
      <c r="R130" s="37">
        <v>9628250</v>
      </c>
      <c r="S130" s="37">
        <v>8421500</v>
      </c>
      <c r="T130" s="37">
        <v>5505500</v>
      </c>
      <c r="U130" s="37">
        <v>5566640</v>
      </c>
      <c r="V130" s="37" t="s">
        <v>124</v>
      </c>
      <c r="W130" s="37" t="s">
        <v>124</v>
      </c>
      <c r="X130" s="37" t="s">
        <v>124</v>
      </c>
      <c r="Y130" s="37" t="s">
        <v>124</v>
      </c>
      <c r="Z130" s="37" t="s">
        <v>124</v>
      </c>
      <c r="AB130" s="30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 outlineLevel="2" x14ac:dyDescent="0.25">
      <c r="A131" s="29">
        <v>1</v>
      </c>
      <c r="C131" s="24" t="str">
        <f>"        EPS (Analyst Normalized)"</f>
        <v xml:space="preserve">        EPS (Analyst Normalized)</v>
      </c>
      <c r="D131" s="33">
        <f>IF(COUNT(M131:Z131)&gt;0,MEDIAN(M131:Z131),"")</f>
        <v>4.7096739999999997</v>
      </c>
      <c r="E131" s="33">
        <f>IF(COUNT(M131:Z131)&gt;0,AVERAGE(M131:Z131),"")</f>
        <v>4.7404007500000001</v>
      </c>
      <c r="F131" s="33">
        <f>IF(COUNT(M131:Z131)&gt;0,MIN(M131:Z131),"")</f>
        <v>3.0301130000000001</v>
      </c>
      <c r="G131" s="33">
        <f>IF(COUNT(M131:Z131)&gt;0,MAX(M131:Z131),"")</f>
        <v>7.0893429999999995</v>
      </c>
      <c r="H131" s="33">
        <f>IF(COUNT(M131:Z131)&gt;0,QUARTILE(M131:Z131,1),"")</f>
        <v>3.2520120000000001</v>
      </c>
      <c r="I131" s="33">
        <f>IF(COUNT(M131:Z131)&gt;0,QUARTILE(M131:Z131,3),"")</f>
        <v>6.2329499999999998</v>
      </c>
      <c r="J131" s="33">
        <f>IF(COUNT(M131:Z131)&gt;1,STDEV(M131:Z131),"")</f>
        <v>1.5403570043836725</v>
      </c>
      <c r="K131" s="33">
        <f>IF(COUNT(M131:Z131)&gt;1,STDEV(M131:Z131)/AVERAGE(M131:Z131),"")</f>
        <v>0.32494235943736877</v>
      </c>
      <c r="L131" s="38"/>
      <c r="M131" s="38">
        <v>7.0893429999999995</v>
      </c>
      <c r="N131" s="38">
        <v>4.5995540000000004</v>
      </c>
      <c r="O131" s="38">
        <v>4.8197939999999999</v>
      </c>
      <c r="P131" s="38">
        <v>6.54</v>
      </c>
      <c r="Q131" s="38">
        <v>6.61</v>
      </c>
      <c r="R131" s="38">
        <v>6.1305999999999994</v>
      </c>
      <c r="S131" s="38">
        <v>5.04</v>
      </c>
      <c r="T131" s="38">
        <v>3.0301130000000001</v>
      </c>
      <c r="U131" s="38">
        <v>3.1483560000000002</v>
      </c>
      <c r="V131" s="38">
        <v>3.2865640000000003</v>
      </c>
      <c r="W131" s="38">
        <v>3.4523359999999998</v>
      </c>
      <c r="X131" s="38">
        <v>3.1381490000000003</v>
      </c>
      <c r="Y131" s="38" t="s">
        <v>124</v>
      </c>
      <c r="Z131" s="38" t="s">
        <v>124</v>
      </c>
      <c r="AB131" s="30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 x14ac:dyDescent="0.25">
      <c r="A132" s="29">
        <v>1</v>
      </c>
      <c r="C132" s="26" t="str">
        <f>"Data Origination"</f>
        <v>Data Origination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 t="s">
        <v>124</v>
      </c>
      <c r="N132" s="44" t="s">
        <v>124</v>
      </c>
      <c r="O132" s="44" t="s">
        <v>124</v>
      </c>
      <c r="P132" s="44" t="s">
        <v>124</v>
      </c>
      <c r="Q132" s="44" t="s">
        <v>124</v>
      </c>
      <c r="R132" s="44" t="s">
        <v>124</v>
      </c>
      <c r="S132" s="44" t="s">
        <v>124</v>
      </c>
      <c r="T132" s="44" t="s">
        <v>124</v>
      </c>
      <c r="U132" s="44" t="s">
        <v>124</v>
      </c>
      <c r="V132" s="44" t="s">
        <v>124</v>
      </c>
      <c r="W132" s="44" t="s">
        <v>124</v>
      </c>
      <c r="X132" s="44" t="s">
        <v>124</v>
      </c>
      <c r="Y132" s="44" t="s">
        <v>124</v>
      </c>
      <c r="Z132" s="44" t="s">
        <v>124</v>
      </c>
      <c r="AB132" s="30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 x14ac:dyDescent="0.25">
      <c r="A133" s="29">
        <v>1</v>
      </c>
      <c r="C133" s="24" t="str">
        <f>"    Preliminary"</f>
        <v xml:space="preserve">    Preliminary</v>
      </c>
      <c r="D133" s="36"/>
      <c r="E133" s="36"/>
      <c r="F133" s="36"/>
      <c r="G133" s="36"/>
      <c r="H133" s="36"/>
      <c r="I133" s="36"/>
      <c r="J133" s="36"/>
      <c r="K133" s="36"/>
      <c r="L133" s="41"/>
      <c r="M133" s="41" t="s">
        <v>125</v>
      </c>
      <c r="N133" s="41" t="s">
        <v>125</v>
      </c>
      <c r="O133" s="41" t="s">
        <v>125</v>
      </c>
      <c r="P133" s="41" t="s">
        <v>125</v>
      </c>
      <c r="Q133" s="41" t="s">
        <v>125</v>
      </c>
      <c r="R133" s="41" t="s">
        <v>125</v>
      </c>
      <c r="S133" s="41" t="s">
        <v>125</v>
      </c>
      <c r="T133" s="41" t="s">
        <v>125</v>
      </c>
      <c r="U133" s="41" t="s">
        <v>125</v>
      </c>
      <c r="V133" s="41" t="s">
        <v>125</v>
      </c>
      <c r="W133" s="41" t="s">
        <v>125</v>
      </c>
      <c r="X133" s="41" t="s">
        <v>125</v>
      </c>
      <c r="Y133" s="41" t="s">
        <v>125</v>
      </c>
      <c r="Z133" s="41" t="s">
        <v>125</v>
      </c>
      <c r="AB133" s="30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 x14ac:dyDescent="0.25">
      <c r="A134" s="29">
        <v>1</v>
      </c>
      <c r="C134" s="24" t="str">
        <f>"    Original"</f>
        <v xml:space="preserve">    Original</v>
      </c>
      <c r="D134" s="36"/>
      <c r="E134" s="36"/>
      <c r="F134" s="36"/>
      <c r="G134" s="36"/>
      <c r="H134" s="36"/>
      <c r="I134" s="36"/>
      <c r="J134" s="36"/>
      <c r="K134" s="36"/>
      <c r="L134" s="41"/>
      <c r="M134" s="41" t="s">
        <v>125</v>
      </c>
      <c r="N134" s="41" t="s">
        <v>125</v>
      </c>
      <c r="O134" s="41" t="s">
        <v>125</v>
      </c>
      <c r="P134" s="41" t="s">
        <v>125</v>
      </c>
      <c r="Q134" s="41" t="s">
        <v>125</v>
      </c>
      <c r="R134" s="41" t="s">
        <v>125</v>
      </c>
      <c r="S134" s="41" t="s">
        <v>125</v>
      </c>
      <c r="T134" s="41" t="s">
        <v>125</v>
      </c>
      <c r="U134" s="41" t="s">
        <v>125</v>
      </c>
      <c r="V134" s="41" t="s">
        <v>125</v>
      </c>
      <c r="W134" s="41" t="s">
        <v>125</v>
      </c>
      <c r="X134" s="41" t="s">
        <v>125</v>
      </c>
      <c r="Y134" s="41" t="s">
        <v>125</v>
      </c>
      <c r="Z134" s="41" t="s">
        <v>125</v>
      </c>
      <c r="AB134" s="3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 x14ac:dyDescent="0.25">
      <c r="A135" s="29">
        <v>1</v>
      </c>
      <c r="C135" s="24" t="str">
        <f>"    Restated"</f>
        <v xml:space="preserve">    Restated</v>
      </c>
      <c r="D135" s="36"/>
      <c r="E135" s="36"/>
      <c r="F135" s="36"/>
      <c r="G135" s="36"/>
      <c r="H135" s="36"/>
      <c r="I135" s="36"/>
      <c r="J135" s="36"/>
      <c r="K135" s="36"/>
      <c r="L135" s="41"/>
      <c r="M135" s="41" t="s">
        <v>125</v>
      </c>
      <c r="N135" s="41" t="s">
        <v>125</v>
      </c>
      <c r="O135" s="41" t="s">
        <v>125</v>
      </c>
      <c r="P135" s="41" t="s">
        <v>125</v>
      </c>
      <c r="Q135" s="41" t="s">
        <v>125</v>
      </c>
      <c r="R135" s="41" t="s">
        <v>125</v>
      </c>
      <c r="S135" s="41" t="s">
        <v>125</v>
      </c>
      <c r="T135" s="41" t="s">
        <v>125</v>
      </c>
      <c r="U135" s="41" t="s">
        <v>125</v>
      </c>
      <c r="V135" s="41" t="s">
        <v>125</v>
      </c>
      <c r="W135" s="41" t="s">
        <v>125</v>
      </c>
      <c r="X135" s="41" t="s">
        <v>125</v>
      </c>
      <c r="Y135" s="41" t="s">
        <v>125</v>
      </c>
      <c r="Z135" s="41" t="s">
        <v>125</v>
      </c>
      <c r="AB135" s="30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 x14ac:dyDescent="0.25">
      <c r="A136" s="29">
        <v>1</v>
      </c>
      <c r="C136" s="24" t="str">
        <f>"    Calculated"</f>
        <v xml:space="preserve">    Calculated</v>
      </c>
      <c r="D136" s="36"/>
      <c r="E136" s="36"/>
      <c r="F136" s="36"/>
      <c r="G136" s="36"/>
      <c r="H136" s="36"/>
      <c r="I136" s="36"/>
      <c r="J136" s="36"/>
      <c r="K136" s="36"/>
      <c r="L136" s="41"/>
      <c r="M136" s="41" t="s">
        <v>125</v>
      </c>
      <c r="N136" s="41" t="s">
        <v>125</v>
      </c>
      <c r="O136" s="41" t="s">
        <v>125</v>
      </c>
      <c r="P136" s="41" t="s">
        <v>125</v>
      </c>
      <c r="Q136" s="41" t="s">
        <v>125</v>
      </c>
      <c r="R136" s="41" t="s">
        <v>125</v>
      </c>
      <c r="S136" s="41" t="s">
        <v>125</v>
      </c>
      <c r="T136" s="41" t="s">
        <v>125</v>
      </c>
      <c r="U136" s="41" t="s">
        <v>125</v>
      </c>
      <c r="V136" s="41" t="s">
        <v>125</v>
      </c>
      <c r="W136" s="41" t="s">
        <v>125</v>
      </c>
      <c r="X136" s="41" t="s">
        <v>125</v>
      </c>
      <c r="Y136" s="41" t="s">
        <v>125</v>
      </c>
      <c r="Z136" s="41" t="s">
        <v>125</v>
      </c>
      <c r="AB136" s="30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 x14ac:dyDescent="0.25">
      <c r="A137" s="29"/>
      <c r="AB137" s="30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 x14ac:dyDescent="0.25">
      <c r="A138" s="29"/>
      <c r="AB138" s="30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 x14ac:dyDescent="0.25">
      <c r="A139" s="29"/>
      <c r="C139" s="109" t="s">
        <v>89</v>
      </c>
      <c r="AB139" s="30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 x14ac:dyDescent="0.25">
      <c r="A140" s="29"/>
      <c r="C140" s="109" t="s">
        <v>11</v>
      </c>
      <c r="AB140" s="3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 x14ac:dyDescent="0.25">
      <c r="A141" s="29"/>
      <c r="AB141" s="30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 x14ac:dyDescent="0.25">
      <c r="A142" s="27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10:Z10 D18:Z18 D30:Z31 D55:Z63 D67:Z70 D74:Z74 D78:Z80 D108:Z108 D131:Z131">
    <cfRule type="expression" dxfId="6" priority="1">
      <formula>NOT(SUBTOTAL(109,$A11)=$A11)</formula>
    </cfRule>
  </conditionalFormatting>
  <hyperlinks>
    <hyperlink ref="M5" r:id="rId1" xr:uid="{00000000-0004-0000-0200-000000000000}"/>
    <hyperlink ref="M10" r:id="rId2" xr:uid="{00000000-0004-0000-0200-000001000000}"/>
    <hyperlink ref="N5" r:id="rId3" xr:uid="{00000000-0004-0000-0200-000002000000}"/>
    <hyperlink ref="N10" r:id="rId4" xr:uid="{00000000-0004-0000-0200-000003000000}"/>
    <hyperlink ref="O5" r:id="rId5" xr:uid="{00000000-0004-0000-0200-000004000000}"/>
    <hyperlink ref="O10" r:id="rId6" xr:uid="{00000000-0004-0000-0200-000005000000}"/>
    <hyperlink ref="P5" r:id="rId7" xr:uid="{00000000-0004-0000-0200-000006000000}"/>
    <hyperlink ref="P10" r:id="rId8" xr:uid="{00000000-0004-0000-0200-000007000000}"/>
    <hyperlink ref="Q5" r:id="rId9" xr:uid="{00000000-0004-0000-0200-000008000000}"/>
    <hyperlink ref="Q10" r:id="rId10" xr:uid="{00000000-0004-0000-0200-000009000000}"/>
    <hyperlink ref="R5" r:id="rId11" xr:uid="{00000000-0004-0000-0200-00000A000000}"/>
    <hyperlink ref="R10" r:id="rId12" xr:uid="{00000000-0004-0000-0200-00000B000000}"/>
    <hyperlink ref="S5" r:id="rId13" xr:uid="{00000000-0004-0000-0200-00000C000000}"/>
    <hyperlink ref="S10" r:id="rId14" xr:uid="{00000000-0004-0000-0200-00000D000000}"/>
    <hyperlink ref="T5" r:id="rId15" xr:uid="{00000000-0004-0000-0200-00000E000000}"/>
    <hyperlink ref="T10" r:id="rId16" xr:uid="{00000000-0004-0000-0200-00000F000000}"/>
    <hyperlink ref="U5" r:id="rId17" xr:uid="{00000000-0004-0000-0200-000010000000}"/>
    <hyperlink ref="U10" r:id="rId18" xr:uid="{00000000-0004-0000-0200-000011000000}"/>
    <hyperlink ref="V5" r:id="rId19" xr:uid="{00000000-0004-0000-0200-000012000000}"/>
    <hyperlink ref="V10" r:id="rId20" xr:uid="{00000000-0004-0000-0200-000013000000}"/>
    <hyperlink ref="W5" r:id="rId21" xr:uid="{00000000-0004-0000-0200-000014000000}"/>
    <hyperlink ref="W10" r:id="rId22" xr:uid="{00000000-0004-0000-0200-000015000000}"/>
    <hyperlink ref="X5" r:id="rId23" xr:uid="{00000000-0004-0000-0200-000016000000}"/>
    <hyperlink ref="X10" r:id="rId24" xr:uid="{00000000-0004-0000-0200-000017000000}"/>
    <hyperlink ref="Y5" r:id="rId25" xr:uid="{00000000-0004-0000-0200-000018000000}"/>
    <hyperlink ref="Y10" r:id="rId26" xr:uid="{00000000-0004-0000-0200-000019000000}"/>
    <hyperlink ref="Z5" r:id="rId27" xr:uid="{00000000-0004-0000-0200-00001A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K80"/>
  <sheetViews>
    <sheetView showGridLines="0" tabSelected="1" zoomScale="90" zoomScaleNormal="90" workbookViewId="0">
      <selection activeCell="Z17" sqref="Z17"/>
    </sheetView>
  </sheetViews>
  <sheetFormatPr defaultColWidth="8.85546875" defaultRowHeight="15" outlineLevelCol="1" x14ac:dyDescent="0.25"/>
  <cols>
    <col min="1" max="1" width="1" style="1" customWidth="1"/>
    <col min="2" max="2" width="2" style="1" customWidth="1"/>
    <col min="3" max="3" width="50.5703125" style="1" customWidth="1"/>
    <col min="4" max="10" width="12.5703125" style="1" hidden="1" customWidth="1" outlineLevel="1"/>
    <col min="11" max="11" width="10.5703125" style="1" hidden="1" customWidth="1" outlineLevel="1" collapsed="1"/>
    <col min="12" max="12" width="2.5703125" style="1" customWidth="1" collapsed="1"/>
    <col min="13" max="17" width="14.5703125" style="1" customWidth="1" collapsed="1"/>
    <col min="18" max="18" width="16.140625" style="1" customWidth="1" collapsed="1"/>
    <col min="19" max="26" width="14.5703125" style="1" customWidth="1" collapsed="1"/>
    <col min="27" max="27" width="1.85546875" style="1" customWidth="1"/>
    <col min="28" max="1025" width="14.5703125" style="1" customWidth="1" collapsed="1"/>
  </cols>
  <sheetData>
    <row r="1" spans="1:49" ht="39.75" customHeight="1" x14ac:dyDescent="0.25">
      <c r="A1" s="29"/>
      <c r="AB1" s="30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18.75" customHeight="1" x14ac:dyDescent="0.25">
      <c r="A2" s="29"/>
      <c r="C2" s="6" t="s">
        <v>93</v>
      </c>
      <c r="AB2" s="30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 ht="21" hidden="1" customHeight="1" x14ac:dyDescent="0.35">
      <c r="A3" s="29"/>
      <c r="C3" s="7" t="s">
        <v>94</v>
      </c>
      <c r="D3" s="42" t="s">
        <v>1</v>
      </c>
      <c r="E3" s="115"/>
      <c r="F3" s="115"/>
      <c r="G3" s="115"/>
      <c r="H3" s="115"/>
      <c r="I3" s="115"/>
      <c r="J3" s="115"/>
      <c r="K3" s="115"/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25.5" x14ac:dyDescent="0.25">
      <c r="A4" s="29"/>
      <c r="C4" s="7" t="s">
        <v>95</v>
      </c>
      <c r="D4" s="118" t="s">
        <v>2</v>
      </c>
      <c r="E4" s="118" t="s">
        <v>3</v>
      </c>
      <c r="F4" s="118" t="s">
        <v>4</v>
      </c>
      <c r="G4" s="118" t="s">
        <v>5</v>
      </c>
      <c r="H4" s="118" t="s">
        <v>6</v>
      </c>
      <c r="I4" s="118" t="s">
        <v>7</v>
      </c>
      <c r="J4" s="118" t="s">
        <v>8</v>
      </c>
      <c r="K4" s="118" t="s">
        <v>9</v>
      </c>
      <c r="M4" s="48" t="s">
        <v>97</v>
      </c>
      <c r="N4" s="48" t="s">
        <v>100</v>
      </c>
      <c r="O4" s="48" t="s">
        <v>101</v>
      </c>
      <c r="P4" s="48" t="s">
        <v>102</v>
      </c>
      <c r="Q4" s="48" t="s">
        <v>104</v>
      </c>
      <c r="R4" s="48" t="s">
        <v>106</v>
      </c>
      <c r="S4" s="48" t="s">
        <v>108</v>
      </c>
      <c r="T4" s="48" t="s">
        <v>110</v>
      </c>
      <c r="U4" s="48" t="s">
        <v>112</v>
      </c>
      <c r="V4" s="48" t="s">
        <v>114</v>
      </c>
      <c r="W4" s="48" t="s">
        <v>116</v>
      </c>
      <c r="X4" s="48" t="s">
        <v>118</v>
      </c>
      <c r="Y4" s="48" t="s">
        <v>120</v>
      </c>
      <c r="Z4" s="48" t="s">
        <v>122</v>
      </c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 ht="15" customHeight="1" x14ac:dyDescent="0.25">
      <c r="A5" s="29"/>
      <c r="D5" s="118"/>
      <c r="E5" s="118"/>
      <c r="F5" s="118"/>
      <c r="G5" s="118"/>
      <c r="H5" s="118"/>
      <c r="I5" s="118"/>
      <c r="J5" s="118"/>
      <c r="K5" s="118"/>
      <c r="AB5" s="3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 ht="24" x14ac:dyDescent="0.25">
      <c r="A6" s="29"/>
      <c r="C6" s="8" t="s">
        <v>96</v>
      </c>
      <c r="D6" s="26"/>
      <c r="E6" s="26"/>
      <c r="F6" s="26"/>
      <c r="G6" s="26"/>
      <c r="H6" s="26"/>
      <c r="I6" s="26"/>
      <c r="J6" s="26"/>
      <c r="K6" s="26"/>
      <c r="AB6" s="3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 x14ac:dyDescent="0.25">
      <c r="A7" s="29"/>
      <c r="D7" s="26"/>
      <c r="E7" s="26"/>
      <c r="F7" s="26"/>
      <c r="G7" s="26"/>
      <c r="H7" s="26"/>
      <c r="I7" s="26"/>
      <c r="J7" s="26"/>
      <c r="K7" s="26"/>
      <c r="AB7" s="3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 x14ac:dyDescent="0.25">
      <c r="A8" s="29"/>
      <c r="D8" s="26"/>
      <c r="E8" s="26"/>
      <c r="F8" s="26"/>
      <c r="G8" s="26"/>
      <c r="H8" s="26"/>
      <c r="I8" s="26"/>
      <c r="J8" s="26"/>
      <c r="K8" s="26"/>
      <c r="M8" s="49" t="s">
        <v>98</v>
      </c>
      <c r="N8" s="49" t="s">
        <v>98</v>
      </c>
      <c r="O8" s="49" t="s">
        <v>98</v>
      </c>
      <c r="P8" s="49" t="s">
        <v>103</v>
      </c>
      <c r="Q8" s="49" t="s">
        <v>105</v>
      </c>
      <c r="R8" s="49" t="s">
        <v>107</v>
      </c>
      <c r="S8" s="49" t="s">
        <v>109</v>
      </c>
      <c r="T8" s="49" t="s">
        <v>111</v>
      </c>
      <c r="U8" s="49" t="s">
        <v>113</v>
      </c>
      <c r="V8" s="49" t="s">
        <v>115</v>
      </c>
      <c r="W8" s="49" t="s">
        <v>117</v>
      </c>
      <c r="X8" s="49" t="s">
        <v>119</v>
      </c>
      <c r="Y8" s="49" t="s">
        <v>121</v>
      </c>
      <c r="Z8" s="49" t="s">
        <v>123</v>
      </c>
      <c r="AB8" s="3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 x14ac:dyDescent="0.25">
      <c r="A9" s="29"/>
      <c r="D9" s="26"/>
      <c r="E9" s="26"/>
      <c r="F9" s="26"/>
      <c r="G9" s="26"/>
      <c r="H9" s="26"/>
      <c r="I9" s="26"/>
      <c r="J9" s="26"/>
      <c r="K9" s="26"/>
      <c r="M9" s="50" t="s">
        <v>99</v>
      </c>
      <c r="N9" s="50" t="s">
        <v>99</v>
      </c>
      <c r="O9" s="50" t="s">
        <v>99</v>
      </c>
      <c r="P9" s="50" t="s">
        <v>99</v>
      </c>
      <c r="Q9" s="50" t="s">
        <v>99</v>
      </c>
      <c r="R9" s="50" t="s">
        <v>99</v>
      </c>
      <c r="S9" s="50" t="s">
        <v>99</v>
      </c>
      <c r="T9" s="50" t="s">
        <v>99</v>
      </c>
      <c r="U9" s="50" t="s">
        <v>99</v>
      </c>
      <c r="V9" s="50" t="s">
        <v>99</v>
      </c>
      <c r="W9" s="50" t="s">
        <v>99</v>
      </c>
      <c r="X9" s="50" t="s">
        <v>99</v>
      </c>
      <c r="Y9" s="50" t="s">
        <v>99</v>
      </c>
      <c r="AB9" s="3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 ht="27.75" customHeight="1" x14ac:dyDescent="0.25">
      <c r="A10" s="29">
        <v>1</v>
      </c>
      <c r="C10" s="117" t="str">
        <f>"Income Statement"</f>
        <v>Income Statement</v>
      </c>
      <c r="D10" s="44"/>
      <c r="E10" s="44"/>
      <c r="F10" s="44"/>
      <c r="G10" s="44"/>
      <c r="H10" s="44"/>
      <c r="I10" s="44"/>
      <c r="J10" s="44"/>
      <c r="K10" s="44"/>
      <c r="L10" s="44"/>
      <c r="M10" s="44" t="s">
        <v>124</v>
      </c>
      <c r="N10" s="44" t="s">
        <v>124</v>
      </c>
      <c r="O10" s="44" t="s">
        <v>124</v>
      </c>
      <c r="P10" s="44" t="s">
        <v>124</v>
      </c>
      <c r="Q10" s="44" t="s">
        <v>124</v>
      </c>
      <c r="R10" s="44" t="s">
        <v>124</v>
      </c>
      <c r="S10" s="44" t="s">
        <v>124</v>
      </c>
      <c r="T10" s="44" t="s">
        <v>124</v>
      </c>
      <c r="U10" s="44" t="s">
        <v>124</v>
      </c>
      <c r="V10" s="44" t="s">
        <v>124</v>
      </c>
      <c r="W10" s="44" t="s">
        <v>124</v>
      </c>
      <c r="X10" s="44" t="s">
        <v>124</v>
      </c>
      <c r="Y10" s="44" t="s">
        <v>124</v>
      </c>
      <c r="Z10" s="44" t="s">
        <v>124</v>
      </c>
      <c r="AB10" s="3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 x14ac:dyDescent="0.25">
      <c r="A11" s="29">
        <v>1</v>
      </c>
      <c r="C11" s="123" t="str">
        <f>"    Total Revenue"</f>
        <v xml:space="preserve">    Total Revenue</v>
      </c>
      <c r="D11" s="32">
        <f t="shared" ref="D11:D21" si="0">IF(COUNT(M11:Z11)&gt;0,MEDIAN(M11:Z11),"")</f>
        <v>146318500</v>
      </c>
      <c r="E11" s="32">
        <f t="shared" ref="E11:E21" si="1">IF(COUNT(M11:Z11)&gt;0,AVERAGE(M11:Z11),"")</f>
        <v>140522857.14285713</v>
      </c>
      <c r="F11" s="32">
        <f t="shared" ref="F11:F21" si="2">IF(COUNT(M11:Z11)&gt;0,MIN(M11:Z11),"")</f>
        <v>104589000</v>
      </c>
      <c r="G11" s="32">
        <f t="shared" ref="G11:G21" si="3">IF(COUNT(M11:Z11)&gt;0,MAX(M11:Z11),"")</f>
        <v>155929000</v>
      </c>
      <c r="H11" s="32">
        <f t="shared" ref="H11:H21" si="4">IF(COUNT(M11:Z11)&gt;0,QUARTILE(M11:Z11,1),"")</f>
        <v>135625250</v>
      </c>
      <c r="I11" s="32">
        <f t="shared" ref="I11:I21" si="5">IF(COUNT(M11:Z11)&gt;0,QUARTILE(M11:Z11,3),"")</f>
        <v>150003000</v>
      </c>
      <c r="J11" s="32">
        <f t="shared" ref="J11:J21" si="6">IF(COUNT(M11:Z11)&gt;1,STDEV(M11:Z11),"")</f>
        <v>14582752.271919588</v>
      </c>
      <c r="K11" s="33">
        <f t="shared" ref="K11:K21" si="7">IF(COUNT(M11:Z11)&gt;1,STDEV(M11:Z11)/AVERAGE(M11:Z11),"")</f>
        <v>0.10377494856295581</v>
      </c>
      <c r="L11" s="37"/>
      <c r="M11" s="37">
        <v>127004000</v>
      </c>
      <c r="N11" s="37">
        <v>122485000</v>
      </c>
      <c r="O11" s="37">
        <v>137237000</v>
      </c>
      <c r="P11" s="37">
        <v>147049000</v>
      </c>
      <c r="Q11" s="37">
        <v>145588000</v>
      </c>
      <c r="R11" s="37">
        <v>149184000</v>
      </c>
      <c r="S11" s="37">
        <v>135725000</v>
      </c>
      <c r="T11" s="37">
        <v>155929000</v>
      </c>
      <c r="U11" s="37">
        <v>155427000</v>
      </c>
      <c r="V11" s="37">
        <v>152256000</v>
      </c>
      <c r="W11" s="37">
        <v>150276000</v>
      </c>
      <c r="X11" s="37">
        <v>135592000</v>
      </c>
      <c r="Y11" s="37">
        <v>104589000</v>
      </c>
      <c r="Z11" s="37">
        <v>148979000</v>
      </c>
      <c r="AB11" s="3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x14ac:dyDescent="0.25">
      <c r="A12" s="29">
        <v>1</v>
      </c>
      <c r="C12" s="123" t="str">
        <f>"    Gross Profit"</f>
        <v xml:space="preserve">    Gross Profit</v>
      </c>
      <c r="D12" s="32">
        <f t="shared" si="0"/>
        <v>15383500</v>
      </c>
      <c r="E12" s="32">
        <f t="shared" si="1"/>
        <v>13205214.285714285</v>
      </c>
      <c r="F12" s="32">
        <f t="shared" si="2"/>
        <v>-7606000</v>
      </c>
      <c r="G12" s="32">
        <f t="shared" si="3"/>
        <v>19105000</v>
      </c>
      <c r="H12" s="32">
        <f t="shared" si="4"/>
        <v>13706000</v>
      </c>
      <c r="I12" s="32">
        <f t="shared" si="5"/>
        <v>18010000</v>
      </c>
      <c r="J12" s="32">
        <f t="shared" si="6"/>
        <v>7804201.8877266124</v>
      </c>
      <c r="K12" s="33">
        <f t="shared" si="7"/>
        <v>0.59099396033045704</v>
      </c>
      <c r="L12" s="37"/>
      <c r="M12" s="37">
        <v>17878000</v>
      </c>
      <c r="N12" s="37">
        <v>13672000</v>
      </c>
      <c r="O12" s="37">
        <v>13972000</v>
      </c>
      <c r="P12" s="37">
        <v>14095000</v>
      </c>
      <c r="Q12" s="37">
        <v>18231000</v>
      </c>
      <c r="R12" s="37">
        <v>19031000</v>
      </c>
      <c r="S12" s="37">
        <v>17426000</v>
      </c>
      <c r="T12" s="37">
        <v>13808000</v>
      </c>
      <c r="U12" s="37">
        <v>18054000</v>
      </c>
      <c r="V12" s="37">
        <v>10813000</v>
      </c>
      <c r="W12" s="37">
        <v>19105000</v>
      </c>
      <c r="X12" s="37">
        <v>16672000</v>
      </c>
      <c r="Y12" s="37">
        <v>-7606000</v>
      </c>
      <c r="Z12" s="37">
        <v>-278000</v>
      </c>
      <c r="AB12" s="30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x14ac:dyDescent="0.25">
      <c r="A13" s="29">
        <v>1</v>
      </c>
      <c r="C13" s="123" t="str">
        <f>"    Total Operating Profit/(Loss)"</f>
        <v xml:space="preserve">    Total Operating Profit/(Loss)</v>
      </c>
      <c r="D13" s="32">
        <f t="shared" si="0"/>
        <v>5509500</v>
      </c>
      <c r="E13" s="32">
        <f t="shared" si="1"/>
        <v>1662857.142857143</v>
      </c>
      <c r="F13" s="32">
        <f t="shared" si="2"/>
        <v>-21023000</v>
      </c>
      <c r="G13" s="32">
        <f t="shared" si="3"/>
        <v>9324000</v>
      </c>
      <c r="H13" s="32">
        <f t="shared" si="4"/>
        <v>2348750</v>
      </c>
      <c r="I13" s="32">
        <f t="shared" si="5"/>
        <v>6865000</v>
      </c>
      <c r="J13" s="32">
        <f t="shared" si="6"/>
        <v>10037803.658456082</v>
      </c>
      <c r="K13" s="33">
        <f t="shared" si="7"/>
        <v>6.036479863332695</v>
      </c>
      <c r="L13" s="37"/>
      <c r="M13" s="37">
        <v>9324000</v>
      </c>
      <c r="N13" s="37">
        <v>6634000</v>
      </c>
      <c r="O13" s="37">
        <v>5481000</v>
      </c>
      <c r="P13" s="37">
        <v>4445000</v>
      </c>
      <c r="Q13" s="37">
        <v>8661000</v>
      </c>
      <c r="R13" s="37">
        <v>8686000</v>
      </c>
      <c r="S13" s="37">
        <v>5538000</v>
      </c>
      <c r="T13" s="37">
        <v>1650000</v>
      </c>
      <c r="U13" s="37">
        <v>5672000</v>
      </c>
      <c r="V13" s="37">
        <v>-3218000</v>
      </c>
      <c r="W13" s="37">
        <v>6942000</v>
      </c>
      <c r="X13" s="37">
        <v>5108000</v>
      </c>
      <c r="Y13" s="37">
        <v>-21023000</v>
      </c>
      <c r="Z13" s="37">
        <v>-20620000</v>
      </c>
      <c r="AB13" s="30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 x14ac:dyDescent="0.25">
      <c r="A14" s="29">
        <v>1</v>
      </c>
      <c r="C14" s="141" t="str">
        <f>"    EBITDA (Analyst Normalized)"</f>
        <v xml:space="preserve">    EBITDA (Analyst Normalized)</v>
      </c>
      <c r="D14" s="32">
        <f t="shared" si="0"/>
        <v>18268019.230769232</v>
      </c>
      <c r="E14" s="32">
        <f t="shared" si="1"/>
        <v>18967881.815968845</v>
      </c>
      <c r="F14" s="32">
        <f t="shared" si="2"/>
        <v>10866000</v>
      </c>
      <c r="G14" s="32">
        <f t="shared" si="3"/>
        <v>26097000</v>
      </c>
      <c r="H14" s="32">
        <f t="shared" si="4"/>
        <v>15557423.076923078</v>
      </c>
      <c r="I14" s="32">
        <f t="shared" si="5"/>
        <v>22811442.307692308</v>
      </c>
      <c r="J14" s="32">
        <f t="shared" si="6"/>
        <v>4837435.4173567202</v>
      </c>
      <c r="K14" s="33">
        <f t="shared" si="7"/>
        <v>0.25503297965954946</v>
      </c>
      <c r="L14" s="37"/>
      <c r="M14" s="37">
        <v>26097000</v>
      </c>
      <c r="N14" s="37">
        <v>21791620.25316456</v>
      </c>
      <c r="O14" s="37">
        <v>23731000</v>
      </c>
      <c r="P14" s="37">
        <v>17375500</v>
      </c>
      <c r="Q14" s="37">
        <v>25087000</v>
      </c>
      <c r="R14" s="37">
        <v>22504923.076923076</v>
      </c>
      <c r="S14" s="37">
        <v>19160538.461538464</v>
      </c>
      <c r="T14" s="37">
        <v>15118615.384615386</v>
      </c>
      <c r="U14" s="37">
        <v>16137692.307692308</v>
      </c>
      <c r="V14" s="37">
        <v>10866000</v>
      </c>
      <c r="W14" s="37">
        <v>15703692.307692308</v>
      </c>
      <c r="X14" s="37">
        <v>14041000</v>
      </c>
      <c r="Y14" s="37" t="s">
        <v>124</v>
      </c>
      <c r="Z14" s="37" t="s">
        <v>124</v>
      </c>
      <c r="AB14" s="30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 x14ac:dyDescent="0.25">
      <c r="A15" s="29">
        <v>1</v>
      </c>
      <c r="C15" s="141" t="str">
        <f>"    EBIT (Analyst Normalized)"</f>
        <v xml:space="preserve">    EBIT (Analyst Normalized)</v>
      </c>
      <c r="D15" s="32">
        <f t="shared" si="0"/>
        <v>9390810.1265822779</v>
      </c>
      <c r="E15" s="32">
        <f t="shared" si="1"/>
        <v>7103090.1493021743</v>
      </c>
      <c r="F15" s="32">
        <f t="shared" si="2"/>
        <v>-27896000</v>
      </c>
      <c r="G15" s="32">
        <f t="shared" si="3"/>
        <v>14027000</v>
      </c>
      <c r="H15" s="32">
        <f t="shared" si="4"/>
        <v>8042673.076923077</v>
      </c>
      <c r="I15" s="32">
        <f t="shared" si="5"/>
        <v>12001980.769230768</v>
      </c>
      <c r="J15" s="32">
        <f t="shared" si="6"/>
        <v>11253751.376674043</v>
      </c>
      <c r="K15" s="33">
        <f t="shared" si="7"/>
        <v>1.5843458466847193</v>
      </c>
      <c r="L15" s="37"/>
      <c r="M15" s="37">
        <v>14027000</v>
      </c>
      <c r="N15" s="37">
        <v>9093620.2531645559</v>
      </c>
      <c r="O15" s="37">
        <v>9688000</v>
      </c>
      <c r="P15" s="37">
        <v>11774000</v>
      </c>
      <c r="Q15" s="37">
        <v>12826000</v>
      </c>
      <c r="R15" s="37">
        <v>12685923.076923076</v>
      </c>
      <c r="S15" s="37">
        <v>11673538.461538462</v>
      </c>
      <c r="T15" s="37">
        <v>7880615.384615385</v>
      </c>
      <c r="U15" s="37">
        <v>8096692.307692308</v>
      </c>
      <c r="V15" s="37">
        <v>-27896000</v>
      </c>
      <c r="W15" s="37">
        <v>8276692.307692308</v>
      </c>
      <c r="X15" s="37">
        <v>7111000</v>
      </c>
      <c r="Y15" s="37" t="s">
        <v>124</v>
      </c>
      <c r="Z15" s="37" t="s">
        <v>124</v>
      </c>
      <c r="AB15" s="3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x14ac:dyDescent="0.25">
      <c r="A16" s="29">
        <v>1</v>
      </c>
      <c r="C16" s="123" t="str">
        <f>"    Net Income from Continuing Operations"</f>
        <v xml:space="preserve">    Net Income from Continuing Operations</v>
      </c>
      <c r="D16" s="32">
        <f t="shared" si="0"/>
        <v>6585000</v>
      </c>
      <c r="E16" s="32">
        <f t="shared" si="1"/>
        <v>11117000</v>
      </c>
      <c r="F16" s="32">
        <f t="shared" si="2"/>
        <v>-31051000</v>
      </c>
      <c r="G16" s="32">
        <f t="shared" si="3"/>
        <v>105217000</v>
      </c>
      <c r="H16" s="32">
        <f t="shared" si="4"/>
        <v>5532250</v>
      </c>
      <c r="I16" s="32">
        <f t="shared" si="5"/>
        <v>9282500</v>
      </c>
      <c r="J16" s="32">
        <f t="shared" si="6"/>
        <v>29011681.657831982</v>
      </c>
      <c r="K16" s="33">
        <f t="shared" si="7"/>
        <v>2.609668225045604</v>
      </c>
      <c r="L16" s="37"/>
      <c r="M16" s="37">
        <v>9945000</v>
      </c>
      <c r="N16" s="37">
        <v>6321000</v>
      </c>
      <c r="O16" s="37">
        <v>6667000</v>
      </c>
      <c r="P16" s="37">
        <v>8075000</v>
      </c>
      <c r="Q16" s="37">
        <v>330000</v>
      </c>
      <c r="R16" s="37">
        <v>9269000</v>
      </c>
      <c r="S16" s="37">
        <v>9590000</v>
      </c>
      <c r="T16" s="37">
        <v>4018000</v>
      </c>
      <c r="U16" s="37">
        <v>5331000</v>
      </c>
      <c r="V16" s="37">
        <v>6136000</v>
      </c>
      <c r="W16" s="37">
        <v>9287000</v>
      </c>
      <c r="X16" s="37">
        <v>6503000</v>
      </c>
      <c r="Y16" s="37">
        <v>105217000</v>
      </c>
      <c r="Z16" s="37">
        <v>-31051000</v>
      </c>
      <c r="AB16" s="3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x14ac:dyDescent="0.25">
      <c r="A17" s="29">
        <v>1</v>
      </c>
      <c r="C17" s="123" t="str">
        <f>"    Net Income (Analyst Normalized)"</f>
        <v xml:space="preserve">    Net Income (Analyst Normalized)</v>
      </c>
      <c r="D17" s="32">
        <f t="shared" si="0"/>
        <v>8421500</v>
      </c>
      <c r="E17" s="32">
        <f t="shared" si="1"/>
        <v>8040789.4655414922</v>
      </c>
      <c r="F17" s="32">
        <f t="shared" si="2"/>
        <v>5505500</v>
      </c>
      <c r="G17" s="32">
        <f t="shared" si="3"/>
        <v>10389000</v>
      </c>
      <c r="H17" s="32">
        <f t="shared" si="4"/>
        <v>6681215.1898734178</v>
      </c>
      <c r="I17" s="32">
        <f t="shared" si="5"/>
        <v>9628250</v>
      </c>
      <c r="J17" s="32">
        <f t="shared" si="6"/>
        <v>1901839.0048525359</v>
      </c>
      <c r="K17" s="33">
        <f t="shared" si="7"/>
        <v>0.2365239150959986</v>
      </c>
      <c r="L17" s="37"/>
      <c r="M17" s="37">
        <v>10389000</v>
      </c>
      <c r="N17" s="37">
        <v>6681215.1898734178</v>
      </c>
      <c r="O17" s="37">
        <v>6932000</v>
      </c>
      <c r="P17" s="37">
        <v>9364000</v>
      </c>
      <c r="Q17" s="37">
        <v>9879000</v>
      </c>
      <c r="R17" s="37">
        <v>9628250</v>
      </c>
      <c r="S17" s="37">
        <v>8421500</v>
      </c>
      <c r="T17" s="37">
        <v>5505500</v>
      </c>
      <c r="U17" s="37">
        <v>5566640</v>
      </c>
      <c r="V17" s="37" t="s">
        <v>124</v>
      </c>
      <c r="W17" s="37" t="s">
        <v>124</v>
      </c>
      <c r="X17" s="37" t="s">
        <v>124</v>
      </c>
      <c r="Y17" s="37" t="s">
        <v>124</v>
      </c>
      <c r="Z17" s="37" t="s">
        <v>124</v>
      </c>
      <c r="AB17" s="30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x14ac:dyDescent="0.25">
      <c r="A18" s="29">
        <v>1</v>
      </c>
      <c r="C18" s="142" t="str">
        <f>"    Diluted EPS from Continuing Operations"</f>
        <v xml:space="preserve">    Diluted EPS from Continuing Operations</v>
      </c>
      <c r="D18" s="33">
        <f t="shared" si="0"/>
        <v>4.45</v>
      </c>
      <c r="E18" s="33">
        <f t="shared" si="1"/>
        <v>7.6728571428571444</v>
      </c>
      <c r="F18" s="33">
        <f t="shared" si="2"/>
        <v>-53.47</v>
      </c>
      <c r="G18" s="33">
        <f t="shared" si="3"/>
        <v>113.18</v>
      </c>
      <c r="H18" s="33">
        <f t="shared" si="4"/>
        <v>2.5074999999999998</v>
      </c>
      <c r="I18" s="33">
        <f t="shared" si="5"/>
        <v>5.8125</v>
      </c>
      <c r="J18" s="33">
        <f t="shared" si="6"/>
        <v>34.0555852029661</v>
      </c>
      <c r="K18" s="33">
        <f t="shared" si="7"/>
        <v>4.4384490117438586</v>
      </c>
      <c r="L18" s="38"/>
      <c r="M18" s="38">
        <v>6.7</v>
      </c>
      <c r="N18" s="38">
        <v>4.33</v>
      </c>
      <c r="O18" s="38">
        <v>4.57</v>
      </c>
      <c r="P18" s="38">
        <v>5.58</v>
      </c>
      <c r="Q18" s="38">
        <v>0.22</v>
      </c>
      <c r="R18" s="38">
        <v>6</v>
      </c>
      <c r="S18" s="38">
        <v>5.89</v>
      </c>
      <c r="T18" s="38">
        <v>1.65</v>
      </c>
      <c r="U18" s="38">
        <v>2.38</v>
      </c>
      <c r="V18" s="38">
        <v>2.92</v>
      </c>
      <c r="W18" s="38">
        <v>4.58</v>
      </c>
      <c r="X18" s="38">
        <v>2.89</v>
      </c>
      <c r="Y18" s="38">
        <v>113.18</v>
      </c>
      <c r="Z18" s="38">
        <v>-53.47</v>
      </c>
      <c r="AB18" s="3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x14ac:dyDescent="0.25">
      <c r="A19" s="29">
        <v>1</v>
      </c>
      <c r="C19" s="123" t="str">
        <f>"    EPS (Analyst Normalized)"</f>
        <v xml:space="preserve">    EPS (Analyst Normalized)</v>
      </c>
      <c r="D19" s="33">
        <f t="shared" si="0"/>
        <v>4.7096739999999997</v>
      </c>
      <c r="E19" s="33">
        <f t="shared" si="1"/>
        <v>4.7404007500000001</v>
      </c>
      <c r="F19" s="33">
        <f t="shared" si="2"/>
        <v>3.0301130000000001</v>
      </c>
      <c r="G19" s="33">
        <f t="shared" si="3"/>
        <v>7.0893429999999995</v>
      </c>
      <c r="H19" s="33">
        <f t="shared" si="4"/>
        <v>3.2520120000000001</v>
      </c>
      <c r="I19" s="33">
        <f t="shared" si="5"/>
        <v>6.2329499999999998</v>
      </c>
      <c r="J19" s="33">
        <f t="shared" si="6"/>
        <v>1.5403570043836725</v>
      </c>
      <c r="K19" s="33">
        <f t="shared" si="7"/>
        <v>0.32494235943736877</v>
      </c>
      <c r="L19" s="38"/>
      <c r="M19" s="38">
        <v>7.0893429999999995</v>
      </c>
      <c r="N19" s="38">
        <v>4.5995540000000004</v>
      </c>
      <c r="O19" s="38">
        <v>4.8197939999999999</v>
      </c>
      <c r="P19" s="38">
        <v>6.54</v>
      </c>
      <c r="Q19" s="38">
        <v>6.61</v>
      </c>
      <c r="R19" s="38">
        <v>6.1305999999999994</v>
      </c>
      <c r="S19" s="38">
        <v>5.04</v>
      </c>
      <c r="T19" s="38">
        <v>3.0301130000000001</v>
      </c>
      <c r="U19" s="38">
        <v>3.1483560000000002</v>
      </c>
      <c r="V19" s="38">
        <v>3.2865640000000003</v>
      </c>
      <c r="W19" s="38">
        <v>3.4523359999999998</v>
      </c>
      <c r="X19" s="38">
        <v>3.1381490000000003</v>
      </c>
      <c r="Y19" s="38" t="s">
        <v>124</v>
      </c>
      <c r="Z19" s="38" t="s">
        <v>124</v>
      </c>
      <c r="AB19" s="3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x14ac:dyDescent="0.25">
      <c r="A20" s="29">
        <v>1</v>
      </c>
      <c r="C20" s="123" t="str">
        <f>"    Diluted Weighted Average Shares Outstanding"</f>
        <v xml:space="preserve">    Diluted Weighted Average Shares Outstanding</v>
      </c>
      <c r="D20" s="32">
        <f t="shared" si="0"/>
        <v>1531000000</v>
      </c>
      <c r="E20" s="32">
        <f t="shared" si="1"/>
        <v>1451142857.1428571</v>
      </c>
      <c r="F20" s="32">
        <f t="shared" si="2"/>
        <v>579000000</v>
      </c>
      <c r="G20" s="32">
        <f t="shared" si="3"/>
        <v>1687000000</v>
      </c>
      <c r="H20" s="32">
        <f t="shared" si="4"/>
        <v>1439750000</v>
      </c>
      <c r="I20" s="32">
        <f t="shared" si="5"/>
        <v>1661000000</v>
      </c>
      <c r="J20" s="32">
        <f t="shared" si="6"/>
        <v>319019135.46244979</v>
      </c>
      <c r="K20" s="33">
        <f t="shared" si="7"/>
        <v>0.21983992402413355</v>
      </c>
      <c r="L20" s="37"/>
      <c r="M20" s="37">
        <v>1468000000</v>
      </c>
      <c r="N20" s="37">
        <v>1442000000</v>
      </c>
      <c r="O20" s="37">
        <v>1439000000</v>
      </c>
      <c r="P20" s="37">
        <v>1431000000</v>
      </c>
      <c r="Q20" s="37">
        <v>1492000000</v>
      </c>
      <c r="R20" s="37">
        <v>1570000000</v>
      </c>
      <c r="S20" s="37">
        <v>1640000000</v>
      </c>
      <c r="T20" s="37">
        <v>1687000000</v>
      </c>
      <c r="U20" s="37">
        <v>1676000000</v>
      </c>
      <c r="V20" s="37">
        <v>1675000000</v>
      </c>
      <c r="W20" s="37">
        <v>1668000000</v>
      </c>
      <c r="X20" s="37">
        <v>1624000000</v>
      </c>
      <c r="Y20" s="37">
        <v>925000000</v>
      </c>
      <c r="Z20" s="37">
        <v>579000000</v>
      </c>
      <c r="AB20" s="30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x14ac:dyDescent="0.25">
      <c r="A21" s="29">
        <v>1</v>
      </c>
      <c r="C21" s="123" t="str">
        <f>"    Common Dividend per Share (Ex-date)"</f>
        <v xml:space="preserve">    Common Dividend per Share (Ex-date)</v>
      </c>
      <c r="D21" s="33">
        <f t="shared" si="0"/>
        <v>1.45</v>
      </c>
      <c r="E21" s="33">
        <f t="shared" si="1"/>
        <v>1.1299999999999999</v>
      </c>
      <c r="F21" s="33">
        <f t="shared" si="2"/>
        <v>0</v>
      </c>
      <c r="G21" s="33">
        <f t="shared" si="3"/>
        <v>1.52</v>
      </c>
      <c r="H21" s="33">
        <f t="shared" si="4"/>
        <v>0.995</v>
      </c>
      <c r="I21" s="33">
        <f t="shared" si="5"/>
        <v>1.52</v>
      </c>
      <c r="J21" s="33">
        <f t="shared" si="6"/>
        <v>0.59942829906026773</v>
      </c>
      <c r="K21" s="33">
        <f t="shared" si="7"/>
        <v>0.53046752129227237</v>
      </c>
      <c r="L21" s="38"/>
      <c r="M21" s="38" t="s">
        <v>124</v>
      </c>
      <c r="N21" s="38">
        <v>0.38</v>
      </c>
      <c r="O21" s="38">
        <v>1.52</v>
      </c>
      <c r="P21" s="38">
        <v>1.52</v>
      </c>
      <c r="Q21" s="38">
        <v>1.52</v>
      </c>
      <c r="R21" s="38">
        <v>1.52</v>
      </c>
      <c r="S21" s="38">
        <v>1.38</v>
      </c>
      <c r="T21" s="38">
        <v>1.2</v>
      </c>
      <c r="U21" s="38">
        <v>0</v>
      </c>
      <c r="V21" s="38" t="s">
        <v>124</v>
      </c>
      <c r="W21" s="38" t="s">
        <v>124</v>
      </c>
      <c r="X21" s="38" t="s">
        <v>124</v>
      </c>
      <c r="Y21" s="38" t="s">
        <v>124</v>
      </c>
      <c r="Z21" s="38" t="s">
        <v>124</v>
      </c>
      <c r="AB21" s="30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ht="26.25" customHeight="1" x14ac:dyDescent="0.25">
      <c r="A22" s="29">
        <v>1</v>
      </c>
      <c r="C22" s="117" t="str">
        <f>"Balance Sheet"</f>
        <v>Balance Sheet</v>
      </c>
      <c r="D22" s="44"/>
      <c r="E22" s="44"/>
      <c r="F22" s="44"/>
      <c r="G22" s="44"/>
      <c r="H22" s="44"/>
      <c r="I22" s="44"/>
      <c r="J22" s="44"/>
      <c r="K22" s="44"/>
      <c r="L22" s="44"/>
      <c r="M22" s="44" t="s">
        <v>124</v>
      </c>
      <c r="N22" s="44" t="s">
        <v>124</v>
      </c>
      <c r="O22" s="44" t="s">
        <v>124</v>
      </c>
      <c r="P22" s="44" t="s">
        <v>124</v>
      </c>
      <c r="Q22" s="44" t="s">
        <v>124</v>
      </c>
      <c r="R22" s="44" t="s">
        <v>124</v>
      </c>
      <c r="S22" s="44" t="s">
        <v>124</v>
      </c>
      <c r="T22" s="44" t="s">
        <v>124</v>
      </c>
      <c r="U22" s="44" t="s">
        <v>124</v>
      </c>
      <c r="V22" s="44" t="s">
        <v>124</v>
      </c>
      <c r="W22" s="44" t="s">
        <v>124</v>
      </c>
      <c r="X22" s="44" t="s">
        <v>124</v>
      </c>
      <c r="Y22" s="44" t="s">
        <v>124</v>
      </c>
      <c r="Z22" s="44" t="s">
        <v>124</v>
      </c>
      <c r="AB22" s="30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x14ac:dyDescent="0.25">
      <c r="A23" s="29">
        <v>1</v>
      </c>
      <c r="C23" s="123" t="str">
        <f>"    Total Current Assets"</f>
        <v xml:space="preserve">    Total Current Assets</v>
      </c>
      <c r="D23" s="32">
        <f t="shared" ref="D23:D34" si="8">IF(COUNT(M23:Z23)&gt;0,MEDIAN(M23:Z23),"")</f>
        <v>72494000</v>
      </c>
      <c r="E23" s="32">
        <f t="shared" ref="E23:E34" si="9">IF(COUNT(M23:Z23)&gt;0,AVERAGE(M23:Z23),"")</f>
        <v>70305714.285714284</v>
      </c>
      <c r="F23" s="32">
        <f t="shared" ref="F23:F34" si="10">IF(COUNT(M23:Z23)&gt;0,MIN(M23:Z23),"")</f>
        <v>44267000</v>
      </c>
      <c r="G23" s="32">
        <f t="shared" ref="G23:G34" si="11">IF(COUNT(M23:Z23)&gt;0,MAX(M23:Z23),"")</f>
        <v>83626000</v>
      </c>
      <c r="H23" s="32">
        <f t="shared" ref="H23:H34" si="12">IF(COUNT(M23:Z23)&gt;0,QUARTILE(M23:Z23,1),"")</f>
        <v>65878250</v>
      </c>
      <c r="I23" s="32">
        <f t="shared" ref="I23:I34" si="13">IF(COUNT(M23:Z23)&gt;0,QUARTILE(M23:Z23,3),"")</f>
        <v>79743750</v>
      </c>
      <c r="J23" s="32">
        <f t="shared" ref="J23:J34" si="14">IF(COUNT(M23:Z23)&gt;1,STDEV(M23:Z23),"")</f>
        <v>11657222.847980242</v>
      </c>
      <c r="K23" s="33">
        <f t="shared" ref="K23:K34" si="15">IF(COUNT(M23:Z23)&gt;1,STDEV(M23:Z23)/AVERAGE(M23:Z23),"")</f>
        <v>0.16580761558877899</v>
      </c>
      <c r="L23" s="37"/>
      <c r="M23" s="37">
        <v>82103000</v>
      </c>
      <c r="N23" s="37">
        <v>80924000</v>
      </c>
      <c r="O23" s="37">
        <v>74992000</v>
      </c>
      <c r="P23" s="37">
        <v>75293000</v>
      </c>
      <c r="Q23" s="37">
        <v>68744000</v>
      </c>
      <c r="R23" s="37">
        <v>76203000</v>
      </c>
      <c r="S23" s="37">
        <v>69408000</v>
      </c>
      <c r="T23" s="37">
        <v>83626000</v>
      </c>
      <c r="U23" s="37">
        <v>81501000</v>
      </c>
      <c r="V23" s="37">
        <v>69996000</v>
      </c>
      <c r="W23" s="37">
        <v>64923000</v>
      </c>
      <c r="X23" s="37">
        <v>53053000</v>
      </c>
      <c r="Y23" s="37">
        <v>59247000</v>
      </c>
      <c r="Z23" s="37">
        <v>44267000</v>
      </c>
      <c r="AB23" s="30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x14ac:dyDescent="0.25">
      <c r="A24" s="29">
        <v>1</v>
      </c>
      <c r="C24" s="123" t="str">
        <f>"    Net Property, Plant and Equipment"</f>
        <v xml:space="preserve">    Net Property, Plant and Equipment</v>
      </c>
      <c r="D24" s="32">
        <f t="shared" si="8"/>
        <v>45533000</v>
      </c>
      <c r="E24" s="32">
        <f t="shared" si="9"/>
        <v>50598071.428571425</v>
      </c>
      <c r="F24" s="32">
        <f t="shared" si="10"/>
        <v>18687000</v>
      </c>
      <c r="G24" s="32">
        <f t="shared" si="11"/>
        <v>82317000</v>
      </c>
      <c r="H24" s="32">
        <f t="shared" si="12"/>
        <v>26696250</v>
      </c>
      <c r="I24" s="32">
        <f t="shared" si="13"/>
        <v>78645750</v>
      </c>
      <c r="J24" s="32">
        <f t="shared" si="14"/>
        <v>25853321.618059319</v>
      </c>
      <c r="K24" s="33">
        <f t="shared" si="15"/>
        <v>0.51095468440049308</v>
      </c>
      <c r="L24" s="37"/>
      <c r="M24" s="37">
        <v>79044000</v>
      </c>
      <c r="N24" s="37">
        <v>77451000</v>
      </c>
      <c r="O24" s="37">
        <v>80805000</v>
      </c>
      <c r="P24" s="37">
        <v>82317000</v>
      </c>
      <c r="Q24" s="37">
        <v>79135000</v>
      </c>
      <c r="R24" s="37">
        <v>66945000</v>
      </c>
      <c r="S24" s="37">
        <v>51401000</v>
      </c>
      <c r="T24" s="37">
        <v>34803000</v>
      </c>
      <c r="U24" s="37">
        <v>29250000</v>
      </c>
      <c r="V24" s="37">
        <v>25845000</v>
      </c>
      <c r="W24" s="37">
        <v>23790000</v>
      </c>
      <c r="X24" s="37">
        <v>19235000</v>
      </c>
      <c r="Y24" s="37">
        <v>18687000</v>
      </c>
      <c r="Z24" s="37">
        <v>39665000</v>
      </c>
      <c r="AB24" s="30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x14ac:dyDescent="0.25">
      <c r="A25" s="29">
        <v>1</v>
      </c>
      <c r="C25" s="123" t="str">
        <f>"    Total Non-Current Assets"</f>
        <v xml:space="preserve">    Total Non-Current Assets</v>
      </c>
      <c r="D25" s="32">
        <f t="shared" si="8"/>
        <v>109402500</v>
      </c>
      <c r="E25" s="32">
        <f t="shared" si="9"/>
        <v>113115714.28571428</v>
      </c>
      <c r="F25" s="32">
        <f t="shared" si="10"/>
        <v>46772000</v>
      </c>
      <c r="G25" s="32">
        <f t="shared" si="11"/>
        <v>162615000</v>
      </c>
      <c r="H25" s="32">
        <f t="shared" si="12"/>
        <v>80970750</v>
      </c>
      <c r="I25" s="32">
        <f t="shared" si="13"/>
        <v>150406250</v>
      </c>
      <c r="J25" s="32">
        <f t="shared" si="14"/>
        <v>38478292.566525944</v>
      </c>
      <c r="K25" s="33">
        <f t="shared" si="15"/>
        <v>0.34016752499423042</v>
      </c>
      <c r="L25" s="37"/>
      <c r="M25" s="37">
        <v>162615000</v>
      </c>
      <c r="N25" s="37">
        <v>154270000</v>
      </c>
      <c r="O25" s="37">
        <v>153045000</v>
      </c>
      <c r="P25" s="37">
        <v>152046000</v>
      </c>
      <c r="Q25" s="37">
        <v>143738000</v>
      </c>
      <c r="R25" s="37">
        <v>145487000</v>
      </c>
      <c r="S25" s="37">
        <v>124930000</v>
      </c>
      <c r="T25" s="37">
        <v>93875000</v>
      </c>
      <c r="U25" s="37">
        <v>84843000</v>
      </c>
      <c r="V25" s="37">
        <v>79426000</v>
      </c>
      <c r="W25" s="37">
        <v>79680000</v>
      </c>
      <c r="X25" s="37">
        <v>85845000</v>
      </c>
      <c r="Y25" s="37">
        <v>77048000</v>
      </c>
      <c r="Z25" s="37">
        <v>46772000</v>
      </c>
      <c r="AB25" s="30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x14ac:dyDescent="0.25">
      <c r="A26" s="29">
        <v>1</v>
      </c>
      <c r="C26" s="123" t="str">
        <f>"    Total Assets"</f>
        <v xml:space="preserve">    Total Assets</v>
      </c>
      <c r="D26" s="32">
        <f t="shared" si="8"/>
        <v>185919500</v>
      </c>
      <c r="E26" s="32">
        <f t="shared" si="9"/>
        <v>183421428.57142857</v>
      </c>
      <c r="F26" s="32">
        <f t="shared" si="10"/>
        <v>91039000</v>
      </c>
      <c r="G26" s="32">
        <f t="shared" si="11"/>
        <v>244718000</v>
      </c>
      <c r="H26" s="32">
        <f t="shared" si="12"/>
        <v>145807750</v>
      </c>
      <c r="I26" s="32">
        <f t="shared" si="13"/>
        <v>225926750</v>
      </c>
      <c r="J26" s="32">
        <f t="shared" si="14"/>
        <v>46832281.494243279</v>
      </c>
      <c r="K26" s="33">
        <f t="shared" si="15"/>
        <v>0.25532611897636431</v>
      </c>
      <c r="L26" s="37"/>
      <c r="M26" s="37">
        <v>244718000</v>
      </c>
      <c r="N26" s="37">
        <v>235194000</v>
      </c>
      <c r="O26" s="37">
        <v>228037000</v>
      </c>
      <c r="P26" s="37">
        <v>227339000</v>
      </c>
      <c r="Q26" s="37">
        <v>212482000</v>
      </c>
      <c r="R26" s="37">
        <v>221690000</v>
      </c>
      <c r="S26" s="37">
        <v>194338000</v>
      </c>
      <c r="T26" s="37">
        <v>177501000</v>
      </c>
      <c r="U26" s="37">
        <v>166344000</v>
      </c>
      <c r="V26" s="37">
        <v>149422000</v>
      </c>
      <c r="W26" s="37">
        <v>144603000</v>
      </c>
      <c r="X26" s="37">
        <v>138898000</v>
      </c>
      <c r="Y26" s="37">
        <v>136295000</v>
      </c>
      <c r="Z26" s="37">
        <v>91039000</v>
      </c>
      <c r="AB26" s="3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x14ac:dyDescent="0.25">
      <c r="A27" s="29">
        <v>1</v>
      </c>
      <c r="C27" s="123" t="str">
        <f>"    Total Current Liabilities"</f>
        <v xml:space="preserve">    Total Current Liabilities</v>
      </c>
      <c r="D27" s="32">
        <f t="shared" si="8"/>
        <v>72812500</v>
      </c>
      <c r="E27" s="32">
        <f t="shared" si="9"/>
        <v>68945357.142857149</v>
      </c>
      <c r="F27" s="32">
        <f t="shared" si="10"/>
        <v>47157000</v>
      </c>
      <c r="G27" s="32">
        <f t="shared" si="11"/>
        <v>85181000</v>
      </c>
      <c r="H27" s="32">
        <f t="shared" si="12"/>
        <v>56097000</v>
      </c>
      <c r="I27" s="32">
        <f t="shared" si="13"/>
        <v>79155000</v>
      </c>
      <c r="J27" s="32">
        <f t="shared" si="14"/>
        <v>13095007.789859602</v>
      </c>
      <c r="K27" s="33">
        <f t="shared" si="15"/>
        <v>0.18993313447816793</v>
      </c>
      <c r="L27" s="37"/>
      <c r="M27" s="37">
        <v>74408000</v>
      </c>
      <c r="N27" s="37">
        <v>79910000</v>
      </c>
      <c r="O27" s="37">
        <v>84905000</v>
      </c>
      <c r="P27" s="37">
        <v>82237000</v>
      </c>
      <c r="Q27" s="37">
        <v>76890000</v>
      </c>
      <c r="R27" s="37">
        <v>85181000</v>
      </c>
      <c r="S27" s="37">
        <v>71217000</v>
      </c>
      <c r="T27" s="37">
        <v>65657000</v>
      </c>
      <c r="U27" s="37">
        <v>62412000</v>
      </c>
      <c r="V27" s="37">
        <v>53992000</v>
      </c>
      <c r="W27" s="37">
        <v>53226000</v>
      </c>
      <c r="X27" s="37">
        <v>47157000</v>
      </c>
      <c r="Y27" s="37">
        <v>52435000</v>
      </c>
      <c r="Z27" s="37">
        <v>75608000</v>
      </c>
      <c r="AB27" s="30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x14ac:dyDescent="0.25">
      <c r="A28" s="29">
        <v>1</v>
      </c>
      <c r="C28" s="123" t="str">
        <f>"    Total Non-Current Liabilities"</f>
        <v xml:space="preserve">    Total Non-Current Liabilities</v>
      </c>
      <c r="D28" s="32">
        <f t="shared" si="8"/>
        <v>87616000</v>
      </c>
      <c r="E28" s="32">
        <f t="shared" si="9"/>
        <v>82043714.285714284</v>
      </c>
      <c r="F28" s="32">
        <f t="shared" si="10"/>
        <v>52386000</v>
      </c>
      <c r="G28" s="32">
        <f t="shared" si="11"/>
        <v>105607000</v>
      </c>
      <c r="H28" s="32">
        <f t="shared" si="12"/>
        <v>61044250</v>
      </c>
      <c r="I28" s="32">
        <f t="shared" si="13"/>
        <v>100228250</v>
      </c>
      <c r="J28" s="32">
        <f t="shared" si="14"/>
        <v>20641175.870010477</v>
      </c>
      <c r="K28" s="33">
        <f t="shared" si="15"/>
        <v>0.25158753537325629</v>
      </c>
      <c r="L28" s="37"/>
      <c r="M28" s="37">
        <v>104495000</v>
      </c>
      <c r="N28" s="37">
        <v>105607000</v>
      </c>
      <c r="O28" s="37">
        <v>97175000</v>
      </c>
      <c r="P28" s="37">
        <v>102325000</v>
      </c>
      <c r="Q28" s="37">
        <v>99392000</v>
      </c>
      <c r="R28" s="37">
        <v>92434000</v>
      </c>
      <c r="S28" s="37">
        <v>82798000</v>
      </c>
      <c r="T28" s="37">
        <v>75820000</v>
      </c>
      <c r="U28" s="37">
        <v>60758000</v>
      </c>
      <c r="V28" s="37">
        <v>58430000</v>
      </c>
      <c r="W28" s="37">
        <v>52386000</v>
      </c>
      <c r="X28" s="37">
        <v>54582000</v>
      </c>
      <c r="Y28" s="37">
        <v>61903000</v>
      </c>
      <c r="Z28" s="37">
        <v>100507000</v>
      </c>
      <c r="AB28" s="30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x14ac:dyDescent="0.25">
      <c r="A29" s="29">
        <v>1</v>
      </c>
      <c r="C29" s="123" t="str">
        <f>"    Total Liabilities"</f>
        <v xml:space="preserve">    Total Liabilities</v>
      </c>
      <c r="D29" s="32">
        <f t="shared" si="8"/>
        <v>165065000</v>
      </c>
      <c r="E29" s="32">
        <f t="shared" si="9"/>
        <v>150989071.42857143</v>
      </c>
      <c r="F29" s="32">
        <f t="shared" si="10"/>
        <v>101739000</v>
      </c>
      <c r="G29" s="32">
        <f t="shared" si="11"/>
        <v>185517000</v>
      </c>
      <c r="H29" s="32">
        <f t="shared" si="12"/>
        <v>116546000</v>
      </c>
      <c r="I29" s="32">
        <f t="shared" si="13"/>
        <v>178581000</v>
      </c>
      <c r="J29" s="32">
        <f t="shared" si="14"/>
        <v>33089670.583162326</v>
      </c>
      <c r="K29" s="33">
        <f t="shared" si="15"/>
        <v>0.21915275238192383</v>
      </c>
      <c r="L29" s="37"/>
      <c r="M29" s="37">
        <v>178903000</v>
      </c>
      <c r="N29" s="37">
        <v>185517000</v>
      </c>
      <c r="O29" s="37">
        <v>182080000</v>
      </c>
      <c r="P29" s="37">
        <v>184562000</v>
      </c>
      <c r="Q29" s="37">
        <v>176282000</v>
      </c>
      <c r="R29" s="37">
        <v>177615000</v>
      </c>
      <c r="S29" s="37">
        <v>154015000</v>
      </c>
      <c r="T29" s="37">
        <v>141477000</v>
      </c>
      <c r="U29" s="37">
        <v>123170000</v>
      </c>
      <c r="V29" s="37">
        <v>112422000</v>
      </c>
      <c r="W29" s="37">
        <v>105612000</v>
      </c>
      <c r="X29" s="37">
        <v>101739000</v>
      </c>
      <c r="Y29" s="37">
        <v>114338000</v>
      </c>
      <c r="Z29" s="37">
        <v>176115000</v>
      </c>
      <c r="AB29" s="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x14ac:dyDescent="0.25">
      <c r="A30" s="29">
        <v>1</v>
      </c>
      <c r="C30" s="123" t="str">
        <f>"    Total Equity"</f>
        <v xml:space="preserve">    Total Equity</v>
      </c>
      <c r="D30" s="32">
        <f t="shared" si="8"/>
        <v>39657000</v>
      </c>
      <c r="E30" s="32">
        <f t="shared" si="9"/>
        <v>32432357.142857142</v>
      </c>
      <c r="F30" s="32">
        <f t="shared" si="10"/>
        <v>-85076000</v>
      </c>
      <c r="G30" s="32">
        <f t="shared" si="11"/>
        <v>65815000</v>
      </c>
      <c r="H30" s="32">
        <f t="shared" si="12"/>
        <v>36400000</v>
      </c>
      <c r="I30" s="32">
        <f t="shared" si="13"/>
        <v>43849750</v>
      </c>
      <c r="J30" s="32">
        <f t="shared" si="14"/>
        <v>35132895.901150808</v>
      </c>
      <c r="K30" s="33">
        <f t="shared" si="15"/>
        <v>1.0832668050119949</v>
      </c>
      <c r="L30" s="37"/>
      <c r="M30" s="37">
        <v>65815000</v>
      </c>
      <c r="N30" s="37">
        <v>49677000</v>
      </c>
      <c r="O30" s="37">
        <v>45957000</v>
      </c>
      <c r="P30" s="37">
        <v>42777000</v>
      </c>
      <c r="Q30" s="37">
        <v>36200000</v>
      </c>
      <c r="R30" s="37">
        <v>44075000</v>
      </c>
      <c r="S30" s="37">
        <v>40323000</v>
      </c>
      <c r="T30" s="37">
        <v>36024000</v>
      </c>
      <c r="U30" s="37">
        <v>43174000</v>
      </c>
      <c r="V30" s="37">
        <v>37000000</v>
      </c>
      <c r="W30" s="37">
        <v>38991000</v>
      </c>
      <c r="X30" s="37">
        <v>37159000</v>
      </c>
      <c r="Y30" s="37">
        <v>21957000</v>
      </c>
      <c r="Z30" s="37">
        <v>-85076000</v>
      </c>
      <c r="AB30" s="30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x14ac:dyDescent="0.25">
      <c r="A31" s="29">
        <v>1</v>
      </c>
      <c r="C31" s="123" t="str">
        <f>"    Equity Attributable to Parent Stockholders"</f>
        <v xml:space="preserve">    Equity Attributable to Parent Stockholders</v>
      </c>
      <c r="D31" s="32">
        <f t="shared" si="8"/>
        <v>38490000</v>
      </c>
      <c r="E31" s="32">
        <f t="shared" si="9"/>
        <v>30602214.285714287</v>
      </c>
      <c r="F31" s="32">
        <f t="shared" si="10"/>
        <v>-85560000</v>
      </c>
      <c r="G31" s="32">
        <f t="shared" si="11"/>
        <v>59744000</v>
      </c>
      <c r="H31" s="32">
        <f t="shared" si="12"/>
        <v>35637750</v>
      </c>
      <c r="I31" s="32">
        <f t="shared" si="13"/>
        <v>42403250</v>
      </c>
      <c r="J31" s="32">
        <f t="shared" si="14"/>
        <v>34417666.309343502</v>
      </c>
      <c r="K31" s="33">
        <f t="shared" si="15"/>
        <v>1.1246789525753482</v>
      </c>
      <c r="L31" s="37"/>
      <c r="M31" s="37">
        <v>59744000</v>
      </c>
      <c r="N31" s="37">
        <v>45030000</v>
      </c>
      <c r="O31" s="37">
        <v>41792000</v>
      </c>
      <c r="P31" s="37">
        <v>38860000</v>
      </c>
      <c r="Q31" s="37">
        <v>35001000</v>
      </c>
      <c r="R31" s="37">
        <v>43836000</v>
      </c>
      <c r="S31" s="37">
        <v>39871000</v>
      </c>
      <c r="T31" s="37">
        <v>35457000</v>
      </c>
      <c r="U31" s="37">
        <v>42607000</v>
      </c>
      <c r="V31" s="37">
        <v>36244000</v>
      </c>
      <c r="W31" s="37">
        <v>38120000</v>
      </c>
      <c r="X31" s="37">
        <v>36180000</v>
      </c>
      <c r="Y31" s="37">
        <v>21249000</v>
      </c>
      <c r="Z31" s="37">
        <v>-85560000</v>
      </c>
      <c r="AB31" s="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x14ac:dyDescent="0.25">
      <c r="A32" s="29">
        <v>1</v>
      </c>
      <c r="C32" s="123" t="str">
        <f>"    Total Debt"</f>
        <v xml:space="preserve">    Total Debt</v>
      </c>
      <c r="D32" s="32">
        <f t="shared" si="8"/>
        <v>54888000</v>
      </c>
      <c r="E32" s="32">
        <f t="shared" si="9"/>
        <v>60516000</v>
      </c>
      <c r="F32" s="32">
        <f t="shared" si="10"/>
        <v>10758000</v>
      </c>
      <c r="G32" s="32">
        <f t="shared" si="11"/>
        <v>110863000</v>
      </c>
      <c r="H32" s="32">
        <f t="shared" si="12"/>
        <v>21083250</v>
      </c>
      <c r="I32" s="32">
        <f t="shared" si="13"/>
        <v>101805250</v>
      </c>
      <c r="J32" s="32">
        <f t="shared" si="14"/>
        <v>39218296.524807043</v>
      </c>
      <c r="K32" s="33">
        <f t="shared" si="15"/>
        <v>0.64806491712616565</v>
      </c>
      <c r="L32" s="37"/>
      <c r="M32" s="37">
        <v>110391000</v>
      </c>
      <c r="N32" s="37">
        <v>110863000</v>
      </c>
      <c r="O32" s="37">
        <v>104334000</v>
      </c>
      <c r="P32" s="37">
        <v>104951000</v>
      </c>
      <c r="Q32" s="37">
        <v>94219000</v>
      </c>
      <c r="R32" s="37">
        <v>75123000</v>
      </c>
      <c r="S32" s="37">
        <v>63111000</v>
      </c>
      <c r="T32" s="37">
        <v>46665000</v>
      </c>
      <c r="U32" s="37">
        <v>36183000</v>
      </c>
      <c r="V32" s="37">
        <v>16050000</v>
      </c>
      <c r="W32" s="37">
        <v>12855000</v>
      </c>
      <c r="X32" s="37">
        <v>10758000</v>
      </c>
      <c r="Y32" s="37">
        <v>15783000</v>
      </c>
      <c r="Z32" s="37">
        <v>45938000</v>
      </c>
      <c r="AB32" s="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x14ac:dyDescent="0.25">
      <c r="A33" s="29">
        <v>1</v>
      </c>
      <c r="C33" s="123" t="str">
        <f>"    Total Shares Outstanding (TSO)"</f>
        <v xml:space="preserve">    Total Shares Outstanding (TSO)</v>
      </c>
      <c r="D33" s="32">
        <f t="shared" si="8"/>
        <v>1500000000</v>
      </c>
      <c r="E33" s="32">
        <f t="shared" si="9"/>
        <v>1472985329.1666667</v>
      </c>
      <c r="F33" s="32">
        <f t="shared" si="10"/>
        <v>1366373526</v>
      </c>
      <c r="G33" s="32">
        <f t="shared" si="11"/>
        <v>1600000000</v>
      </c>
      <c r="H33" s="32">
        <f t="shared" si="12"/>
        <v>1400000000</v>
      </c>
      <c r="I33" s="32">
        <f t="shared" si="13"/>
        <v>1506188745.75</v>
      </c>
      <c r="J33" s="32">
        <f t="shared" si="14"/>
        <v>73974422.057819992</v>
      </c>
      <c r="K33" s="33">
        <f t="shared" si="15"/>
        <v>5.0220745986431926E-2</v>
      </c>
      <c r="L33" s="37"/>
      <c r="M33" s="37">
        <v>1500000000</v>
      </c>
      <c r="N33" s="37">
        <v>1400000000</v>
      </c>
      <c r="O33" s="37">
        <v>1400000000</v>
      </c>
      <c r="P33" s="37">
        <v>1400000000</v>
      </c>
      <c r="Q33" s="37">
        <v>1420407560</v>
      </c>
      <c r="R33" s="37">
        <v>1524343989</v>
      </c>
      <c r="S33" s="37">
        <v>1500000000</v>
      </c>
      <c r="T33" s="37">
        <v>1600000000</v>
      </c>
      <c r="U33" s="37">
        <v>1500000000</v>
      </c>
      <c r="V33" s="37">
        <v>1366373526</v>
      </c>
      <c r="W33" s="37">
        <v>1564561877</v>
      </c>
      <c r="X33" s="37">
        <v>1500136998</v>
      </c>
      <c r="Y33" s="37" t="s">
        <v>124</v>
      </c>
      <c r="Z33" s="37" t="s">
        <v>124</v>
      </c>
      <c r="AB33" s="30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x14ac:dyDescent="0.25">
      <c r="A34" s="29">
        <v>1</v>
      </c>
      <c r="C34" s="123" t="str">
        <f>"    Working Capital"</f>
        <v xml:space="preserve">    Working Capital</v>
      </c>
      <c r="D34" s="32">
        <f t="shared" si="8"/>
        <v>3455000</v>
      </c>
      <c r="E34" s="32">
        <f t="shared" si="9"/>
        <v>1360357.142857143</v>
      </c>
      <c r="F34" s="32">
        <f t="shared" si="10"/>
        <v>-31341000</v>
      </c>
      <c r="G34" s="32">
        <f t="shared" si="11"/>
        <v>19089000</v>
      </c>
      <c r="H34" s="32">
        <f t="shared" si="12"/>
        <v>-7845500</v>
      </c>
      <c r="I34" s="32">
        <f t="shared" si="13"/>
        <v>10696500</v>
      </c>
      <c r="J34" s="32">
        <f t="shared" si="14"/>
        <v>13797160.670041682</v>
      </c>
      <c r="K34" s="33">
        <f t="shared" si="15"/>
        <v>10.142307659783857</v>
      </c>
      <c r="L34" s="37"/>
      <c r="M34" s="37">
        <v>7695000</v>
      </c>
      <c r="N34" s="37">
        <v>1014000</v>
      </c>
      <c r="O34" s="37">
        <v>-9913000</v>
      </c>
      <c r="P34" s="37">
        <v>-6944000</v>
      </c>
      <c r="Q34" s="37">
        <v>-8146000</v>
      </c>
      <c r="R34" s="37">
        <v>-8978000</v>
      </c>
      <c r="S34" s="37">
        <v>-1809000</v>
      </c>
      <c r="T34" s="37">
        <v>17969000</v>
      </c>
      <c r="U34" s="37">
        <v>19089000</v>
      </c>
      <c r="V34" s="37">
        <v>16004000</v>
      </c>
      <c r="W34" s="37">
        <v>11697000</v>
      </c>
      <c r="X34" s="37">
        <v>5896000</v>
      </c>
      <c r="Y34" s="37">
        <v>6812000</v>
      </c>
      <c r="Z34" s="37">
        <v>-31341000</v>
      </c>
      <c r="AB34" s="30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ht="26.25" customHeight="1" x14ac:dyDescent="0.25">
      <c r="A35" s="29">
        <v>1</v>
      </c>
      <c r="C35" s="117" t="str">
        <f>"Cash Flow"</f>
        <v>Cash Flow</v>
      </c>
      <c r="D35" s="44"/>
      <c r="E35" s="44"/>
      <c r="F35" s="44"/>
      <c r="G35" s="44"/>
      <c r="H35" s="44"/>
      <c r="I35" s="44"/>
      <c r="J35" s="44"/>
      <c r="K35" s="44"/>
      <c r="L35" s="44"/>
      <c r="M35" s="44" t="s">
        <v>124</v>
      </c>
      <c r="N35" s="44" t="s">
        <v>124</v>
      </c>
      <c r="O35" s="44" t="s">
        <v>124</v>
      </c>
      <c r="P35" s="44" t="s">
        <v>124</v>
      </c>
      <c r="Q35" s="44" t="s">
        <v>124</v>
      </c>
      <c r="R35" s="44" t="s">
        <v>124</v>
      </c>
      <c r="S35" s="44" t="s">
        <v>124</v>
      </c>
      <c r="T35" s="44" t="s">
        <v>124</v>
      </c>
      <c r="U35" s="44" t="s">
        <v>124</v>
      </c>
      <c r="V35" s="44" t="s">
        <v>124</v>
      </c>
      <c r="W35" s="44" t="s">
        <v>124</v>
      </c>
      <c r="X35" s="44" t="s">
        <v>124</v>
      </c>
      <c r="Y35" s="44" t="s">
        <v>124</v>
      </c>
      <c r="Z35" s="44" t="s">
        <v>124</v>
      </c>
      <c r="AB35" s="30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x14ac:dyDescent="0.25">
      <c r="A36" s="29">
        <v>1</v>
      </c>
      <c r="C36" s="123" t="str">
        <f>"    Cash Flow from Operating Activities, Indirect"</f>
        <v xml:space="preserve">    Cash Flow from Operating Activities, Indirect</v>
      </c>
      <c r="D36" s="32">
        <f t="shared" ref="D36:D44" si="16">IF(COUNT(M36:Z36)&gt;0,MEDIAN(M36:Z36),"")</f>
        <v>12199500</v>
      </c>
      <c r="E36" s="32">
        <f t="shared" ref="E36:E44" si="17">IF(COUNT(M36:Z36)&gt;0,AVERAGE(M36:Z36),"")</f>
        <v>9055500</v>
      </c>
      <c r="F36" s="32">
        <f t="shared" ref="F36:F44" si="18">IF(COUNT(M36:Z36)&gt;0,MIN(M36:Z36),"")</f>
        <v>-17239000</v>
      </c>
      <c r="G36" s="32">
        <f t="shared" ref="G36:G44" si="19">IF(COUNT(M36:Z36)&gt;0,MAX(M36:Z36),"")</f>
        <v>17328000</v>
      </c>
      <c r="H36" s="32">
        <f t="shared" ref="H36:H44" si="20">IF(COUNT(M36:Z36)&gt;0,QUARTILE(M36:Z36,1),"")</f>
        <v>8639750</v>
      </c>
      <c r="I36" s="32">
        <f t="shared" ref="I36:I44" si="21">IF(COUNT(M36:Z36)&gt;0,QUARTILE(M36:Z36,3),"")</f>
        <v>15239000</v>
      </c>
      <c r="J36" s="32">
        <f t="shared" ref="J36:J44" si="22">IF(COUNT(M36:Z36)&gt;1,STDEV(M36:Z36),"")</f>
        <v>10605072.949736403</v>
      </c>
      <c r="K36" s="33">
        <f t="shared" ref="K36:K44" si="23">IF(COUNT(M36:Z36)&gt;1,STDEV(M36:Z36)/AVERAGE(M36:Z36),"")</f>
        <v>1.1711195350600634</v>
      </c>
      <c r="L36" s="37"/>
      <c r="M36" s="37">
        <v>15188000</v>
      </c>
      <c r="N36" s="37">
        <v>16670000</v>
      </c>
      <c r="O36" s="37">
        <v>15021000</v>
      </c>
      <c r="P36" s="37">
        <v>15256000</v>
      </c>
      <c r="Q36" s="37">
        <v>17328000</v>
      </c>
      <c r="R36" s="37">
        <v>16607000</v>
      </c>
      <c r="S36" s="37">
        <v>11769000</v>
      </c>
      <c r="T36" s="37">
        <v>10061000</v>
      </c>
      <c r="U36" s="37">
        <v>12630000</v>
      </c>
      <c r="V36" s="37">
        <v>10605000</v>
      </c>
      <c r="W36" s="37">
        <v>8166000</v>
      </c>
      <c r="X36" s="37">
        <v>6780000</v>
      </c>
      <c r="Y36" s="37">
        <v>-17239000</v>
      </c>
      <c r="Z36" s="37">
        <v>-12065000</v>
      </c>
      <c r="AB36" s="30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x14ac:dyDescent="0.25">
      <c r="A37" s="29">
        <v>1</v>
      </c>
      <c r="C37" s="123" t="str">
        <f>"    Cash Flow from Investing Activities"</f>
        <v xml:space="preserve">    Cash Flow from Investing Activities</v>
      </c>
      <c r="D37" s="32">
        <f t="shared" si="16"/>
        <v>-15857000</v>
      </c>
      <c r="E37" s="32">
        <f t="shared" si="17"/>
        <v>-16160214.285714285</v>
      </c>
      <c r="F37" s="32">
        <f t="shared" si="18"/>
        <v>-35643000</v>
      </c>
      <c r="G37" s="32">
        <f t="shared" si="19"/>
        <v>1233000</v>
      </c>
      <c r="H37" s="32">
        <f t="shared" si="20"/>
        <v>-21560250</v>
      </c>
      <c r="I37" s="32">
        <f t="shared" si="21"/>
        <v>-11359250</v>
      </c>
      <c r="J37" s="32">
        <f t="shared" si="22"/>
        <v>10442712.07904987</v>
      </c>
      <c r="K37" s="33">
        <f t="shared" si="23"/>
        <v>-0.64619886187284548</v>
      </c>
      <c r="L37" s="37"/>
      <c r="M37" s="37">
        <v>-16355000</v>
      </c>
      <c r="N37" s="37">
        <v>-21826000</v>
      </c>
      <c r="O37" s="37">
        <v>-10899000</v>
      </c>
      <c r="P37" s="37">
        <v>-20763000</v>
      </c>
      <c r="Q37" s="37">
        <v>-27572000</v>
      </c>
      <c r="R37" s="37">
        <v>-35643000</v>
      </c>
      <c r="S37" s="37">
        <v>-27710000</v>
      </c>
      <c r="T37" s="37">
        <v>-15359000</v>
      </c>
      <c r="U37" s="37">
        <v>-14362000</v>
      </c>
      <c r="V37" s="37">
        <v>-3505000</v>
      </c>
      <c r="W37" s="37">
        <v>-12740000</v>
      </c>
      <c r="X37" s="37">
        <v>1233000</v>
      </c>
      <c r="Y37" s="37">
        <v>-18978000</v>
      </c>
      <c r="Z37" s="37">
        <v>-1764000</v>
      </c>
      <c r="AB37" s="30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x14ac:dyDescent="0.25">
      <c r="A38" s="29">
        <v>1</v>
      </c>
      <c r="C38" s="123" t="str">
        <f>"    Cash Flow from Financing Activities"</f>
        <v xml:space="preserve">    Cash Flow from Financing Activities</v>
      </c>
      <c r="D38" s="32">
        <f t="shared" si="16"/>
        <v>4697500</v>
      </c>
      <c r="E38" s="32">
        <f t="shared" si="17"/>
        <v>7164000</v>
      </c>
      <c r="F38" s="32">
        <f t="shared" si="18"/>
        <v>-9770000</v>
      </c>
      <c r="G38" s="32">
        <f t="shared" si="19"/>
        <v>44574000</v>
      </c>
      <c r="H38" s="32">
        <f t="shared" si="20"/>
        <v>167500</v>
      </c>
      <c r="I38" s="32">
        <f t="shared" si="21"/>
        <v>12301500</v>
      </c>
      <c r="J38" s="32">
        <f t="shared" si="22"/>
        <v>13212369.047455261</v>
      </c>
      <c r="K38" s="33">
        <f t="shared" si="23"/>
        <v>1.8442726196894557</v>
      </c>
      <c r="L38" s="37"/>
      <c r="M38" s="37">
        <v>1744000</v>
      </c>
      <c r="N38" s="37">
        <v>5552000</v>
      </c>
      <c r="O38" s="37">
        <v>-4677000</v>
      </c>
      <c r="P38" s="37">
        <v>11454000</v>
      </c>
      <c r="Q38" s="37">
        <v>12584000</v>
      </c>
      <c r="R38" s="37">
        <v>17077000</v>
      </c>
      <c r="S38" s="37">
        <v>13608000</v>
      </c>
      <c r="T38" s="37">
        <v>5675000</v>
      </c>
      <c r="U38" s="37">
        <v>3731000</v>
      </c>
      <c r="V38" s="37">
        <v>-4741000</v>
      </c>
      <c r="W38" s="37">
        <v>-358000</v>
      </c>
      <c r="X38" s="37">
        <v>-9770000</v>
      </c>
      <c r="Y38" s="37">
        <v>44574000</v>
      </c>
      <c r="Z38" s="37">
        <v>3843000</v>
      </c>
      <c r="AB38" s="30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x14ac:dyDescent="0.25">
      <c r="A39" s="29">
        <v>1</v>
      </c>
      <c r="C39" s="24" t="str">
        <f>"    Change in Cash"</f>
        <v xml:space="preserve">    Change in Cash</v>
      </c>
      <c r="D39" s="32">
        <f t="shared" si="16"/>
        <v>386500</v>
      </c>
      <c r="E39" s="32">
        <f t="shared" si="17"/>
        <v>59285.714285714283</v>
      </c>
      <c r="F39" s="32">
        <f t="shared" si="18"/>
        <v>-9986000</v>
      </c>
      <c r="G39" s="32">
        <f t="shared" si="19"/>
        <v>8357000</v>
      </c>
      <c r="H39" s="32">
        <f t="shared" si="20"/>
        <v>-1908500</v>
      </c>
      <c r="I39" s="32">
        <f t="shared" si="21"/>
        <v>2254750</v>
      </c>
      <c r="J39" s="32">
        <f t="shared" si="22"/>
        <v>4450979.7612621021</v>
      </c>
      <c r="K39" s="33">
        <f t="shared" si="23"/>
        <v>75.076767057433045</v>
      </c>
      <c r="L39" s="37"/>
      <c r="M39" s="37">
        <v>577000</v>
      </c>
      <c r="N39" s="37">
        <v>396000</v>
      </c>
      <c r="O39" s="37">
        <v>-555000</v>
      </c>
      <c r="P39" s="37">
        <v>5947000</v>
      </c>
      <c r="Q39" s="37">
        <v>2340000</v>
      </c>
      <c r="R39" s="37">
        <v>-1959000</v>
      </c>
      <c r="S39" s="37">
        <v>-2333000</v>
      </c>
      <c r="T39" s="37">
        <v>377000</v>
      </c>
      <c r="U39" s="37">
        <v>1999000</v>
      </c>
      <c r="V39" s="37">
        <v>2359000</v>
      </c>
      <c r="W39" s="37">
        <v>-4932000</v>
      </c>
      <c r="X39" s="37">
        <v>-1757000</v>
      </c>
      <c r="Y39" s="37">
        <v>8357000</v>
      </c>
      <c r="Z39" s="37">
        <v>-9986000</v>
      </c>
      <c r="AB39" s="30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x14ac:dyDescent="0.25">
      <c r="A40" s="29">
        <v>1</v>
      </c>
      <c r="C40" s="142" t="str">
        <f>"    Capital Expenditure (Calc)"</f>
        <v xml:space="preserve">    Capital Expenditure (Calc)</v>
      </c>
      <c r="D40" s="32">
        <f t="shared" si="16"/>
        <v>16200000</v>
      </c>
      <c r="E40" s="32">
        <f t="shared" si="17"/>
        <v>16040714.285714285</v>
      </c>
      <c r="F40" s="32">
        <f t="shared" si="18"/>
        <v>4213000</v>
      </c>
      <c r="G40" s="32">
        <f t="shared" si="19"/>
        <v>27879000</v>
      </c>
      <c r="H40" s="32">
        <f t="shared" si="20"/>
        <v>7927000</v>
      </c>
      <c r="I40" s="32">
        <f t="shared" si="21"/>
        <v>23524750</v>
      </c>
      <c r="J40" s="32">
        <f t="shared" si="22"/>
        <v>8896583.2631545551</v>
      </c>
      <c r="K40" s="33">
        <f t="shared" si="23"/>
        <v>0.55462513106899303</v>
      </c>
      <c r="L40" s="37"/>
      <c r="M40" s="37">
        <v>22111000</v>
      </c>
      <c r="N40" s="37">
        <v>20533000</v>
      </c>
      <c r="O40" s="37">
        <v>23996000</v>
      </c>
      <c r="P40" s="37">
        <v>25497000</v>
      </c>
      <c r="Q40" s="37">
        <v>27633000</v>
      </c>
      <c r="R40" s="37">
        <v>27879000</v>
      </c>
      <c r="S40" s="37">
        <v>21909000</v>
      </c>
      <c r="T40" s="37">
        <v>11867000</v>
      </c>
      <c r="U40" s="37">
        <v>9819000</v>
      </c>
      <c r="V40" s="37">
        <v>9118000</v>
      </c>
      <c r="W40" s="37">
        <v>7086000</v>
      </c>
      <c r="X40" s="37">
        <v>4213000</v>
      </c>
      <c r="Y40" s="37">
        <v>5379000</v>
      </c>
      <c r="Z40" s="37">
        <v>7530000</v>
      </c>
      <c r="AB40" s="30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x14ac:dyDescent="0.25">
      <c r="A41" s="29">
        <v>1</v>
      </c>
      <c r="C41" s="142" t="str">
        <f>"    Issuance of/(Payments for) Common Stock, Net"</f>
        <v xml:space="preserve">    Issuance of/(Payments for) Common Stock, Net</v>
      </c>
      <c r="D41" s="32">
        <f t="shared" si="16"/>
        <v>-2500000</v>
      </c>
      <c r="E41" s="32">
        <f t="shared" si="17"/>
        <v>-1992222.2222222222</v>
      </c>
      <c r="F41" s="32">
        <f t="shared" si="18"/>
        <v>-5098000</v>
      </c>
      <c r="G41" s="32">
        <f t="shared" si="19"/>
        <v>3395000</v>
      </c>
      <c r="H41" s="32">
        <f t="shared" si="20"/>
        <v>-3520000</v>
      </c>
      <c r="I41" s="32">
        <f t="shared" si="21"/>
        <v>0</v>
      </c>
      <c r="J41" s="32">
        <f t="shared" si="22"/>
        <v>2676194.1623216439</v>
      </c>
      <c r="K41" s="33">
        <f t="shared" si="23"/>
        <v>-1.3433211076907303</v>
      </c>
      <c r="L41" s="37"/>
      <c r="M41" s="37" t="s">
        <v>124</v>
      </c>
      <c r="N41" s="37" t="s">
        <v>124</v>
      </c>
      <c r="O41" s="37" t="s">
        <v>124</v>
      </c>
      <c r="P41" s="37" t="s">
        <v>124</v>
      </c>
      <c r="Q41" s="37">
        <v>-4492000</v>
      </c>
      <c r="R41" s="37">
        <v>-2500000</v>
      </c>
      <c r="S41" s="37">
        <v>-3520000</v>
      </c>
      <c r="T41" s="37">
        <v>-3277000</v>
      </c>
      <c r="U41" s="37">
        <v>-2438000</v>
      </c>
      <c r="V41" s="37">
        <v>-5098000</v>
      </c>
      <c r="W41" s="37">
        <v>0</v>
      </c>
      <c r="X41" s="37">
        <v>3395000</v>
      </c>
      <c r="Y41" s="37">
        <v>0</v>
      </c>
      <c r="Z41" s="37" t="s">
        <v>124</v>
      </c>
      <c r="AB41" s="30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x14ac:dyDescent="0.25">
      <c r="A42" s="29">
        <v>1</v>
      </c>
      <c r="C42" s="142" t="str">
        <f>"    Cash Dividends Paid"</f>
        <v xml:space="preserve">    Cash Dividends Paid</v>
      </c>
      <c r="D42" s="32">
        <f t="shared" si="16"/>
        <v>-1629500</v>
      </c>
      <c r="E42" s="32">
        <f t="shared" si="17"/>
        <v>-1496357.142857143</v>
      </c>
      <c r="F42" s="32">
        <f t="shared" si="18"/>
        <v>-3165000</v>
      </c>
      <c r="G42" s="32">
        <f t="shared" si="19"/>
        <v>-97000</v>
      </c>
      <c r="H42" s="32">
        <f t="shared" si="20"/>
        <v>-2242000</v>
      </c>
      <c r="I42" s="32">
        <f t="shared" si="21"/>
        <v>-730750</v>
      </c>
      <c r="J42" s="32">
        <f t="shared" si="22"/>
        <v>978576.87934633368</v>
      </c>
      <c r="K42" s="33">
        <f t="shared" si="23"/>
        <v>-0.65397280590236628</v>
      </c>
      <c r="L42" s="37"/>
      <c r="M42" s="37">
        <v>-186000</v>
      </c>
      <c r="N42" s="37">
        <v>-669000</v>
      </c>
      <c r="O42" s="37">
        <v>-2350000</v>
      </c>
      <c r="P42" s="37">
        <v>-2242000</v>
      </c>
      <c r="Q42" s="37">
        <v>-2233000</v>
      </c>
      <c r="R42" s="37">
        <v>-2368000</v>
      </c>
      <c r="S42" s="37">
        <v>-2242000</v>
      </c>
      <c r="T42" s="37">
        <v>-3165000</v>
      </c>
      <c r="U42" s="37">
        <v>-1687000</v>
      </c>
      <c r="V42" s="37">
        <v>-939000</v>
      </c>
      <c r="W42" s="37">
        <v>-916000</v>
      </c>
      <c r="X42" s="37">
        <v>-1572000</v>
      </c>
      <c r="Y42" s="37">
        <v>-97000</v>
      </c>
      <c r="Z42" s="37">
        <v>-283000</v>
      </c>
      <c r="AB42" s="30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x14ac:dyDescent="0.25">
      <c r="A43" s="29">
        <v>1</v>
      </c>
      <c r="C43" s="142" t="str">
        <f>"    Cash and Cash Equivalents, Beginning of Period"</f>
        <v xml:space="preserve">    Cash and Cash Equivalents, Beginning of Period</v>
      </c>
      <c r="D43" s="32">
        <f t="shared" si="16"/>
        <v>21649000</v>
      </c>
      <c r="E43" s="32">
        <f t="shared" si="17"/>
        <v>21360500</v>
      </c>
      <c r="F43" s="32">
        <f t="shared" si="18"/>
        <v>15160000</v>
      </c>
      <c r="G43" s="32">
        <f t="shared" si="19"/>
        <v>32675000</v>
      </c>
      <c r="H43" s="32">
        <f t="shared" si="20"/>
        <v>17991500</v>
      </c>
      <c r="I43" s="32">
        <f t="shared" si="21"/>
        <v>23073500</v>
      </c>
      <c r="J43" s="32">
        <f t="shared" si="22"/>
        <v>4437469.3021690091</v>
      </c>
      <c r="K43" s="33">
        <f t="shared" si="23"/>
        <v>0.20774182730596236</v>
      </c>
      <c r="L43" s="37"/>
      <c r="M43" s="37">
        <v>23117000</v>
      </c>
      <c r="N43" s="37">
        <v>22943000</v>
      </c>
      <c r="O43" s="37">
        <v>23496000</v>
      </c>
      <c r="P43" s="37">
        <v>17848000</v>
      </c>
      <c r="Q43" s="37">
        <v>15160000</v>
      </c>
      <c r="R43" s="37">
        <v>17332000</v>
      </c>
      <c r="S43" s="37">
        <v>21189000</v>
      </c>
      <c r="T43" s="37">
        <v>22042000</v>
      </c>
      <c r="U43" s="37">
        <v>18422000</v>
      </c>
      <c r="V43" s="37">
        <v>16071000</v>
      </c>
      <c r="W43" s="37">
        <v>21256000</v>
      </c>
      <c r="X43" s="37">
        <v>22679000</v>
      </c>
      <c r="Y43" s="37">
        <v>32675000</v>
      </c>
      <c r="Z43" s="37">
        <v>24817000</v>
      </c>
      <c r="AB43" s="30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x14ac:dyDescent="0.25">
      <c r="A44" s="29">
        <v>1</v>
      </c>
      <c r="C44" s="142" t="str">
        <f>"    Cash and Cash Equivalents, End of Period"</f>
        <v xml:space="preserve">    Cash and Cash Equivalents, End of Period</v>
      </c>
      <c r="D44" s="32">
        <f t="shared" si="16"/>
        <v>20605000</v>
      </c>
      <c r="E44" s="32">
        <f t="shared" si="17"/>
        <v>21153000</v>
      </c>
      <c r="F44" s="32">
        <f t="shared" si="18"/>
        <v>14053000</v>
      </c>
      <c r="G44" s="32">
        <f t="shared" si="19"/>
        <v>41692000</v>
      </c>
      <c r="H44" s="32">
        <f t="shared" si="20"/>
        <v>17461000</v>
      </c>
      <c r="I44" s="32">
        <f t="shared" si="21"/>
        <v>23073500</v>
      </c>
      <c r="J44" s="32">
        <f t="shared" si="22"/>
        <v>6717007.2090294678</v>
      </c>
      <c r="K44" s="33">
        <f t="shared" si="23"/>
        <v>0.31754395163945859</v>
      </c>
      <c r="L44" s="37"/>
      <c r="M44" s="37">
        <v>23542000</v>
      </c>
      <c r="N44" s="37">
        <v>23117000</v>
      </c>
      <c r="O44" s="37">
        <v>22943000</v>
      </c>
      <c r="P44" s="37">
        <v>23496000</v>
      </c>
      <c r="Q44" s="37">
        <v>17848000</v>
      </c>
      <c r="R44" s="37">
        <v>15160000</v>
      </c>
      <c r="S44" s="37">
        <v>17332000</v>
      </c>
      <c r="T44" s="37">
        <v>21189000</v>
      </c>
      <c r="U44" s="37">
        <v>20021000</v>
      </c>
      <c r="V44" s="37">
        <v>18422000</v>
      </c>
      <c r="W44" s="37">
        <v>16071000</v>
      </c>
      <c r="X44" s="37">
        <v>21256000</v>
      </c>
      <c r="Y44" s="37">
        <v>41692000</v>
      </c>
      <c r="Z44" s="37">
        <v>14053000</v>
      </c>
      <c r="AB44" s="3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x14ac:dyDescent="0.25">
      <c r="A45" s="29">
        <v>1</v>
      </c>
      <c r="C45" s="26" t="str">
        <f>"Ratios"</f>
        <v>Ratios</v>
      </c>
      <c r="D45" s="44"/>
      <c r="E45" s="44"/>
      <c r="F45" s="44"/>
      <c r="G45" s="44"/>
      <c r="H45" s="44"/>
      <c r="I45" s="44"/>
      <c r="J45" s="44"/>
      <c r="K45" s="44"/>
      <c r="L45" s="44"/>
      <c r="M45" s="44" t="s">
        <v>124</v>
      </c>
      <c r="N45" s="44" t="s">
        <v>124</v>
      </c>
      <c r="O45" s="44" t="s">
        <v>124</v>
      </c>
      <c r="P45" s="44" t="s">
        <v>124</v>
      </c>
      <c r="Q45" s="44" t="s">
        <v>124</v>
      </c>
      <c r="R45" s="44" t="s">
        <v>124</v>
      </c>
      <c r="S45" s="44" t="s">
        <v>124</v>
      </c>
      <c r="T45" s="44" t="s">
        <v>124</v>
      </c>
      <c r="U45" s="44" t="s">
        <v>124</v>
      </c>
      <c r="V45" s="44" t="s">
        <v>124</v>
      </c>
      <c r="W45" s="44" t="s">
        <v>124</v>
      </c>
      <c r="X45" s="44" t="s">
        <v>124</v>
      </c>
      <c r="Y45" s="44" t="s">
        <v>124</v>
      </c>
      <c r="Z45" s="44" t="s">
        <v>124</v>
      </c>
      <c r="AB45" s="30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x14ac:dyDescent="0.25">
      <c r="A46" s="29">
        <v>1</v>
      </c>
      <c r="C46" s="142" t="str">
        <f>"    EBITDA Margin"</f>
        <v xml:space="preserve">    EBITDA Margin</v>
      </c>
      <c r="D46" s="35">
        <f t="shared" ref="D46:D57" si="24">IF(COUNT(M46:Z46)&gt;0,MEDIAN(M46:Z46),"")</f>
        <v>0.11324379858687571</v>
      </c>
      <c r="E46" s="35">
        <f t="shared" ref="E46:E57" si="25">IF(COUNT(M46:Z46)&gt;0,AVERAGE(M46:Z46),"")</f>
        <v>0.18135672128142552</v>
      </c>
      <c r="F46" s="35">
        <f t="shared" ref="F46:F57" si="26">IF(COUNT(M46:Z46)&gt;0,MIN(M46:Z46),"")</f>
        <v>-0.11523100571221448</v>
      </c>
      <c r="G46" s="35">
        <f t="shared" ref="G46:G57" si="27">IF(COUNT(M46:Z46)&gt;0,MAX(M46:Z46),"")</f>
        <v>1.1349855147290824</v>
      </c>
      <c r="H46" s="35">
        <f t="shared" ref="H46:H57" si="28">IF(COUNT(M46:Z46)&gt;0,QUARTILE(M46:Z46,1),"")</f>
        <v>9.8167780476341643E-2</v>
      </c>
      <c r="I46" s="35">
        <f t="shared" ref="I46:I57" si="29">IF(COUNT(M46:Z46)&gt;0,QUARTILE(M46:Z46,3),"")</f>
        <v>0.1656377889146953</v>
      </c>
      <c r="J46" s="35">
        <f t="shared" ref="J46:J57" si="30">IF(COUNT(M46:Z46)&gt;1,STDEV(M46:Z46),"")</f>
        <v>0.28468688412574367</v>
      </c>
      <c r="K46" s="33">
        <f t="shared" ref="K46:K57" si="31">IF(COUNT(M46:Z46)&gt;1,STDEV(M46:Z46)/AVERAGE(M46:Z46),"")</f>
        <v>1.5697619702992567</v>
      </c>
      <c r="L46" s="40"/>
      <c r="M46" s="40">
        <v>0.20148971685931152</v>
      </c>
      <c r="N46" s="40">
        <v>0.17675633751071559</v>
      </c>
      <c r="O46" s="40">
        <v>0.15908246318412672</v>
      </c>
      <c r="P46" s="40">
        <v>9.8405973519031076E-2</v>
      </c>
      <c r="Q46" s="40">
        <v>0.16782289749155149</v>
      </c>
      <c r="R46" s="40">
        <v>0.14886314886314886</v>
      </c>
      <c r="S46" s="40">
        <v>0.11543193958371707</v>
      </c>
      <c r="T46" s="40">
        <v>7.4880233952632283E-2</v>
      </c>
      <c r="U46" s="40">
        <v>0.10028502126400175</v>
      </c>
      <c r="V46" s="40">
        <v>6.7077816309373692E-2</v>
      </c>
      <c r="W46" s="40">
        <v>0.11105565759003434</v>
      </c>
      <c r="X46" s="40">
        <v>9.8088382795445156E-2</v>
      </c>
      <c r="Y46" s="40">
        <v>1.1349855147290824</v>
      </c>
      <c r="Z46" s="40">
        <v>-0.11523100571221448</v>
      </c>
      <c r="AB46" s="30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x14ac:dyDescent="0.25">
      <c r="A47" s="29">
        <v>1</v>
      </c>
      <c r="C47" s="123" t="str">
        <f>"    Revenue % Growth"</f>
        <v xml:space="preserve">    Revenue % Growth</v>
      </c>
      <c r="D47" s="35">
        <f t="shared" si="24"/>
        <v>1.0035167733604355E-2</v>
      </c>
      <c r="E47" s="35">
        <f t="shared" si="25"/>
        <v>-2.9083568687998575E-3</v>
      </c>
      <c r="F47" s="35">
        <f t="shared" si="26"/>
        <v>-0.29796145765510573</v>
      </c>
      <c r="G47" s="35">
        <f t="shared" si="27"/>
        <v>0.29642696650699407</v>
      </c>
      <c r="H47" s="35">
        <f t="shared" si="28"/>
        <v>-6.6726057300627639E-2</v>
      </c>
      <c r="I47" s="35">
        <f t="shared" si="29"/>
        <v>3.6894313589419081E-2</v>
      </c>
      <c r="J47" s="35">
        <f t="shared" si="30"/>
        <v>0.13951045841513843</v>
      </c>
      <c r="K47" s="33">
        <f t="shared" si="31"/>
        <v>-47.968823878449228</v>
      </c>
      <c r="L47" s="40"/>
      <c r="M47" s="40">
        <v>3.6894313589419081E-2</v>
      </c>
      <c r="N47" s="40">
        <v>-0.10749287728528023</v>
      </c>
      <c r="O47" s="40">
        <v>-6.6726057300627639E-2</v>
      </c>
      <c r="P47" s="40">
        <v>1.0035167733604355E-2</v>
      </c>
      <c r="Q47" s="40">
        <v>-2.4104461604461558E-2</v>
      </c>
      <c r="R47" s="40">
        <v>9.9163750230244929E-2</v>
      </c>
      <c r="S47" s="40">
        <v>-0.12957179229008076</v>
      </c>
      <c r="T47" s="40">
        <v>3.2298120661147234E-3</v>
      </c>
      <c r="U47" s="40">
        <v>2.0826765447667039E-2</v>
      </c>
      <c r="V47" s="40">
        <v>1.3175756607841649E-2</v>
      </c>
      <c r="W47" s="40">
        <v>0.10829547465927192</v>
      </c>
      <c r="X47" s="40">
        <v>0.29642696650699407</v>
      </c>
      <c r="Y47" s="40">
        <v>-0.29796145765510573</v>
      </c>
      <c r="Z47" s="40" t="s">
        <v>124</v>
      </c>
      <c r="AB47" s="30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x14ac:dyDescent="0.25">
      <c r="A48" s="29">
        <v>1</v>
      </c>
      <c r="C48" s="142" t="str">
        <f>"    EBITDA % Growth"</f>
        <v xml:space="preserve">    EBITDA % Growth</v>
      </c>
      <c r="D48" s="35">
        <f t="shared" si="24"/>
        <v>0.14108763211226549</v>
      </c>
      <c r="E48" s="35">
        <f t="shared" si="25"/>
        <v>3.2351690363970155E-2</v>
      </c>
      <c r="F48" s="35">
        <f t="shared" si="26"/>
        <v>-0.88795942951974194</v>
      </c>
      <c r="G48" s="35">
        <f t="shared" si="27"/>
        <v>0.5261921080975227</v>
      </c>
      <c r="H48" s="35">
        <f t="shared" si="28"/>
        <v>-0.28519567413463359</v>
      </c>
      <c r="I48" s="35">
        <f t="shared" si="29"/>
        <v>0.36073463717605192</v>
      </c>
      <c r="J48" s="35">
        <f t="shared" si="30"/>
        <v>0.435960934470839</v>
      </c>
      <c r="K48" s="33">
        <f t="shared" si="31"/>
        <v>13.475677145957281</v>
      </c>
      <c r="L48" s="40"/>
      <c r="M48" s="40">
        <v>0.18198614318706707</v>
      </c>
      <c r="N48" s="40">
        <v>-8.3363869549285541E-3</v>
      </c>
      <c r="O48" s="40">
        <v>0.50872464669500017</v>
      </c>
      <c r="P48" s="40">
        <v>-0.40774771824990796</v>
      </c>
      <c r="Q48" s="40">
        <v>0.10018912103746391</v>
      </c>
      <c r="R48" s="40">
        <v>0.41750175528180256</v>
      </c>
      <c r="S48" s="40">
        <v>0.34181226447413504</v>
      </c>
      <c r="T48" s="40">
        <v>-0.25091422339128766</v>
      </c>
      <c r="U48" s="40">
        <v>0.5261921080975227</v>
      </c>
      <c r="V48" s="40">
        <v>-0.38804002636467139</v>
      </c>
      <c r="W48" s="40">
        <v>0.25481203007518793</v>
      </c>
      <c r="X48" s="40">
        <v>-0.88795942951974194</v>
      </c>
      <c r="Y48" s="40" t="s">
        <v>124</v>
      </c>
      <c r="Z48" s="40" t="s">
        <v>124</v>
      </c>
      <c r="AB48" s="30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x14ac:dyDescent="0.25">
      <c r="A49" s="29">
        <v>1</v>
      </c>
      <c r="C49" s="142" t="str">
        <f>"    EBIT % Growth"</f>
        <v xml:space="preserve">    EBIT % Growth</v>
      </c>
      <c r="D49" s="35">
        <f t="shared" si="24"/>
        <v>6.5898797964776878E-2</v>
      </c>
      <c r="E49" s="35">
        <f t="shared" si="25"/>
        <v>7.0814478064711694E-2</v>
      </c>
      <c r="F49" s="35">
        <f t="shared" si="26"/>
        <v>-0.94064645975233641</v>
      </c>
      <c r="G49" s="35">
        <f t="shared" si="27"/>
        <v>0.84317260027039209</v>
      </c>
      <c r="H49" s="35">
        <f t="shared" si="28"/>
        <v>-0.23396349110340764</v>
      </c>
      <c r="I49" s="35">
        <f t="shared" si="29"/>
        <v>0.49620855972828398</v>
      </c>
      <c r="J49" s="35">
        <f t="shared" si="30"/>
        <v>0.53308077636728324</v>
      </c>
      <c r="K49" s="33">
        <f t="shared" si="31"/>
        <v>7.5278501082807292</v>
      </c>
      <c r="L49" s="40"/>
      <c r="M49" s="40">
        <v>0.51027703306523686</v>
      </c>
      <c r="N49" s="40">
        <v>0.14931313390679168</v>
      </c>
      <c r="O49" s="40">
        <v>-0.12177246589243429</v>
      </c>
      <c r="P49" s="40">
        <v>-0.27136049950706542</v>
      </c>
      <c r="Q49" s="40">
        <v>-1.7515537977237927E-2</v>
      </c>
      <c r="R49" s="40">
        <v>0.51454767726161377</v>
      </c>
      <c r="S49" s="40">
        <v>0.84317260027039209</v>
      </c>
      <c r="T49" s="40">
        <v>-0.41187384044526898</v>
      </c>
      <c r="U49" s="40" t="s">
        <v>124</v>
      </c>
      <c r="V49" s="40" t="s">
        <v>124</v>
      </c>
      <c r="W49" s="40">
        <v>0.45400313971742534</v>
      </c>
      <c r="X49" s="40">
        <v>-0.94064645975233641</v>
      </c>
      <c r="Y49" s="40" t="s">
        <v>124</v>
      </c>
      <c r="Z49" s="40" t="s">
        <v>124</v>
      </c>
      <c r="AB49" s="30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x14ac:dyDescent="0.25">
      <c r="A50" s="29">
        <v>1</v>
      </c>
      <c r="C50" s="142" t="str">
        <f>"    Current Ratio"</f>
        <v xml:space="preserve">    Current Ratio</v>
      </c>
      <c r="D50" s="34">
        <f t="shared" si="24"/>
        <v>1.0580527873787589</v>
      </c>
      <c r="E50" s="34">
        <f t="shared" si="25"/>
        <v>1.0438786697285638</v>
      </c>
      <c r="F50" s="34">
        <f t="shared" si="26"/>
        <v>0.58548037244736006</v>
      </c>
      <c r="G50" s="34">
        <f t="shared" si="27"/>
        <v>1.3058546433378198</v>
      </c>
      <c r="H50" s="34">
        <f t="shared" si="28"/>
        <v>0.89984096202066499</v>
      </c>
      <c r="I50" s="34">
        <f t="shared" si="29"/>
        <v>1.1972990707628128</v>
      </c>
      <c r="J50" s="34">
        <f t="shared" si="30"/>
        <v>0.2031636715593402</v>
      </c>
      <c r="K50" s="33">
        <f t="shared" si="31"/>
        <v>0.19462383651556761</v>
      </c>
      <c r="L50" s="39"/>
      <c r="M50" s="39">
        <v>1.1034162993226535</v>
      </c>
      <c r="N50" s="39">
        <v>1.0126892754348642</v>
      </c>
      <c r="O50" s="39">
        <v>0.88324598080207295</v>
      </c>
      <c r="P50" s="39">
        <v>0.91556112212264551</v>
      </c>
      <c r="Q50" s="39">
        <v>0.89405644427103659</v>
      </c>
      <c r="R50" s="39">
        <v>0.89460090865333819</v>
      </c>
      <c r="S50" s="39">
        <v>0.97459876153165681</v>
      </c>
      <c r="T50" s="39">
        <v>1.2736798818100126</v>
      </c>
      <c r="U50" s="39">
        <v>1.3058546433378198</v>
      </c>
      <c r="V50" s="39">
        <v>1.29641428359757</v>
      </c>
      <c r="W50" s="39">
        <v>1.2197610190508399</v>
      </c>
      <c r="X50" s="39">
        <v>1.1250291579192908</v>
      </c>
      <c r="Y50" s="39">
        <v>1.1299132258987317</v>
      </c>
      <c r="Z50" s="39">
        <v>0.58548037244736006</v>
      </c>
      <c r="AB50" s="30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x14ac:dyDescent="0.25">
      <c r="A51" s="29">
        <v>1</v>
      </c>
      <c r="C51" s="142" t="str">
        <f>"    Quick Ratio"</f>
        <v xml:space="preserve">    Quick Ratio</v>
      </c>
      <c r="D51" s="34">
        <f t="shared" si="24"/>
        <v>0.74051071523916923</v>
      </c>
      <c r="E51" s="34">
        <f t="shared" si="25"/>
        <v>0.70656349885908654</v>
      </c>
      <c r="F51" s="34">
        <f t="shared" si="26"/>
        <v>0.29245582478044652</v>
      </c>
      <c r="G51" s="34">
        <f t="shared" si="27"/>
        <v>0.85360538082891824</v>
      </c>
      <c r="H51" s="34">
        <f t="shared" si="28"/>
        <v>0.67106363910322786</v>
      </c>
      <c r="I51" s="34">
        <f t="shared" si="29"/>
        <v>0.8123308352514792</v>
      </c>
      <c r="J51" s="34">
        <f t="shared" si="30"/>
        <v>0.14913548528734485</v>
      </c>
      <c r="K51" s="33">
        <f t="shared" si="31"/>
        <v>0.21107159586952803</v>
      </c>
      <c r="L51" s="39"/>
      <c r="M51" s="39">
        <v>0.84290667670142994</v>
      </c>
      <c r="N51" s="39">
        <v>0.79191590539356771</v>
      </c>
      <c r="O51" s="39">
        <v>0.66711029974677583</v>
      </c>
      <c r="P51" s="39">
        <v>0.73214003429113417</v>
      </c>
      <c r="Q51" s="39">
        <v>0.68292365717258419</v>
      </c>
      <c r="R51" s="39">
        <v>0.57808666251863683</v>
      </c>
      <c r="S51" s="39">
        <v>0.69911678391395315</v>
      </c>
      <c r="T51" s="39">
        <v>0.81913581187078299</v>
      </c>
      <c r="U51" s="39">
        <v>0.83006473114144719</v>
      </c>
      <c r="V51" s="39">
        <v>0.7750963105645281</v>
      </c>
      <c r="W51" s="39">
        <v>0.85360538082891824</v>
      </c>
      <c r="X51" s="39">
        <v>0.7488813961872044</v>
      </c>
      <c r="Y51" s="39">
        <v>0.57844950891580049</v>
      </c>
      <c r="Z51" s="39">
        <v>0.29245582478044652</v>
      </c>
      <c r="AB51" s="30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 x14ac:dyDescent="0.25">
      <c r="A52" s="29">
        <v>1</v>
      </c>
      <c r="C52" s="142" t="str">
        <f>"    Debt to Equity"</f>
        <v xml:space="preserve">    Debt to Equity</v>
      </c>
      <c r="D52" s="34">
        <f t="shared" si="24"/>
        <v>1.0800039679587332</v>
      </c>
      <c r="E52" s="34">
        <f t="shared" si="25"/>
        <v>0.94491747808560533</v>
      </c>
      <c r="F52" s="34">
        <f t="shared" si="26"/>
        <v>0.18894103767536097</v>
      </c>
      <c r="G52" s="34">
        <f t="shared" si="27"/>
        <v>1.8578453038674032</v>
      </c>
      <c r="H52" s="34">
        <f t="shared" si="28"/>
        <v>0.28464864864864864</v>
      </c>
      <c r="I52" s="34">
        <f t="shared" si="29"/>
        <v>1.4564484191744458</v>
      </c>
      <c r="J52" s="34">
        <f t="shared" si="30"/>
        <v>0.5954810387072702</v>
      </c>
      <c r="K52" s="33">
        <f t="shared" si="31"/>
        <v>0.630193696822827</v>
      </c>
      <c r="L52" s="39"/>
      <c r="M52" s="39">
        <v>1.1649472004862114</v>
      </c>
      <c r="N52" s="39">
        <v>1.4886164623467601</v>
      </c>
      <c r="O52" s="39">
        <v>1.4564484191744458</v>
      </c>
      <c r="P52" s="39">
        <v>1.7079271571171424</v>
      </c>
      <c r="Q52" s="39">
        <v>1.8578453038674032</v>
      </c>
      <c r="R52" s="39">
        <v>1.1645150311968235</v>
      </c>
      <c r="S52" s="39">
        <v>1.0800039679587332</v>
      </c>
      <c r="T52" s="39">
        <v>0.88055185431934269</v>
      </c>
      <c r="U52" s="39">
        <v>0.51014499467271968</v>
      </c>
      <c r="V52" s="39">
        <v>0.28464864864864864</v>
      </c>
      <c r="W52" s="39">
        <v>0.18894103767536097</v>
      </c>
      <c r="X52" s="39">
        <v>0.24602384348340914</v>
      </c>
      <c r="Y52" s="39">
        <v>0.25331329416586967</v>
      </c>
      <c r="Z52" s="39" t="s">
        <v>124</v>
      </c>
      <c r="AB52" s="30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 x14ac:dyDescent="0.25">
      <c r="A53" s="29">
        <v>1</v>
      </c>
      <c r="C53" s="123" t="str">
        <f>"    Total Debt to Equity"</f>
        <v xml:space="preserve">    Total Debt to Equity</v>
      </c>
      <c r="D53" s="139">
        <f t="shared" si="24"/>
        <v>1.5651365225801652</v>
      </c>
      <c r="E53" s="139">
        <f t="shared" si="25"/>
        <v>1.4161719545233071</v>
      </c>
      <c r="F53" s="139">
        <f t="shared" si="26"/>
        <v>0.28951263489329637</v>
      </c>
      <c r="G53" s="139">
        <f t="shared" si="27"/>
        <v>2.6027348066298344</v>
      </c>
      <c r="H53" s="139">
        <f t="shared" si="28"/>
        <v>0.71881404563464957</v>
      </c>
      <c r="I53" s="139">
        <f t="shared" si="29"/>
        <v>2.2316766310364957</v>
      </c>
      <c r="J53" s="139">
        <f t="shared" si="30"/>
        <v>0.83175618070225554</v>
      </c>
      <c r="K53" s="124">
        <f t="shared" si="31"/>
        <v>0.58732710956857648</v>
      </c>
      <c r="L53" s="148"/>
      <c r="M53" s="148">
        <v>1.67729241054471</v>
      </c>
      <c r="N53" s="148">
        <v>2.2316766310364957</v>
      </c>
      <c r="O53" s="148">
        <v>2.2702526274561001</v>
      </c>
      <c r="P53" s="148">
        <v>2.4534446080837835</v>
      </c>
      <c r="Q53" s="148">
        <v>2.6027348066298344</v>
      </c>
      <c r="R53" s="148">
        <v>1.704435621100397</v>
      </c>
      <c r="S53" s="39">
        <v>1.5651365225801652</v>
      </c>
      <c r="T53" s="39">
        <v>1.2953864090606262</v>
      </c>
      <c r="U53" s="39">
        <v>0.83807384073748092</v>
      </c>
      <c r="V53" s="39">
        <v>0.43378378378378379</v>
      </c>
      <c r="W53" s="39">
        <v>0.32969146726167575</v>
      </c>
      <c r="X53" s="39">
        <v>0.28951263489329637</v>
      </c>
      <c r="Y53" s="39">
        <v>0.71881404563464957</v>
      </c>
      <c r="Z53" s="39" t="s">
        <v>124</v>
      </c>
      <c r="AB53" s="30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 x14ac:dyDescent="0.25">
      <c r="A54" s="29">
        <v>1</v>
      </c>
      <c r="C54" s="123" t="str">
        <f>"    Total Asset Turnover"</f>
        <v xml:space="preserve">    Total Asset Turnover</v>
      </c>
      <c r="D54" s="34">
        <f t="shared" si="24"/>
        <v>0.81250160857709763</v>
      </c>
      <c r="E54" s="34">
        <f t="shared" si="25"/>
        <v>0.84665017380320662</v>
      </c>
      <c r="F54" s="34">
        <f t="shared" si="26"/>
        <v>0.51591704217390677</v>
      </c>
      <c r="G54" s="34">
        <f t="shared" si="27"/>
        <v>1.6364305407572579</v>
      </c>
      <c r="H54" s="34">
        <f t="shared" si="28"/>
        <v>0.64777829425410893</v>
      </c>
      <c r="I54" s="34">
        <f t="shared" si="29"/>
        <v>0.98985820587861828</v>
      </c>
      <c r="J54" s="34">
        <f t="shared" si="30"/>
        <v>0.29217144209326351</v>
      </c>
      <c r="K54" s="33">
        <f t="shared" si="31"/>
        <v>0.34509110271697074</v>
      </c>
      <c r="L54" s="39"/>
      <c r="M54" s="39">
        <v>0.52976475014661928</v>
      </c>
      <c r="N54" s="39">
        <v>0.51591704217390677</v>
      </c>
      <c r="O54" s="39">
        <v>0.59473085716960172</v>
      </c>
      <c r="P54" s="39">
        <v>0.6666476259385492</v>
      </c>
      <c r="Q54" s="39">
        <v>0.64148851702596221</v>
      </c>
      <c r="R54" s="39">
        <v>0.7119792377568912</v>
      </c>
      <c r="S54" s="39">
        <v>0.73240632915627435</v>
      </c>
      <c r="T54" s="39">
        <v>0.89259688799792092</v>
      </c>
      <c r="U54" s="39">
        <v>0.96997591083263646</v>
      </c>
      <c r="V54" s="39">
        <v>1.0127956448510103</v>
      </c>
      <c r="W54" s="39">
        <v>1.0317483203091209</v>
      </c>
      <c r="X54" s="39">
        <v>0.99648563756061215</v>
      </c>
      <c r="Y54" s="39">
        <v>0.92013513156852911</v>
      </c>
      <c r="Z54" s="39">
        <v>1.6364305407572579</v>
      </c>
      <c r="AB54" s="30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 x14ac:dyDescent="0.25">
      <c r="A55" s="29">
        <v>1</v>
      </c>
      <c r="C55" s="24" t="str">
        <f>"    Normalized Return on Equity"</f>
        <v xml:space="preserve">    Normalized Return on Equity</v>
      </c>
      <c r="D55" s="35">
        <f t="shared" si="24"/>
        <v>0.2259545966870839</v>
      </c>
      <c r="E55" s="35">
        <f t="shared" si="25"/>
        <v>0.29965263590650798</v>
      </c>
      <c r="F55" s="35">
        <f t="shared" si="26"/>
        <v>0.11305344846487154</v>
      </c>
      <c r="G55" s="35">
        <f t="shared" si="27"/>
        <v>1.1680344942509582</v>
      </c>
      <c r="H55" s="35">
        <f t="shared" si="28"/>
        <v>0.18726730728830174</v>
      </c>
      <c r="I55" s="35">
        <f t="shared" si="29"/>
        <v>0.26331051485354429</v>
      </c>
      <c r="J55" s="35">
        <f t="shared" si="30"/>
        <v>0.28066047173692826</v>
      </c>
      <c r="K55" s="33">
        <f t="shared" si="31"/>
        <v>0.93661939895130675</v>
      </c>
      <c r="L55" s="40"/>
      <c r="M55" s="40">
        <v>0.20047424846294065</v>
      </c>
      <c r="N55" s="40">
        <v>0.16855138849126824</v>
      </c>
      <c r="O55" s="40">
        <v>0.16600650423637486</v>
      </c>
      <c r="P55" s="40">
        <v>0.25668718921497141</v>
      </c>
      <c r="Q55" s="40">
        <v>0.23232019118138239</v>
      </c>
      <c r="R55" s="40">
        <v>0.2256924066501087</v>
      </c>
      <c r="S55" s="40">
        <v>0.22621678672405907</v>
      </c>
      <c r="T55" s="40">
        <v>0.11305344846487154</v>
      </c>
      <c r="U55" s="40">
        <v>0.1935059468873129</v>
      </c>
      <c r="V55" s="40">
        <v>1.1680344942509582</v>
      </c>
      <c r="W55" s="40">
        <v>0.36210853454458525</v>
      </c>
      <c r="X55" s="40">
        <v>0.28318049176926291</v>
      </c>
      <c r="Y55" s="40" t="s">
        <v>124</v>
      </c>
      <c r="Z55" s="40" t="s">
        <v>124</v>
      </c>
      <c r="AB55" s="30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x14ac:dyDescent="0.25">
      <c r="A56" s="29">
        <v>1</v>
      </c>
      <c r="C56" s="24" t="str">
        <f>"    Normalized Return on Assets"</f>
        <v xml:space="preserve">    Normalized Return on Assets</v>
      </c>
      <c r="D56" s="35">
        <f t="shared" si="24"/>
        <v>4.3412904391527569E-2</v>
      </c>
      <c r="E56" s="35">
        <f t="shared" si="25"/>
        <v>9.6366193518896998E-2</v>
      </c>
      <c r="F56" s="35">
        <f t="shared" si="26"/>
        <v>-0.27857896066520943</v>
      </c>
      <c r="G56" s="35">
        <f t="shared" si="27"/>
        <v>0.94293550458796305</v>
      </c>
      <c r="H56" s="35">
        <f t="shared" si="28"/>
        <v>3.154791789816843E-2</v>
      </c>
      <c r="I56" s="35">
        <f t="shared" si="29"/>
        <v>4.7382439125312314E-2</v>
      </c>
      <c r="J56" s="35">
        <f t="shared" si="30"/>
        <v>0.26424854036400403</v>
      </c>
      <c r="K56" s="33">
        <f t="shared" si="31"/>
        <v>2.7421290674118617</v>
      </c>
      <c r="L56" s="40"/>
      <c r="M56" s="40">
        <v>4.3305861516347521E-2</v>
      </c>
      <c r="N56" s="40">
        <v>2.9758369620432313E-2</v>
      </c>
      <c r="O56" s="40">
        <v>3.0040545202093306E-2</v>
      </c>
      <c r="P56" s="40">
        <v>4.2451756688509104E-2</v>
      </c>
      <c r="Q56" s="40">
        <v>4.3519947266707618E-2</v>
      </c>
      <c r="R56" s="40">
        <v>4.5882724633973831E-2</v>
      </c>
      <c r="S56" s="40">
        <v>4.4297834268144091E-2</v>
      </c>
      <c r="T56" s="40">
        <v>2.4960479248156024E-2</v>
      </c>
      <c r="U56" s="40">
        <v>3.6070035986393814E-2</v>
      </c>
      <c r="V56" s="40">
        <v>0.22380405022470207</v>
      </c>
      <c r="W56" s="40">
        <v>7.2796216730586227E-2</v>
      </c>
      <c r="X56" s="40">
        <v>4.788234395575848E-2</v>
      </c>
      <c r="Y56" s="40">
        <v>0.94293550458796305</v>
      </c>
      <c r="Z56" s="40">
        <v>-0.27857896066520943</v>
      </c>
      <c r="AB56" s="3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 x14ac:dyDescent="0.25">
      <c r="A57" s="29">
        <v>1</v>
      </c>
      <c r="C57" s="24" t="str">
        <f>"    Normalized Return on Invested Capital"</f>
        <v xml:space="preserve">    Normalized Return on Invested Capital</v>
      </c>
      <c r="D57" s="35">
        <f t="shared" si="24"/>
        <v>8.1063619954451244E-2</v>
      </c>
      <c r="E57" s="35">
        <f t="shared" si="25"/>
        <v>0.13536425817591374</v>
      </c>
      <c r="F57" s="35">
        <f t="shared" si="26"/>
        <v>4.7172032412823146E-2</v>
      </c>
      <c r="G57" s="35">
        <f t="shared" si="27"/>
        <v>0.61241702886031757</v>
      </c>
      <c r="H57" s="35">
        <f t="shared" si="28"/>
        <v>6.2806830047457532E-2</v>
      </c>
      <c r="I57" s="35">
        <f t="shared" si="29"/>
        <v>0.11351392326306287</v>
      </c>
      <c r="J57" s="35">
        <f t="shared" si="30"/>
        <v>0.15822469087856778</v>
      </c>
      <c r="K57" s="33">
        <f t="shared" si="31"/>
        <v>1.1688808627233458</v>
      </c>
      <c r="L57" s="40"/>
      <c r="M57" s="40">
        <v>6.5277925662785036E-2</v>
      </c>
      <c r="N57" s="40">
        <v>4.7172032412823146E-2</v>
      </c>
      <c r="O57" s="40">
        <v>4.790095661276083E-2</v>
      </c>
      <c r="P57" s="40">
        <v>6.9786850639505835E-2</v>
      </c>
      <c r="Q57" s="40">
        <v>7.6497348318980196E-2</v>
      </c>
      <c r="R57" s="40">
        <v>8.5629891589922291E-2</v>
      </c>
      <c r="S57" s="40">
        <v>8.935616840608572E-2</v>
      </c>
      <c r="T57" s="40">
        <v>5.5393543201475014E-2</v>
      </c>
      <c r="U57" s="40">
        <v>9.0053283907852416E-2</v>
      </c>
      <c r="V57" s="40">
        <v>0.61241702886031757</v>
      </c>
      <c r="W57" s="40">
        <v>0.20099022716976248</v>
      </c>
      <c r="X57" s="40">
        <v>0.18389584132869419</v>
      </c>
      <c r="Y57" s="40" t="s">
        <v>124</v>
      </c>
      <c r="Z57" s="40" t="s">
        <v>124</v>
      </c>
      <c r="AB57" s="30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 x14ac:dyDescent="0.25">
      <c r="A58" s="29">
        <v>1</v>
      </c>
      <c r="C58" s="26" t="str">
        <f>"Multiples*"</f>
        <v>Multiples*</v>
      </c>
      <c r="D58" s="44"/>
      <c r="E58" s="44"/>
      <c r="F58" s="44"/>
      <c r="G58" s="44"/>
      <c r="H58" s="44"/>
      <c r="I58" s="44"/>
      <c r="J58" s="44"/>
      <c r="K58" s="44"/>
      <c r="L58" s="44"/>
      <c r="M58" s="44" t="s">
        <v>124</v>
      </c>
      <c r="N58" s="44" t="s">
        <v>124</v>
      </c>
      <c r="O58" s="44" t="s">
        <v>124</v>
      </c>
      <c r="P58" s="44" t="s">
        <v>124</v>
      </c>
      <c r="Q58" s="44" t="s">
        <v>124</v>
      </c>
      <c r="R58" s="44" t="s">
        <v>124</v>
      </c>
      <c r="S58" s="44" t="s">
        <v>124</v>
      </c>
      <c r="T58" s="44" t="s">
        <v>124</v>
      </c>
      <c r="U58" s="44" t="s">
        <v>124</v>
      </c>
      <c r="V58" s="44" t="s">
        <v>124</v>
      </c>
      <c r="W58" s="44" t="s">
        <v>124</v>
      </c>
      <c r="X58" s="44" t="s">
        <v>124</v>
      </c>
      <c r="Y58" s="44" t="s">
        <v>124</v>
      </c>
      <c r="Z58" s="44" t="s">
        <v>124</v>
      </c>
      <c r="AB58" s="30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 x14ac:dyDescent="0.25">
      <c r="A59" s="29">
        <v>1</v>
      </c>
      <c r="C59" s="123" t="str">
        <f>"    Stock Price"</f>
        <v xml:space="preserve">    Stock Price</v>
      </c>
      <c r="D59" s="124">
        <f t="shared" ref="D59:D69" si="32">IF(COUNT(M59:Z59)&gt;0,MEDIAN(M59:Z59),"")</f>
        <v>35.754999999999995</v>
      </c>
      <c r="E59" s="124">
        <f t="shared" ref="E59:E69" si="33">IF(COUNT(M59:Z59)&gt;0,AVERAGE(M59:Z59),"")</f>
        <v>36.825000000000003</v>
      </c>
      <c r="F59" s="124">
        <f t="shared" ref="F59:F69" si="34">IF(COUNT(M59:Z59)&gt;0,MIN(M59:Z59),"")</f>
        <v>20.27</v>
      </c>
      <c r="G59" s="124">
        <f t="shared" ref="G59:G69" si="35">IF(COUNT(M59:Z59)&gt;0,MAX(M59:Z59),"")</f>
        <v>58.63</v>
      </c>
      <c r="H59" s="124">
        <f t="shared" ref="H59:H69" si="36">IF(COUNT(M59:Z59)&gt;0,QUARTILE(M59:Z59,1),"")</f>
        <v>33.869999999999997</v>
      </c>
      <c r="I59" s="124">
        <f t="shared" ref="I59:I69" si="37">IF(COUNT(M59:Z59)&gt;0,QUARTILE(M59:Z59,3),"")</f>
        <v>40.9</v>
      </c>
      <c r="J59" s="124">
        <f t="shared" ref="J59:J69" si="38">IF(COUNT(M59:Z59)&gt;1,STDEV(M59:Z59),"")</f>
        <v>9.0318310838540619</v>
      </c>
      <c r="K59" s="124">
        <f t="shared" ref="K59:K69" si="39">IF(COUNT(M59:Z59)&gt;1,STDEV(M59:Z59)/AVERAGE(M59:Z59),"")</f>
        <v>0.24526357322074843</v>
      </c>
      <c r="L59" s="149"/>
      <c r="M59" s="149">
        <v>58.63</v>
      </c>
      <c r="N59" s="149">
        <v>41.64</v>
      </c>
      <c r="O59" s="149">
        <v>36.6</v>
      </c>
      <c r="P59" s="149">
        <v>33.450000000000003</v>
      </c>
      <c r="Q59" s="149">
        <v>40.99</v>
      </c>
      <c r="R59" s="149">
        <v>34.840000000000003</v>
      </c>
      <c r="S59" s="38">
        <v>34.01</v>
      </c>
      <c r="T59" s="38">
        <v>34.909999999999997</v>
      </c>
      <c r="U59" s="38">
        <v>40.869999999999997</v>
      </c>
      <c r="V59" s="38">
        <v>28.83</v>
      </c>
      <c r="W59" s="38">
        <v>20.27</v>
      </c>
      <c r="X59" s="38">
        <v>36.86</v>
      </c>
      <c r="Y59" s="38" t="s">
        <v>124</v>
      </c>
      <c r="Z59" s="38" t="s">
        <v>124</v>
      </c>
      <c r="AB59" s="30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 x14ac:dyDescent="0.25">
      <c r="A60" s="29">
        <v>1</v>
      </c>
      <c r="C60" s="24" t="str">
        <f>"    Market Cap"</f>
        <v xml:space="preserve">    Market Cap</v>
      </c>
      <c r="D60" s="32">
        <f t="shared" si="32"/>
        <v>54199072.288499996</v>
      </c>
      <c r="E60" s="32">
        <f t="shared" si="33"/>
        <v>54457711.530999996</v>
      </c>
      <c r="F60" s="32">
        <f t="shared" si="34"/>
        <v>31713669.247000001</v>
      </c>
      <c r="G60" s="32">
        <f t="shared" si="35"/>
        <v>85122569.037</v>
      </c>
      <c r="H60" s="32">
        <f t="shared" si="36"/>
        <v>51022985.218500003</v>
      </c>
      <c r="I60" s="32">
        <f t="shared" si="37"/>
        <v>57131143.116999999</v>
      </c>
      <c r="J60" s="32">
        <f t="shared" si="38"/>
        <v>12265820.684378715</v>
      </c>
      <c r="K60" s="33">
        <f t="shared" si="39"/>
        <v>0.22523569829768572</v>
      </c>
      <c r="L60" s="37"/>
      <c r="M60" s="37">
        <v>85122569.037</v>
      </c>
      <c r="N60" s="37">
        <v>59599648.464000002</v>
      </c>
      <c r="O60" s="37">
        <v>52293496.450000003</v>
      </c>
      <c r="P60" s="37">
        <v>47211451.523999996</v>
      </c>
      <c r="Q60" s="37">
        <v>58222505.884000003</v>
      </c>
      <c r="R60" s="37">
        <v>53108144.577</v>
      </c>
      <c r="S60" s="37">
        <v>52925576.708999999</v>
      </c>
      <c r="T60" s="37">
        <v>56089767.379000001</v>
      </c>
      <c r="U60" s="37">
        <v>56767355.527999997</v>
      </c>
      <c r="V60" s="37">
        <v>45148353.572999999</v>
      </c>
      <c r="W60" s="37">
        <v>31713669.247000001</v>
      </c>
      <c r="X60" s="37">
        <v>55290000</v>
      </c>
      <c r="Y60" s="37" t="s">
        <v>124</v>
      </c>
      <c r="Z60" s="37" t="s">
        <v>124</v>
      </c>
      <c r="AB60" s="30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 x14ac:dyDescent="0.25">
      <c r="A61" s="29">
        <v>1</v>
      </c>
      <c r="C61" s="24" t="str">
        <f>"    EV"</f>
        <v xml:space="preserve">    EV</v>
      </c>
      <c r="D61" s="32">
        <f t="shared" si="32"/>
        <v>97881360.643000007</v>
      </c>
      <c r="E61" s="32">
        <f t="shared" si="33"/>
        <v>97674628.19766666</v>
      </c>
      <c r="F61" s="32">
        <f t="shared" si="34"/>
        <v>22664669.247000001</v>
      </c>
      <c r="G61" s="32">
        <f t="shared" si="35"/>
        <v>177281569.037</v>
      </c>
      <c r="H61" s="32">
        <f t="shared" si="36"/>
        <v>64351016.645999998</v>
      </c>
      <c r="I61" s="32">
        <f t="shared" si="37"/>
        <v>131712753.5255</v>
      </c>
      <c r="J61" s="32">
        <f t="shared" si="38"/>
        <v>47023880.70160573</v>
      </c>
      <c r="K61" s="33">
        <f t="shared" si="39"/>
        <v>0.48143393601091872</v>
      </c>
      <c r="L61" s="37"/>
      <c r="M61" s="37">
        <v>177281569.037</v>
      </c>
      <c r="N61" s="37">
        <v>145882648.46399999</v>
      </c>
      <c r="O61" s="37">
        <v>134200496.45</v>
      </c>
      <c r="P61" s="37">
        <v>128047451.524</v>
      </c>
      <c r="Q61" s="37">
        <v>130883505.884</v>
      </c>
      <c r="R61" s="37">
        <v>108399144.57700001</v>
      </c>
      <c r="S61" s="37">
        <v>87363576.709000006</v>
      </c>
      <c r="T61" s="37">
        <v>73234767.378999993</v>
      </c>
      <c r="U61" s="37">
        <v>68867355.527999997</v>
      </c>
      <c r="V61" s="37">
        <v>44468353.572999999</v>
      </c>
      <c r="W61" s="37">
        <v>22664669.247000001</v>
      </c>
      <c r="X61" s="37">
        <v>50802000</v>
      </c>
      <c r="Y61" s="37" t="s">
        <v>124</v>
      </c>
      <c r="Z61" s="37" t="s">
        <v>124</v>
      </c>
      <c r="AB61" s="30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 x14ac:dyDescent="0.25">
      <c r="A62" s="29">
        <v>1</v>
      </c>
      <c r="C62" s="24" t="str">
        <f>"    EV to Revenue"</f>
        <v xml:space="preserve">    EV to Revenue</v>
      </c>
      <c r="D62" s="34">
        <f t="shared" si="32"/>
        <v>0.62111014790876895</v>
      </c>
      <c r="E62" s="34">
        <f t="shared" si="33"/>
        <v>0.68767226214606414</v>
      </c>
      <c r="F62" s="34">
        <f t="shared" si="34"/>
        <v>0.15194055861176659</v>
      </c>
      <c r="G62" s="34">
        <f t="shared" si="35"/>
        <v>1.3539352138951259</v>
      </c>
      <c r="H62" s="34">
        <f t="shared" si="36"/>
        <v>0.42851857992012649</v>
      </c>
      <c r="I62" s="34">
        <f t="shared" si="37"/>
        <v>0.88782141215251609</v>
      </c>
      <c r="J62" s="34">
        <f t="shared" si="38"/>
        <v>0.37606933277920451</v>
      </c>
      <c r="K62" s="33">
        <f t="shared" si="39"/>
        <v>0.546872912403912</v>
      </c>
      <c r="L62" s="39"/>
      <c r="M62" s="39">
        <v>1.3539352138951259</v>
      </c>
      <c r="N62" s="39">
        <v>1.2598572319915711</v>
      </c>
      <c r="O62" s="39">
        <v>0.92673500759616045</v>
      </c>
      <c r="P62" s="39">
        <v>0.87485021367130122</v>
      </c>
      <c r="Q62" s="39">
        <v>0.86226130590087691</v>
      </c>
      <c r="R62" s="39">
        <v>0.6687878715041059</v>
      </c>
      <c r="S62" s="39">
        <v>0.573432424313432</v>
      </c>
      <c r="T62" s="39">
        <v>0.4670674016658482</v>
      </c>
      <c r="U62" s="39">
        <v>0.44646873255580261</v>
      </c>
      <c r="V62" s="39">
        <v>0.2920630620336801</v>
      </c>
      <c r="W62" s="39">
        <v>0.15194055861176659</v>
      </c>
      <c r="X62" s="39">
        <v>0.37466812201309813</v>
      </c>
      <c r="Y62" s="39" t="s">
        <v>124</v>
      </c>
      <c r="Z62" s="39" t="s">
        <v>124</v>
      </c>
      <c r="AB62" s="3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 x14ac:dyDescent="0.25">
      <c r="A63" s="29">
        <v>1</v>
      </c>
      <c r="C63" s="24" t="str">
        <f>"    EV to EBIT (Analyst Normalized)"</f>
        <v xml:space="preserve">    EV to EBIT (Analyst Normalized)</v>
      </c>
      <c r="D63" s="34">
        <f t="shared" si="32"/>
        <v>10.122229743576806</v>
      </c>
      <c r="E63" s="34">
        <f t="shared" si="33"/>
        <v>11.248243375300275</v>
      </c>
      <c r="F63" s="34">
        <f t="shared" si="34"/>
        <v>5.575564390405904</v>
      </c>
      <c r="G63" s="34">
        <f t="shared" si="35"/>
        <v>26.453797680862152</v>
      </c>
      <c r="H63" s="34">
        <f t="shared" si="36"/>
        <v>8.2586623857230013</v>
      </c>
      <c r="I63" s="34">
        <f t="shared" si="37"/>
        <v>12.149628623500698</v>
      </c>
      <c r="J63" s="34">
        <f t="shared" si="38"/>
        <v>5.8030645790079873</v>
      </c>
      <c r="K63" s="33">
        <f t="shared" si="39"/>
        <v>0.51590851881377198</v>
      </c>
      <c r="L63" s="39"/>
      <c r="M63" s="39">
        <v>12.87728401518123</v>
      </c>
      <c r="N63" s="39">
        <v>26.453797680862152</v>
      </c>
      <c r="O63" s="39">
        <v>10.059253163181172</v>
      </c>
      <c r="P63" s="39">
        <v>12.635430385237813</v>
      </c>
      <c r="Q63" s="39">
        <v>10.692223338289356</v>
      </c>
      <c r="R63" s="39">
        <v>8.1990602279661609</v>
      </c>
      <c r="S63" s="39">
        <v>7.3671453689130191</v>
      </c>
      <c r="T63" s="39">
        <v>10.185206323972439</v>
      </c>
      <c r="U63" s="39" t="s">
        <v>124</v>
      </c>
      <c r="V63" s="39" t="s">
        <v>124</v>
      </c>
      <c r="W63" s="39">
        <v>5.575564390405904</v>
      </c>
      <c r="X63" s="39">
        <v>8.4374688589935225</v>
      </c>
      <c r="Y63" s="39" t="s">
        <v>124</v>
      </c>
      <c r="Z63" s="39" t="s">
        <v>124</v>
      </c>
      <c r="AB63" s="30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 x14ac:dyDescent="0.25">
      <c r="A64" s="29">
        <v>1</v>
      </c>
      <c r="C64" s="24" t="str">
        <f>"    EV to EBITDA (Analyst Normalized)"</f>
        <v xml:space="preserve">    EV to EBITDA (Analyst Normalized)</v>
      </c>
      <c r="D64" s="34">
        <f t="shared" si="32"/>
        <v>5.575564390405904</v>
      </c>
      <c r="E64" s="34">
        <f t="shared" si="33"/>
        <v>6.4050731870871607</v>
      </c>
      <c r="F64" s="34">
        <f t="shared" si="34"/>
        <v>3.9247527812113723</v>
      </c>
      <c r="G64" s="34">
        <f t="shared" si="35"/>
        <v>10.185206323972439</v>
      </c>
      <c r="H64" s="34">
        <f t="shared" si="36"/>
        <v>5.118918669570248</v>
      </c>
      <c r="I64" s="34">
        <f t="shared" si="37"/>
        <v>7.6187700631116337</v>
      </c>
      <c r="J64" s="34">
        <f t="shared" si="38"/>
        <v>1.8592124145536169</v>
      </c>
      <c r="K64" s="33">
        <f t="shared" si="39"/>
        <v>0.29027184549613744</v>
      </c>
      <c r="L64" s="39"/>
      <c r="M64" s="39">
        <v>6.8287650335888452</v>
      </c>
      <c r="N64" s="39">
        <v>7.8703947573102484</v>
      </c>
      <c r="O64" s="39">
        <v>4.8240589686904629</v>
      </c>
      <c r="P64" s="39">
        <v>5.4875911341390244</v>
      </c>
      <c r="Q64" s="39">
        <v>5.4137783704500331</v>
      </c>
      <c r="R64" s="39">
        <v>8.1990602279661609</v>
      </c>
      <c r="S64" s="39">
        <v>7.3671453689130191</v>
      </c>
      <c r="T64" s="39">
        <v>10.185206323972439</v>
      </c>
      <c r="U64" s="39" t="s">
        <v>124</v>
      </c>
      <c r="V64" s="39">
        <v>4.7794877013112638</v>
      </c>
      <c r="W64" s="39">
        <v>5.575564390405904</v>
      </c>
      <c r="X64" s="39">
        <v>3.9247527812113723</v>
      </c>
      <c r="Y64" s="39" t="s">
        <v>124</v>
      </c>
      <c r="Z64" s="39" t="s">
        <v>124</v>
      </c>
      <c r="AB64" s="30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 x14ac:dyDescent="0.25">
      <c r="A65" s="29">
        <v>1</v>
      </c>
      <c r="C65" s="24" t="str">
        <f>"    Price to Earnings (Analyst Normalized)"</f>
        <v xml:space="preserve">    Price to Earnings (Analyst Normalized)</v>
      </c>
      <c r="D65" s="34">
        <f t="shared" si="32"/>
        <v>7.3358289461481574</v>
      </c>
      <c r="E65" s="34">
        <f t="shared" si="33"/>
        <v>8.9580858550583198</v>
      </c>
      <c r="F65" s="34">
        <f t="shared" si="34"/>
        <v>4.9482248520710055</v>
      </c>
      <c r="G65" s="34">
        <f t="shared" si="35"/>
        <v>15.308823529411766</v>
      </c>
      <c r="H65" s="34">
        <f t="shared" si="36"/>
        <v>6.1812255061432086</v>
      </c>
      <c r="I65" s="34">
        <f t="shared" si="37"/>
        <v>12.249346450649124</v>
      </c>
      <c r="J65" s="34">
        <f t="shared" si="38"/>
        <v>3.710274272417196</v>
      </c>
      <c r="K65" s="33">
        <f t="shared" si="39"/>
        <v>0.41418159330568738</v>
      </c>
      <c r="L65" s="39"/>
      <c r="M65" s="39">
        <v>7.6447983881640837</v>
      </c>
      <c r="N65" s="39">
        <v>15.308823529411766</v>
      </c>
      <c r="O65" s="39">
        <v>5.9034219524068066</v>
      </c>
      <c r="P65" s="39">
        <v>4.9482248520710055</v>
      </c>
      <c r="Q65" s="39">
        <v>6.4853110631432607</v>
      </c>
      <c r="R65" s="39">
        <v>5.6556945002916317</v>
      </c>
      <c r="S65" s="39">
        <v>7.026859504132231</v>
      </c>
      <c r="T65" s="39">
        <v>13.972159741288911</v>
      </c>
      <c r="U65" s="39">
        <v>13.760053222148601</v>
      </c>
      <c r="V65" s="39">
        <v>8.7720792901035836</v>
      </c>
      <c r="W65" s="39">
        <v>6.2738266907220099</v>
      </c>
      <c r="X65" s="39">
        <v>11.745777526815965</v>
      </c>
      <c r="Y65" s="39" t="s">
        <v>124</v>
      </c>
      <c r="Z65" s="39" t="s">
        <v>124</v>
      </c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 x14ac:dyDescent="0.25">
      <c r="A66" s="29">
        <v>1</v>
      </c>
      <c r="C66" s="24" t="str">
        <f>"    Forward Price to Earnings"</f>
        <v xml:space="preserve">    Forward Price to Earnings</v>
      </c>
      <c r="D66" s="34">
        <f t="shared" si="32"/>
        <v>6.4165630299604306</v>
      </c>
      <c r="E66" s="34">
        <f t="shared" si="33"/>
        <v>6.5985737366874666</v>
      </c>
      <c r="F66" s="34">
        <f t="shared" si="34"/>
        <v>5.5843071786310521</v>
      </c>
      <c r="G66" s="34">
        <f t="shared" si="35"/>
        <v>8.5591240875912415</v>
      </c>
      <c r="H66" s="34">
        <f t="shared" si="36"/>
        <v>5.7650514622248714</v>
      </c>
      <c r="I66" s="34">
        <f t="shared" si="37"/>
        <v>6.9043938732415766</v>
      </c>
      <c r="J66" s="34">
        <f t="shared" si="38"/>
        <v>1.1153646352302962</v>
      </c>
      <c r="K66" s="33">
        <f t="shared" si="39"/>
        <v>0.16903116942210872</v>
      </c>
      <c r="L66" s="39"/>
      <c r="M66" s="39">
        <v>8.5591240875912415</v>
      </c>
      <c r="N66" s="39">
        <v>6.8262295081967217</v>
      </c>
      <c r="O66" s="39">
        <v>5.6844364323917826</v>
      </c>
      <c r="P66" s="39">
        <v>5.5843071786310521</v>
      </c>
      <c r="Q66" s="39">
        <v>6.9304486615898613</v>
      </c>
      <c r="R66" s="39">
        <v>6.0068965517241386</v>
      </c>
      <c r="S66" s="39" t="s">
        <v>124</v>
      </c>
      <c r="T66" s="39" t="s">
        <v>124</v>
      </c>
      <c r="U66" s="39" t="s">
        <v>124</v>
      </c>
      <c r="V66" s="39" t="s">
        <v>124</v>
      </c>
      <c r="W66" s="39" t="s">
        <v>124</v>
      </c>
      <c r="X66" s="39" t="s">
        <v>124</v>
      </c>
      <c r="Y66" s="39" t="s">
        <v>124</v>
      </c>
      <c r="Z66" s="39" t="s">
        <v>124</v>
      </c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 x14ac:dyDescent="0.25">
      <c r="A67" s="29">
        <v>1</v>
      </c>
      <c r="C67" s="24" t="str">
        <f>"    Price to Book (PB)"</f>
        <v xml:space="preserve">    Price to Book (PB)</v>
      </c>
      <c r="D67" s="34">
        <f t="shared" si="32"/>
        <v>1.3793094910867016</v>
      </c>
      <c r="E67" s="34">
        <f t="shared" si="33"/>
        <v>1.4539398599536062</v>
      </c>
      <c r="F67" s="34">
        <f t="shared" si="34"/>
        <v>0.92305511779786331</v>
      </c>
      <c r="G67" s="34">
        <f t="shared" si="35"/>
        <v>2.1441331477094883</v>
      </c>
      <c r="H67" s="34">
        <f t="shared" si="36"/>
        <v>1.2160059808267649</v>
      </c>
      <c r="I67" s="34">
        <f t="shared" si="37"/>
        <v>1.584268478296857</v>
      </c>
      <c r="J67" s="34">
        <f t="shared" si="38"/>
        <v>0.34678275858496721</v>
      </c>
      <c r="K67" s="33">
        <f t="shared" si="39"/>
        <v>0.23851245029903281</v>
      </c>
      <c r="L67" s="39"/>
      <c r="M67" s="39">
        <v>1.6240997229916898</v>
      </c>
      <c r="N67" s="39">
        <v>1.3450543365404581</v>
      </c>
      <c r="O67" s="39">
        <v>1.1728439753288145</v>
      </c>
      <c r="P67" s="39">
        <v>1.2303933159927485</v>
      </c>
      <c r="Q67" s="39">
        <v>1.3584735932580547</v>
      </c>
      <c r="R67" s="39">
        <v>1.1686046511627908</v>
      </c>
      <c r="S67" s="39">
        <v>1.5709913967319129</v>
      </c>
      <c r="T67" s="39">
        <v>1.4001453889153483</v>
      </c>
      <c r="U67" s="39">
        <v>1.9857708058582633</v>
      </c>
      <c r="V67" s="39">
        <v>1.5237128671558426</v>
      </c>
      <c r="W67" s="39">
        <v>0.92305511779786331</v>
      </c>
      <c r="X67" s="39">
        <v>2.1441331477094883</v>
      </c>
      <c r="Y67" s="39" t="s">
        <v>124</v>
      </c>
      <c r="Z67" s="39" t="s">
        <v>124</v>
      </c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 x14ac:dyDescent="0.25">
      <c r="A68" s="29">
        <v>1</v>
      </c>
      <c r="C68" s="24" t="str">
        <f>"    Price to Cash Flow (PCF)"</f>
        <v xml:space="preserve">    Price to Cash Flow (PCF)</v>
      </c>
      <c r="D68" s="34">
        <f t="shared" si="32"/>
        <v>4.26888939174626</v>
      </c>
      <c r="E68" s="34">
        <f t="shared" si="33"/>
        <v>4.7106208351500403</v>
      </c>
      <c r="F68" s="34">
        <f t="shared" si="34"/>
        <v>2.6087364130434785</v>
      </c>
      <c r="G68" s="34">
        <f t="shared" si="35"/>
        <v>7.7279421636973913</v>
      </c>
      <c r="H68" s="34">
        <f t="shared" si="36"/>
        <v>3.5543122714864697</v>
      </c>
      <c r="I68" s="34">
        <f t="shared" si="37"/>
        <v>6.0907067391899634</v>
      </c>
      <c r="J68" s="34">
        <f t="shared" si="38"/>
        <v>1.6557837162076252</v>
      </c>
      <c r="K68" s="33">
        <f t="shared" si="39"/>
        <v>0.3515001045833242</v>
      </c>
      <c r="L68" s="39"/>
      <c r="M68" s="39">
        <v>4.0177849079582186</v>
      </c>
      <c r="N68" s="39">
        <v>4.06678159359305</v>
      </c>
      <c r="O68" s="39">
        <v>2.767241923603073</v>
      </c>
      <c r="P68" s="39">
        <v>2.6087364130434785</v>
      </c>
      <c r="Q68" s="39">
        <v>3.2199908069194119</v>
      </c>
      <c r="R68" s="39">
        <v>3.6657527596754891</v>
      </c>
      <c r="S68" s="39">
        <v>4.4709971898994691</v>
      </c>
      <c r="T68" s="39">
        <v>5.9264916599678452</v>
      </c>
      <c r="U68" s="39">
        <v>6.60342823336231</v>
      </c>
      <c r="V68" s="39">
        <v>4.8689503932244396</v>
      </c>
      <c r="W68" s="39">
        <v>6.5833519768563162</v>
      </c>
      <c r="X68" s="39">
        <v>7.7279421636973913</v>
      </c>
      <c r="Y68" s="39" t="s">
        <v>124</v>
      </c>
      <c r="Z68" s="39" t="s">
        <v>124</v>
      </c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 x14ac:dyDescent="0.25">
      <c r="A69" s="29">
        <v>1</v>
      </c>
      <c r="C69" s="24" t="str">
        <f>"    Price to Tangible Book Value"</f>
        <v xml:space="preserve">    Price to Tangible Book Value</v>
      </c>
      <c r="D69" s="34">
        <f t="shared" si="32"/>
        <v>1.6284726277402686</v>
      </c>
      <c r="E69" s="34">
        <f t="shared" si="33"/>
        <v>1.77277991274266</v>
      </c>
      <c r="F69" s="34">
        <f t="shared" si="34"/>
        <v>1.3348717743013334</v>
      </c>
      <c r="G69" s="34">
        <f t="shared" si="35"/>
        <v>2.7915304678733475</v>
      </c>
      <c r="H69" s="34">
        <f t="shared" si="36"/>
        <v>1.4662531533386611</v>
      </c>
      <c r="I69" s="34">
        <f t="shared" si="37"/>
        <v>1.8777211302963384</v>
      </c>
      <c r="J69" s="34">
        <f t="shared" si="38"/>
        <v>0.4613510447324875</v>
      </c>
      <c r="K69" s="33">
        <f t="shared" si="39"/>
        <v>0.26024157957585009</v>
      </c>
      <c r="L69" s="39"/>
      <c r="M69" s="39">
        <v>1.7939172650130548</v>
      </c>
      <c r="N69" s="39">
        <v>1.5302393952120956</v>
      </c>
      <c r="O69" s="39">
        <v>1.3348717743013334</v>
      </c>
      <c r="P69" s="39">
        <v>1.4449244060475164</v>
      </c>
      <c r="Q69" s="39">
        <v>1.5770150320151697</v>
      </c>
      <c r="R69" s="39">
        <v>1.3621435646145026</v>
      </c>
      <c r="S69" s="39">
        <v>1.9056557520574329</v>
      </c>
      <c r="T69" s="39">
        <v>1.6799302234653672</v>
      </c>
      <c r="U69" s="39">
        <v>2.7915304678733475</v>
      </c>
      <c r="V69" s="39">
        <v>2.3075712468267824</v>
      </c>
      <c r="W69" s="39" t="s">
        <v>124</v>
      </c>
      <c r="X69" s="39" t="s">
        <v>124</v>
      </c>
      <c r="Y69" s="39" t="s">
        <v>124</v>
      </c>
      <c r="Z69" s="39" t="s">
        <v>124</v>
      </c>
      <c r="AB69" s="30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 hidden="1" x14ac:dyDescent="0.25">
      <c r="A70" s="29">
        <v>1</v>
      </c>
      <c r="C70" s="26" t="str">
        <f>"Data Origination"</f>
        <v>Data Origination</v>
      </c>
      <c r="D70" s="44"/>
      <c r="E70" s="44"/>
      <c r="F70" s="44"/>
      <c r="G70" s="44"/>
      <c r="H70" s="44"/>
      <c r="I70" s="44"/>
      <c r="J70" s="44"/>
      <c r="K70" s="44"/>
      <c r="L70" s="44"/>
      <c r="M70" s="44" t="s">
        <v>124</v>
      </c>
      <c r="N70" s="44" t="s">
        <v>124</v>
      </c>
      <c r="O70" s="44" t="s">
        <v>124</v>
      </c>
      <c r="P70" s="44" t="s">
        <v>124</v>
      </c>
      <c r="Q70" s="44" t="s">
        <v>124</v>
      </c>
      <c r="R70" s="44" t="s">
        <v>124</v>
      </c>
      <c r="S70" s="44" t="s">
        <v>124</v>
      </c>
      <c r="T70" s="44" t="s">
        <v>124</v>
      </c>
      <c r="U70" s="44" t="s">
        <v>124</v>
      </c>
      <c r="V70" s="44" t="s">
        <v>124</v>
      </c>
      <c r="W70" s="44" t="s">
        <v>124</v>
      </c>
      <c r="X70" s="44" t="s">
        <v>124</v>
      </c>
      <c r="Y70" s="44" t="s">
        <v>124</v>
      </c>
      <c r="Z70" s="44" t="s">
        <v>124</v>
      </c>
      <c r="AB70" s="30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 hidden="1" x14ac:dyDescent="0.25">
      <c r="A71" s="29">
        <v>1</v>
      </c>
      <c r="C71" s="24" t="str">
        <f>"    Preliminary"</f>
        <v xml:space="preserve">    Preliminary</v>
      </c>
      <c r="D71" s="36"/>
      <c r="E71" s="36"/>
      <c r="F71" s="36"/>
      <c r="G71" s="36"/>
      <c r="H71" s="36"/>
      <c r="I71" s="36"/>
      <c r="J71" s="36"/>
      <c r="K71" s="36"/>
      <c r="L71" s="41"/>
      <c r="M71" s="41" t="s">
        <v>125</v>
      </c>
      <c r="N71" s="41" t="s">
        <v>125</v>
      </c>
      <c r="O71" s="41" t="s">
        <v>125</v>
      </c>
      <c r="P71" s="41" t="s">
        <v>125</v>
      </c>
      <c r="Q71" s="41" t="s">
        <v>125</v>
      </c>
      <c r="R71" s="41" t="s">
        <v>125</v>
      </c>
      <c r="S71" s="41" t="s">
        <v>125</v>
      </c>
      <c r="T71" s="41" t="s">
        <v>125</v>
      </c>
      <c r="U71" s="41" t="s">
        <v>125</v>
      </c>
      <c r="V71" s="41" t="s">
        <v>125</v>
      </c>
      <c r="W71" s="41" t="s">
        <v>125</v>
      </c>
      <c r="X71" s="41" t="s">
        <v>125</v>
      </c>
      <c r="Y71" s="41" t="s">
        <v>125</v>
      </c>
      <c r="Z71" s="41" t="s">
        <v>125</v>
      </c>
      <c r="AB71" s="30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 hidden="1" x14ac:dyDescent="0.25">
      <c r="A72" s="29">
        <v>1</v>
      </c>
      <c r="C72" s="24" t="str">
        <f>"    Original"</f>
        <v xml:space="preserve">    Original</v>
      </c>
      <c r="D72" s="36"/>
      <c r="E72" s="36"/>
      <c r="F72" s="36"/>
      <c r="G72" s="36"/>
      <c r="H72" s="36"/>
      <c r="I72" s="36"/>
      <c r="J72" s="36"/>
      <c r="K72" s="36"/>
      <c r="L72" s="41"/>
      <c r="M72" s="41" t="s">
        <v>125</v>
      </c>
      <c r="N72" s="41" t="s">
        <v>125</v>
      </c>
      <c r="O72" s="41" t="s">
        <v>125</v>
      </c>
      <c r="P72" s="41" t="s">
        <v>125</v>
      </c>
      <c r="Q72" s="41" t="s">
        <v>125</v>
      </c>
      <c r="R72" s="41" t="s">
        <v>125</v>
      </c>
      <c r="S72" s="41" t="s">
        <v>125</v>
      </c>
      <c r="T72" s="41" t="s">
        <v>125</v>
      </c>
      <c r="U72" s="41" t="s">
        <v>125</v>
      </c>
      <c r="V72" s="41" t="s">
        <v>125</v>
      </c>
      <c r="W72" s="41" t="s">
        <v>125</v>
      </c>
      <c r="X72" s="41" t="s">
        <v>125</v>
      </c>
      <c r="Y72" s="41" t="s">
        <v>125</v>
      </c>
      <c r="Z72" s="41" t="s">
        <v>125</v>
      </c>
      <c r="AB72" s="30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 hidden="1" x14ac:dyDescent="0.25">
      <c r="A73" s="29">
        <v>1</v>
      </c>
      <c r="C73" s="24" t="str">
        <f>"    Restated"</f>
        <v xml:space="preserve">    Restated</v>
      </c>
      <c r="D73" s="36"/>
      <c r="E73" s="36"/>
      <c r="F73" s="36"/>
      <c r="G73" s="36"/>
      <c r="H73" s="36"/>
      <c r="I73" s="36"/>
      <c r="J73" s="36"/>
      <c r="K73" s="36"/>
      <c r="L73" s="41"/>
      <c r="M73" s="41" t="s">
        <v>125</v>
      </c>
      <c r="N73" s="41" t="s">
        <v>125</v>
      </c>
      <c r="O73" s="41" t="s">
        <v>125</v>
      </c>
      <c r="P73" s="41" t="s">
        <v>125</v>
      </c>
      <c r="Q73" s="41" t="s">
        <v>125</v>
      </c>
      <c r="R73" s="41" t="s">
        <v>125</v>
      </c>
      <c r="S73" s="41" t="s">
        <v>125</v>
      </c>
      <c r="T73" s="41" t="s">
        <v>125</v>
      </c>
      <c r="U73" s="41" t="s">
        <v>125</v>
      </c>
      <c r="V73" s="41" t="s">
        <v>125</v>
      </c>
      <c r="W73" s="41" t="s">
        <v>125</v>
      </c>
      <c r="X73" s="41" t="s">
        <v>125</v>
      </c>
      <c r="Y73" s="41" t="s">
        <v>125</v>
      </c>
      <c r="Z73" s="41" t="s">
        <v>125</v>
      </c>
      <c r="AB73" s="30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 hidden="1" x14ac:dyDescent="0.25">
      <c r="A74" s="29">
        <v>1</v>
      </c>
      <c r="C74" s="24" t="str">
        <f>"    Calculated"</f>
        <v xml:space="preserve">    Calculated</v>
      </c>
      <c r="D74" s="36"/>
      <c r="E74" s="36"/>
      <c r="F74" s="36"/>
      <c r="G74" s="36"/>
      <c r="H74" s="36"/>
      <c r="I74" s="36"/>
      <c r="J74" s="36"/>
      <c r="K74" s="36"/>
      <c r="L74" s="41"/>
      <c r="M74" s="41" t="s">
        <v>125</v>
      </c>
      <c r="N74" s="41" t="s">
        <v>125</v>
      </c>
      <c r="O74" s="41" t="s">
        <v>125</v>
      </c>
      <c r="P74" s="41" t="s">
        <v>125</v>
      </c>
      <c r="Q74" s="41" t="s">
        <v>125</v>
      </c>
      <c r="R74" s="41" t="s">
        <v>125</v>
      </c>
      <c r="S74" s="41" t="s">
        <v>125</v>
      </c>
      <c r="T74" s="41" t="s">
        <v>125</v>
      </c>
      <c r="U74" s="41" t="s">
        <v>125</v>
      </c>
      <c r="V74" s="41" t="s">
        <v>125</v>
      </c>
      <c r="W74" s="41" t="s">
        <v>125</v>
      </c>
      <c r="X74" s="41" t="s">
        <v>125</v>
      </c>
      <c r="Y74" s="41" t="s">
        <v>125</v>
      </c>
      <c r="Z74" s="41" t="s">
        <v>125</v>
      </c>
      <c r="AB74" s="3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 x14ac:dyDescent="0.25">
      <c r="A75" s="29"/>
      <c r="AB75" s="30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 x14ac:dyDescent="0.25">
      <c r="A76" s="29"/>
      <c r="AB76" s="30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 x14ac:dyDescent="0.25">
      <c r="A77" s="29"/>
      <c r="C77" s="108" t="s">
        <v>89</v>
      </c>
      <c r="AB77" s="30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 x14ac:dyDescent="0.25">
      <c r="A78" s="29"/>
      <c r="C78" s="108" t="s">
        <v>11</v>
      </c>
      <c r="AB78" s="30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 x14ac:dyDescent="0.25">
      <c r="A79" s="29"/>
      <c r="AB79" s="30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 x14ac:dyDescent="0.25">
      <c r="A80" s="2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</sheetData>
  <conditionalFormatting sqref="D9:Z9 D21:Z21 D34:Z34 D44:Z44 D57:Z57 D69:Z69">
    <cfRule type="expression" dxfId="5" priority="1">
      <formula>NOT(SUBTOTAL(109,$A10)=$A10)</formula>
    </cfRule>
  </conditionalFormatting>
  <hyperlinks>
    <hyperlink ref="M4" r:id="rId1" xr:uid="{00000000-0004-0000-0100-000000000000}"/>
    <hyperlink ref="M9" r:id="rId2" xr:uid="{00000000-0004-0000-0100-000001000000}"/>
    <hyperlink ref="N4" r:id="rId3" xr:uid="{00000000-0004-0000-0100-000002000000}"/>
    <hyperlink ref="N9" r:id="rId4" xr:uid="{00000000-0004-0000-0100-000003000000}"/>
    <hyperlink ref="O4" r:id="rId5" xr:uid="{00000000-0004-0000-0100-000004000000}"/>
    <hyperlink ref="O9" r:id="rId6" xr:uid="{00000000-0004-0000-0100-000005000000}"/>
    <hyperlink ref="P4" r:id="rId7" xr:uid="{00000000-0004-0000-0100-000006000000}"/>
    <hyperlink ref="P9" r:id="rId8" xr:uid="{00000000-0004-0000-0100-000007000000}"/>
    <hyperlink ref="Q4" r:id="rId9" xr:uid="{00000000-0004-0000-0100-000008000000}"/>
    <hyperlink ref="Q9" r:id="rId10" xr:uid="{00000000-0004-0000-0100-000009000000}"/>
    <hyperlink ref="R4" r:id="rId11" xr:uid="{00000000-0004-0000-0100-00000A000000}"/>
    <hyperlink ref="R9" r:id="rId12" xr:uid="{00000000-0004-0000-0100-00000B000000}"/>
    <hyperlink ref="S4" r:id="rId13" xr:uid="{00000000-0004-0000-0100-00000C000000}"/>
    <hyperlink ref="S9" r:id="rId14" xr:uid="{00000000-0004-0000-0100-00000D000000}"/>
    <hyperlink ref="T4" r:id="rId15" xr:uid="{00000000-0004-0000-0100-00000E000000}"/>
    <hyperlink ref="T9" r:id="rId16" xr:uid="{00000000-0004-0000-0100-00000F000000}"/>
    <hyperlink ref="U4" r:id="rId17" xr:uid="{00000000-0004-0000-0100-000010000000}"/>
    <hyperlink ref="U9" r:id="rId18" xr:uid="{00000000-0004-0000-0100-000011000000}"/>
    <hyperlink ref="V4" r:id="rId19" xr:uid="{00000000-0004-0000-0100-000012000000}"/>
    <hyperlink ref="V9" r:id="rId20" xr:uid="{00000000-0004-0000-0100-000013000000}"/>
    <hyperlink ref="W4" r:id="rId21" xr:uid="{00000000-0004-0000-0100-000014000000}"/>
    <hyperlink ref="W9" r:id="rId22" xr:uid="{00000000-0004-0000-0100-000015000000}"/>
    <hyperlink ref="X4" r:id="rId23" xr:uid="{00000000-0004-0000-0100-000016000000}"/>
    <hyperlink ref="X9" r:id="rId24" xr:uid="{00000000-0004-0000-0100-000017000000}"/>
    <hyperlink ref="Y4" r:id="rId25" xr:uid="{00000000-0004-0000-0100-000018000000}"/>
    <hyperlink ref="Y9" r:id="rId26" xr:uid="{00000000-0004-0000-0100-000019000000}"/>
    <hyperlink ref="Z4" r:id="rId27" xr:uid="{00000000-0004-0000-0100-00001A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28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MK263"/>
  <sheetViews>
    <sheetView showGridLines="0" zoomScaleNormal="100" workbookViewId="0">
      <pane xSplit="3" ySplit="10" topLeftCell="D128" activePane="bottomRight" state="frozen"/>
      <selection pane="topRight" activeCell="D1" sqref="D1"/>
      <selection pane="bottomLeft" activeCell="A11" sqref="A11"/>
      <selection pane="bottomRight" activeCell="O10" sqref="O10"/>
    </sheetView>
  </sheetViews>
  <sheetFormatPr defaultColWidth="8.85546875" defaultRowHeight="15" outlineLevelRow="6" outlineLevelCol="1" x14ac:dyDescent="0.25"/>
  <cols>
    <col min="1" max="1" width="1" style="1" customWidth="1"/>
    <col min="2" max="2" width="2" style="1" customWidth="1"/>
    <col min="3" max="3" width="40" style="1" customWidth="1"/>
    <col min="4" max="10" width="12.5703125" style="1" hidden="1" customWidth="1" outlineLevel="1"/>
    <col min="11" max="11" width="10.5703125" style="1" hidden="1" customWidth="1" outlineLevel="1" collapsed="1"/>
    <col min="12" max="12" width="2.5703125" style="1" customWidth="1" collapsed="1"/>
    <col min="13" max="16" width="14.5703125" style="1" customWidth="1" collapsed="1"/>
    <col min="17" max="17" width="18" style="1" customWidth="1" collapsed="1"/>
    <col min="18" max="26" width="14.5703125" style="1" hidden="1" customWidth="1" collapsed="1"/>
    <col min="27" max="27" width="1.85546875" style="1" hidden="1" customWidth="1"/>
    <col min="28" max="1025" width="14.5703125" style="1" customWidth="1" collapsed="1"/>
  </cols>
  <sheetData>
    <row r="1" spans="1:49" ht="6.4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39.75" customHeight="1" x14ac:dyDescent="0.25">
      <c r="A2" s="29"/>
      <c r="AB2" s="30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 ht="18.75" customHeight="1" x14ac:dyDescent="0.25">
      <c r="A3" s="29"/>
      <c r="C3" s="6" t="s">
        <v>127</v>
      </c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21" x14ac:dyDescent="0.35">
      <c r="A4" s="29"/>
      <c r="C4" s="7" t="s">
        <v>94</v>
      </c>
      <c r="D4" s="42" t="s">
        <v>1</v>
      </c>
      <c r="E4" s="26"/>
      <c r="F4" s="26"/>
      <c r="G4" s="26"/>
      <c r="H4" s="26"/>
      <c r="I4" s="26"/>
      <c r="J4" s="26"/>
      <c r="K4" s="26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 x14ac:dyDescent="0.25">
      <c r="A5" s="29"/>
      <c r="C5" s="7" t="s">
        <v>95</v>
      </c>
      <c r="D5" s="147" t="s">
        <v>2</v>
      </c>
      <c r="E5" s="147" t="s">
        <v>3</v>
      </c>
      <c r="F5" s="147" t="s">
        <v>4</v>
      </c>
      <c r="G5" s="147" t="s">
        <v>5</v>
      </c>
      <c r="H5" s="147" t="s">
        <v>6</v>
      </c>
      <c r="I5" s="147" t="s">
        <v>7</v>
      </c>
      <c r="J5" s="147" t="s">
        <v>8</v>
      </c>
      <c r="K5" s="147" t="s">
        <v>9</v>
      </c>
      <c r="M5" s="48" t="s">
        <v>97</v>
      </c>
      <c r="N5" s="48" t="s">
        <v>100</v>
      </c>
      <c r="O5" s="48" t="s">
        <v>101</v>
      </c>
      <c r="P5" s="48" t="s">
        <v>102</v>
      </c>
      <c r="Q5" s="48" t="s">
        <v>104</v>
      </c>
      <c r="R5" s="48" t="s">
        <v>106</v>
      </c>
      <c r="S5" s="48" t="s">
        <v>108</v>
      </c>
      <c r="T5" s="48" t="s">
        <v>110</v>
      </c>
      <c r="U5" s="48" t="s">
        <v>112</v>
      </c>
      <c r="V5" s="48" t="s">
        <v>114</v>
      </c>
      <c r="W5" s="48" t="s">
        <v>116</v>
      </c>
      <c r="X5" s="48" t="s">
        <v>118</v>
      </c>
      <c r="Y5" s="48" t="s">
        <v>120</v>
      </c>
      <c r="Z5" s="48" t="s">
        <v>122</v>
      </c>
      <c r="AB5" s="3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 x14ac:dyDescent="0.25">
      <c r="A6" s="29"/>
      <c r="D6" s="147"/>
      <c r="E6" s="147"/>
      <c r="F6" s="147"/>
      <c r="G6" s="147"/>
      <c r="H6" s="147"/>
      <c r="I6" s="147"/>
      <c r="J6" s="147"/>
      <c r="K6" s="147"/>
      <c r="AB6" s="3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 ht="24" x14ac:dyDescent="0.25">
      <c r="A7" s="29"/>
      <c r="C7" s="8" t="s">
        <v>96</v>
      </c>
      <c r="D7" s="26"/>
      <c r="E7" s="26"/>
      <c r="F7" s="26"/>
      <c r="G7" s="26"/>
      <c r="H7" s="26"/>
      <c r="I7" s="26"/>
      <c r="J7" s="26"/>
      <c r="K7" s="26"/>
      <c r="AB7" s="3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 x14ac:dyDescent="0.25">
      <c r="A8" s="29"/>
      <c r="D8" s="26"/>
      <c r="E8" s="26"/>
      <c r="F8" s="26"/>
      <c r="G8" s="26"/>
      <c r="H8" s="26"/>
      <c r="I8" s="26"/>
      <c r="J8" s="26"/>
      <c r="K8" s="26"/>
      <c r="AB8" s="3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 x14ac:dyDescent="0.25">
      <c r="A9" s="29"/>
      <c r="D9" s="26"/>
      <c r="E9" s="26"/>
      <c r="F9" s="26"/>
      <c r="G9" s="26"/>
      <c r="H9" s="26"/>
      <c r="I9" s="26"/>
      <c r="J9" s="26"/>
      <c r="K9" s="26"/>
      <c r="M9" s="49" t="s">
        <v>98</v>
      </c>
      <c r="N9" s="49" t="s">
        <v>98</v>
      </c>
      <c r="O9" s="49" t="s">
        <v>103</v>
      </c>
      <c r="P9" s="49" t="s">
        <v>105</v>
      </c>
      <c r="Q9" s="49" t="s">
        <v>107</v>
      </c>
      <c r="R9" s="49" t="s">
        <v>109</v>
      </c>
      <c r="S9" s="49" t="s">
        <v>111</v>
      </c>
      <c r="T9" s="49" t="s">
        <v>113</v>
      </c>
      <c r="U9" s="49" t="s">
        <v>128</v>
      </c>
      <c r="V9" s="49" t="s">
        <v>115</v>
      </c>
      <c r="W9" s="49" t="s">
        <v>117</v>
      </c>
      <c r="X9" s="49" t="s">
        <v>119</v>
      </c>
      <c r="Y9" s="49" t="s">
        <v>121</v>
      </c>
      <c r="Z9" s="49" t="s">
        <v>123</v>
      </c>
      <c r="AB9" s="3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 x14ac:dyDescent="0.25">
      <c r="A10" s="29"/>
      <c r="D10" s="26"/>
      <c r="E10" s="26"/>
      <c r="F10" s="26"/>
      <c r="G10" s="26"/>
      <c r="H10" s="26"/>
      <c r="I10" s="26"/>
      <c r="J10" s="26"/>
      <c r="K10" s="26"/>
      <c r="M10" s="50" t="s">
        <v>99</v>
      </c>
      <c r="N10" s="50" t="s">
        <v>99</v>
      </c>
      <c r="O10" s="50" t="s">
        <v>99</v>
      </c>
      <c r="P10" s="50" t="s">
        <v>99</v>
      </c>
      <c r="Q10" s="50" t="s">
        <v>99</v>
      </c>
      <c r="R10" s="50" t="s">
        <v>99</v>
      </c>
      <c r="S10" s="50" t="s">
        <v>99</v>
      </c>
      <c r="T10" s="50" t="s">
        <v>99</v>
      </c>
      <c r="U10" s="50" t="s">
        <v>99</v>
      </c>
      <c r="V10" s="50" t="s">
        <v>99</v>
      </c>
      <c r="W10" s="50" t="s">
        <v>99</v>
      </c>
      <c r="X10" s="50" t="s">
        <v>99</v>
      </c>
      <c r="Y10" s="50" t="s">
        <v>99</v>
      </c>
      <c r="AB10" s="3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 x14ac:dyDescent="0.25">
      <c r="A11" s="29">
        <v>1</v>
      </c>
      <c r="C11" s="26" t="str">
        <f>IF(SUBTOTAL(109,A11)=A11,"Assets","Total Assets")</f>
        <v>Assets</v>
      </c>
      <c r="D11" s="43" t="str">
        <f t="shared" ref="D11:D42" si="0">IF(COUNT(M11:Z11)&gt;0,MEDIAN(M11:Z11),"")</f>
        <v/>
      </c>
      <c r="E11" s="43" t="str">
        <f t="shared" ref="E11:E42" si="1">IF(COUNT(M11:Z11)&gt;0,AVERAGE(M11:Z11),"")</f>
        <v/>
      </c>
      <c r="F11" s="43" t="str">
        <f t="shared" ref="F11:F42" si="2">IF(COUNT(M11:Z11)&gt;0,MIN(M11:Z11),"")</f>
        <v/>
      </c>
      <c r="G11" s="43" t="str">
        <f t="shared" ref="G11:G42" si="3">IF(COUNT(M11:Z11)&gt;0,MAX(M11:Z11),"")</f>
        <v/>
      </c>
      <c r="H11" s="43" t="str">
        <f t="shared" ref="H11:H42" si="4">IF(COUNT(M11:Z11)&gt;0,QUARTILE(M11:Z11,1),"")</f>
        <v/>
      </c>
      <c r="I11" s="43" t="str">
        <f t="shared" ref="I11:I42" si="5">IF(COUNT(M11:Z11)&gt;0,QUARTILE(M11:Z11,3),"")</f>
        <v/>
      </c>
      <c r="J11" s="43" t="str">
        <f t="shared" ref="J11:J42" si="6">IF(COUNT(M11:Z11)&gt;1,STDEV(M11:Z11),"")</f>
        <v/>
      </c>
      <c r="K11" s="44" t="str">
        <f t="shared" ref="K11:K42" si="7">IF(COUNT(M11:Z11)&gt;1,STDEV(M11:Z11)/AVERAGE(M11:Z11),"")</f>
        <v/>
      </c>
      <c r="L11" s="43"/>
      <c r="M11" s="43" t="str">
        <f>IF(SUBTOTAL(109,A11)=A11,"",244718000)</f>
        <v/>
      </c>
      <c r="N11" s="43" t="str">
        <f>IF(SUBTOTAL(109,A11)=A11,"",235194000)</f>
        <v/>
      </c>
      <c r="O11" s="43" t="str">
        <f>IF(SUBTOTAL(109,A11)=A11,"",228037000)</f>
        <v/>
      </c>
      <c r="P11" s="43" t="str">
        <f>IF(SUBTOTAL(109,A11)=A11,"",227339000)</f>
        <v/>
      </c>
      <c r="Q11" s="43" t="str">
        <f>IF(SUBTOTAL(109,A11)=A11,"",212482000)</f>
        <v/>
      </c>
      <c r="R11" s="43" t="str">
        <f>IF(SUBTOTAL(109,A11)=A11,"",221690000)</f>
        <v/>
      </c>
      <c r="S11" s="43" t="str">
        <f>IF(SUBTOTAL(109,A11)=A11,"",194338000)</f>
        <v/>
      </c>
      <c r="T11" s="43" t="str">
        <f>IF(SUBTOTAL(109,A11)=A11,"",177501000)</f>
        <v/>
      </c>
      <c r="U11" s="43" t="str">
        <f>IF(SUBTOTAL(109,A11)=A11,"",166344000)</f>
        <v/>
      </c>
      <c r="V11" s="43" t="str">
        <f>IF(SUBTOTAL(109,A11)=A11,"",149422000)</f>
        <v/>
      </c>
      <c r="W11" s="43" t="str">
        <f>IF(SUBTOTAL(109,A11)=A11,"",144603000)</f>
        <v/>
      </c>
      <c r="X11" s="43" t="str">
        <f>IF(SUBTOTAL(109,A11)=A11,"",138898000)</f>
        <v/>
      </c>
      <c r="Y11" s="43" t="str">
        <f>IF(SUBTOTAL(109,A11)=A11,"",136295000)</f>
        <v/>
      </c>
      <c r="Z11" s="43" t="str">
        <f>IF(SUBTOTAL(109,A11)=A11,"",91039000)</f>
        <v/>
      </c>
      <c r="AB11" s="3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outlineLevel="1" x14ac:dyDescent="0.25">
      <c r="A12" s="29">
        <v>1</v>
      </c>
      <c r="C12" s="24" t="str">
        <f>IF(SUBTOTAL(109,A12)=A12,"    Current Assets","    Total Current Assets")</f>
        <v xml:space="preserve">    Current Assets</v>
      </c>
      <c r="D12" s="32" t="str">
        <f t="shared" si="0"/>
        <v/>
      </c>
      <c r="E12" s="32" t="str">
        <f t="shared" si="1"/>
        <v/>
      </c>
      <c r="F12" s="32" t="str">
        <f t="shared" si="2"/>
        <v/>
      </c>
      <c r="G12" s="32" t="str">
        <f t="shared" si="3"/>
        <v/>
      </c>
      <c r="H12" s="32" t="str">
        <f t="shared" si="4"/>
        <v/>
      </c>
      <c r="I12" s="32" t="str">
        <f t="shared" si="5"/>
        <v/>
      </c>
      <c r="J12" s="32" t="str">
        <f t="shared" si="6"/>
        <v/>
      </c>
      <c r="K12" s="33" t="str">
        <f t="shared" si="7"/>
        <v/>
      </c>
      <c r="L12" s="37"/>
      <c r="M12" s="37" t="str">
        <f>IF(SUBTOTAL(109,A12)=A12,"",82103000)</f>
        <v/>
      </c>
      <c r="N12" s="37" t="str">
        <f>IF(SUBTOTAL(109,A12)=A12,"",80924000)</f>
        <v/>
      </c>
      <c r="O12" s="37" t="str">
        <f>IF(SUBTOTAL(109,A12)=A12,"",74992000)</f>
        <v/>
      </c>
      <c r="P12" s="37" t="str">
        <f>IF(SUBTOTAL(109,A12)=A12,"",75293000)</f>
        <v/>
      </c>
      <c r="Q12" s="37" t="str">
        <f>IF(SUBTOTAL(109,A12)=A12,"",68744000)</f>
        <v/>
      </c>
      <c r="R12" s="37" t="str">
        <f>IF(SUBTOTAL(109,A12)=A12,"",76203000)</f>
        <v/>
      </c>
      <c r="S12" s="37" t="str">
        <f>IF(SUBTOTAL(109,A12)=A12,"",69408000)</f>
        <v/>
      </c>
      <c r="T12" s="37" t="str">
        <f>IF(SUBTOTAL(109,A12)=A12,"",83626000)</f>
        <v/>
      </c>
      <c r="U12" s="37" t="str">
        <f>IF(SUBTOTAL(109,A12)=A12,"",81501000)</f>
        <v/>
      </c>
      <c r="V12" s="37" t="str">
        <f>IF(SUBTOTAL(109,A12)=A12,"",69996000)</f>
        <v/>
      </c>
      <c r="W12" s="37" t="str">
        <f>IF(SUBTOTAL(109,A12)=A12,"",64923000)</f>
        <v/>
      </c>
      <c r="X12" s="37" t="str">
        <f>IF(SUBTOTAL(109,A12)=A12,"",53053000)</f>
        <v/>
      </c>
      <c r="Y12" s="37" t="str">
        <f>IF(SUBTOTAL(109,A12)=A12,"",59247000)</f>
        <v/>
      </c>
      <c r="Z12" s="37" t="str">
        <f>IF(SUBTOTAL(109,A12)=A12,"",44267000)</f>
        <v/>
      </c>
      <c r="AB12" s="30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outlineLevel="2" x14ac:dyDescent="0.25">
      <c r="A13" s="29">
        <v>1</v>
      </c>
      <c r="C13" s="24" t="str">
        <f>IF(SUBTOTAL(109,A13)=A13,"        Cash, Cash Equivalents and Short Term Investments","        Cash, Cash Equivalents and Short Term Investments")</f>
        <v xml:space="preserve">        Cash, Cash Equivalents and Short Term Investments</v>
      </c>
      <c r="D13" s="32" t="str">
        <f t="shared" si="0"/>
        <v/>
      </c>
      <c r="E13" s="32" t="str">
        <f t="shared" si="1"/>
        <v/>
      </c>
      <c r="F13" s="32" t="str">
        <f t="shared" si="2"/>
        <v/>
      </c>
      <c r="G13" s="32" t="str">
        <f t="shared" si="3"/>
        <v/>
      </c>
      <c r="H13" s="32" t="str">
        <f t="shared" si="4"/>
        <v/>
      </c>
      <c r="I13" s="32" t="str">
        <f t="shared" si="5"/>
        <v/>
      </c>
      <c r="J13" s="32" t="str">
        <f t="shared" si="6"/>
        <v/>
      </c>
      <c r="K13" s="33" t="str">
        <f t="shared" si="7"/>
        <v/>
      </c>
      <c r="L13" s="37"/>
      <c r="M13" s="37" t="str">
        <f>IF(SUBTOTAL(109,A13)=A13,"",28676000)</f>
        <v/>
      </c>
      <c r="N13" s="37" t="str">
        <f>IF(SUBTOTAL(109,A13)=A13,"",29038000)</f>
        <v/>
      </c>
      <c r="O13" s="37" t="str">
        <f>IF(SUBTOTAL(109,A13)=A13,"",23243000)</f>
        <v/>
      </c>
      <c r="P13" s="37" t="str">
        <f>IF(SUBTOTAL(109,A13)=A13,"",26810000)</f>
        <v/>
      </c>
      <c r="Q13" s="37" t="str">
        <f>IF(SUBTOTAL(109,A13)=A13,"",23825000)</f>
        <v/>
      </c>
      <c r="R13" s="37" t="str">
        <f>IF(SUBTOTAL(109,A13)=A13,"",24415000)</f>
        <v/>
      </c>
      <c r="S13" s="37" t="str">
        <f>IF(SUBTOTAL(109,A13)=A13,"",23401000)</f>
        <v/>
      </c>
      <c r="T13" s="37" t="str">
        <f>IF(SUBTOTAL(109,A13)=A13,"",28176000)</f>
        <v/>
      </c>
      <c r="U13" s="37" t="str">
        <f>IF(SUBTOTAL(109,A13)=A13,"",28993000)</f>
        <v/>
      </c>
      <c r="V13" s="37" t="str">
        <f>IF(SUBTOTAL(109,A13)=A13,"",27410000)</f>
        <v/>
      </c>
      <c r="W13" s="37" t="str">
        <f>IF(SUBTOTAL(109,A13)=A13,"",32219000)</f>
        <v/>
      </c>
      <c r="X13" s="37" t="str">
        <f>IF(SUBTOTAL(109,A13)=A13,"",26616000)</f>
        <v/>
      </c>
      <c r="Y13" s="37" t="str">
        <f>IF(SUBTOTAL(109,A13)=A13,"",22813000)</f>
        <v/>
      </c>
      <c r="Z13" s="37" t="str">
        <f>IF(SUBTOTAL(109,A13)=A13,"",14194000)</f>
        <v/>
      </c>
      <c r="AB13" s="30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 outlineLevel="3" collapsed="1" x14ac:dyDescent="0.25">
      <c r="A14" s="29">
        <v>1</v>
      </c>
      <c r="C14" s="24" t="str">
        <f>IF(SUBTOTAL(109,A14)=A14,"            Cash and Cash Equivalents","            Cash and Cash Equivalents")</f>
        <v xml:space="preserve">            Cash and Cash Equivalents</v>
      </c>
      <c r="D14" s="32" t="str">
        <f t="shared" si="0"/>
        <v/>
      </c>
      <c r="E14" s="32" t="str">
        <f t="shared" si="1"/>
        <v/>
      </c>
      <c r="F14" s="32" t="str">
        <f t="shared" si="2"/>
        <v/>
      </c>
      <c r="G14" s="32" t="str">
        <f t="shared" si="3"/>
        <v/>
      </c>
      <c r="H14" s="32" t="str">
        <f t="shared" si="4"/>
        <v/>
      </c>
      <c r="I14" s="32" t="str">
        <f t="shared" si="5"/>
        <v/>
      </c>
      <c r="J14" s="32" t="str">
        <f t="shared" si="6"/>
        <v/>
      </c>
      <c r="K14" s="33" t="str">
        <f t="shared" si="7"/>
        <v/>
      </c>
      <c r="L14" s="37"/>
      <c r="M14" s="37" t="str">
        <f>IF(SUBTOTAL(109,A14)=A14,"",20067000)</f>
        <v/>
      </c>
      <c r="N14" s="37" t="str">
        <f>IF(SUBTOTAL(109,A14)=A14,"",19992000)</f>
        <v/>
      </c>
      <c r="O14" s="37" t="str">
        <f>IF(SUBTOTAL(109,A14)=A14,"",19069000)</f>
        <v/>
      </c>
      <c r="P14" s="37" t="str">
        <f>IF(SUBTOTAL(109,A14)=A14,"",20844000)</f>
        <v/>
      </c>
      <c r="Q14" s="37" t="str">
        <f>IF(SUBTOTAL(109,A14)=A14,"",15512000)</f>
        <v/>
      </c>
      <c r="R14" s="37" t="str">
        <f>IF(SUBTOTAL(109,A14)=A14,"",12574000)</f>
        <v/>
      </c>
      <c r="S14" s="37" t="str">
        <f>IF(SUBTOTAL(109,A14)=A14,"",15238000)</f>
        <v/>
      </c>
      <c r="T14" s="37" t="str">
        <f>IF(SUBTOTAL(109,A14)=A14,"",18954000)</f>
        <v/>
      </c>
      <c r="U14" s="37" t="str">
        <f>IF(SUBTOTAL(109,A14)=A14,"",20021000)</f>
        <v/>
      </c>
      <c r="V14" s="37" t="str">
        <f>IF(SUBTOTAL(109,A14)=A14,"",18422000)</f>
        <v/>
      </c>
      <c r="W14" s="37" t="str">
        <f>IF(SUBTOTAL(109,A14)=A14,"",16071000)</f>
        <v/>
      </c>
      <c r="X14" s="37" t="str">
        <f>IF(SUBTOTAL(109,A14)=A14,"",21061000)</f>
        <v/>
      </c>
      <c r="Y14" s="37" t="str">
        <f>IF(SUBTOTAL(109,A14)=A14,"",22679000)</f>
        <v/>
      </c>
      <c r="Z14" s="37" t="str">
        <f>IF(SUBTOTAL(109,A14)=A14,"",14053000)</f>
        <v/>
      </c>
      <c r="AB14" s="30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 hidden="1" outlineLevel="4" x14ac:dyDescent="0.25">
      <c r="A15" s="29">
        <v>1</v>
      </c>
      <c r="C15" s="24" t="str">
        <f>"                Cash"</f>
        <v xml:space="preserve">                Cash</v>
      </c>
      <c r="D15" s="32">
        <f t="shared" si="0"/>
        <v>7881000</v>
      </c>
      <c r="E15" s="32">
        <f t="shared" si="1"/>
        <v>7573000</v>
      </c>
      <c r="F15" s="32">
        <f t="shared" si="2"/>
        <v>6828000</v>
      </c>
      <c r="G15" s="32">
        <f t="shared" si="3"/>
        <v>8010000</v>
      </c>
      <c r="H15" s="32">
        <f t="shared" si="4"/>
        <v>7354500</v>
      </c>
      <c r="I15" s="32">
        <f t="shared" si="5"/>
        <v>7945500</v>
      </c>
      <c r="J15" s="32">
        <f t="shared" si="6"/>
        <v>648404.9660513096</v>
      </c>
      <c r="K15" s="33">
        <f t="shared" si="7"/>
        <v>8.5620621424971552E-2</v>
      </c>
      <c r="L15" s="37"/>
      <c r="M15" s="37">
        <v>7881000</v>
      </c>
      <c r="N15" s="37">
        <v>8010000</v>
      </c>
      <c r="O15" s="37">
        <v>6828000</v>
      </c>
      <c r="P15" s="37" t="s">
        <v>124</v>
      </c>
      <c r="Q15" s="37" t="s">
        <v>124</v>
      </c>
      <c r="R15" s="37" t="s">
        <v>124</v>
      </c>
      <c r="S15" s="37" t="s">
        <v>124</v>
      </c>
      <c r="T15" s="37" t="s">
        <v>124</v>
      </c>
      <c r="U15" s="37" t="s">
        <v>124</v>
      </c>
      <c r="V15" s="37" t="s">
        <v>124</v>
      </c>
      <c r="W15" s="37" t="s">
        <v>124</v>
      </c>
      <c r="X15" s="37" t="s">
        <v>124</v>
      </c>
      <c r="Y15" s="37" t="s">
        <v>124</v>
      </c>
      <c r="Z15" s="37" t="s">
        <v>124</v>
      </c>
      <c r="AB15" s="3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hidden="1" outlineLevel="4" x14ac:dyDescent="0.25">
      <c r="A16" s="29">
        <v>1</v>
      </c>
      <c r="C16" s="24" t="str">
        <f>"                Cash Equivalents"</f>
        <v xml:space="preserve">                Cash Equivalents</v>
      </c>
      <c r="D16" s="32">
        <f t="shared" si="0"/>
        <v>12186000</v>
      </c>
      <c r="E16" s="32">
        <f t="shared" si="1"/>
        <v>12136333.333333334</v>
      </c>
      <c r="F16" s="32">
        <f t="shared" si="2"/>
        <v>11982000</v>
      </c>
      <c r="G16" s="32">
        <f t="shared" si="3"/>
        <v>12241000</v>
      </c>
      <c r="H16" s="32">
        <f t="shared" si="4"/>
        <v>12084000</v>
      </c>
      <c r="I16" s="32">
        <f t="shared" si="5"/>
        <v>12213500</v>
      </c>
      <c r="J16" s="32">
        <f t="shared" si="6"/>
        <v>136456.34222465931</v>
      </c>
      <c r="K16" s="33">
        <f t="shared" si="7"/>
        <v>1.1243621815319781E-2</v>
      </c>
      <c r="L16" s="37"/>
      <c r="M16" s="37">
        <v>12186000</v>
      </c>
      <c r="N16" s="37">
        <v>11982000</v>
      </c>
      <c r="O16" s="37">
        <v>12241000</v>
      </c>
      <c r="P16" s="37" t="s">
        <v>124</v>
      </c>
      <c r="Q16" s="37" t="s">
        <v>124</v>
      </c>
      <c r="R16" s="37" t="s">
        <v>124</v>
      </c>
      <c r="S16" s="37" t="s">
        <v>124</v>
      </c>
      <c r="T16" s="37" t="s">
        <v>124</v>
      </c>
      <c r="U16" s="37" t="s">
        <v>124</v>
      </c>
      <c r="V16" s="37" t="s">
        <v>124</v>
      </c>
      <c r="W16" s="37" t="s">
        <v>124</v>
      </c>
      <c r="X16" s="37" t="s">
        <v>124</v>
      </c>
      <c r="Y16" s="37" t="s">
        <v>124</v>
      </c>
      <c r="Z16" s="37" t="s">
        <v>124</v>
      </c>
      <c r="AB16" s="3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hidden="1" outlineLevel="4" x14ac:dyDescent="0.25">
      <c r="A17" s="29">
        <v>1</v>
      </c>
      <c r="C17" s="25" t="str">
        <f>"                Total Cash and Cash Equivalents"</f>
        <v xml:space="preserve">                Total Cash and Cash Equivalents</v>
      </c>
      <c r="D17" s="45">
        <f t="shared" si="0"/>
        <v>19011500</v>
      </c>
      <c r="E17" s="45">
        <f t="shared" si="1"/>
        <v>18182642.857142858</v>
      </c>
      <c r="F17" s="45">
        <f t="shared" si="2"/>
        <v>12574000</v>
      </c>
      <c r="G17" s="45">
        <f t="shared" si="3"/>
        <v>22679000</v>
      </c>
      <c r="H17" s="45">
        <f t="shared" si="4"/>
        <v>15651750</v>
      </c>
      <c r="I17" s="45">
        <f t="shared" si="5"/>
        <v>20055500</v>
      </c>
      <c r="J17" s="45">
        <f t="shared" si="6"/>
        <v>2987153.8964537671</v>
      </c>
      <c r="K17" s="46">
        <f t="shared" si="7"/>
        <v>0.16428601276080695</v>
      </c>
      <c r="L17" s="47"/>
      <c r="M17" s="47">
        <v>20067000</v>
      </c>
      <c r="N17" s="47">
        <v>19992000</v>
      </c>
      <c r="O17" s="47">
        <v>19069000</v>
      </c>
      <c r="P17" s="47">
        <v>20844000</v>
      </c>
      <c r="Q17" s="47">
        <v>15512000</v>
      </c>
      <c r="R17" s="47">
        <v>12574000</v>
      </c>
      <c r="S17" s="47">
        <v>15238000</v>
      </c>
      <c r="T17" s="47">
        <v>18954000</v>
      </c>
      <c r="U17" s="47">
        <v>20021000</v>
      </c>
      <c r="V17" s="47">
        <v>18422000</v>
      </c>
      <c r="W17" s="47">
        <v>16071000</v>
      </c>
      <c r="X17" s="47">
        <v>21061000</v>
      </c>
      <c r="Y17" s="47">
        <v>22679000</v>
      </c>
      <c r="Z17" s="47">
        <v>14053000</v>
      </c>
      <c r="AB17" s="30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outlineLevel="3" collapsed="1" x14ac:dyDescent="0.25">
      <c r="A18" s="29">
        <v>1</v>
      </c>
      <c r="C18" s="24" t="str">
        <f>IF(SUBTOTAL(109,A18)=A18,"            Short Term Investments","            Short Term Investments")</f>
        <v xml:space="preserve">            Short Term Investments</v>
      </c>
      <c r="D18" s="32" t="str">
        <f t="shared" si="0"/>
        <v/>
      </c>
      <c r="E18" s="32" t="str">
        <f t="shared" si="1"/>
        <v/>
      </c>
      <c r="F18" s="32" t="str">
        <f t="shared" si="2"/>
        <v/>
      </c>
      <c r="G18" s="32" t="str">
        <f t="shared" si="3"/>
        <v/>
      </c>
      <c r="H18" s="32" t="str">
        <f t="shared" si="4"/>
        <v/>
      </c>
      <c r="I18" s="32" t="str">
        <f t="shared" si="5"/>
        <v/>
      </c>
      <c r="J18" s="32" t="str">
        <f t="shared" si="6"/>
        <v/>
      </c>
      <c r="K18" s="33" t="str">
        <f t="shared" si="7"/>
        <v/>
      </c>
      <c r="L18" s="37"/>
      <c r="M18" s="37" t="str">
        <f>IF(SUBTOTAL(109,A18)=A18,"",8609000)</f>
        <v/>
      </c>
      <c r="N18" s="37" t="str">
        <f>IF(SUBTOTAL(109,A18)=A18,"",9046000)</f>
        <v/>
      </c>
      <c r="O18" s="37" t="str">
        <f>IF(SUBTOTAL(109,A18)=A18,"",4174000)</f>
        <v/>
      </c>
      <c r="P18" s="37" t="str">
        <f>IF(SUBTOTAL(109,A18)=A18,"",5966000)</f>
        <v/>
      </c>
      <c r="Q18" s="37" t="str">
        <f>IF(SUBTOTAL(109,A18)=A18,"",8313000)</f>
        <v/>
      </c>
      <c r="R18" s="37" t="str">
        <f>IF(SUBTOTAL(109,A18)=A18,"",11841000)</f>
        <v/>
      </c>
      <c r="S18" s="37" t="str">
        <f>IF(SUBTOTAL(109,A18)=A18,"",8163000)</f>
        <v/>
      </c>
      <c r="T18" s="37" t="str">
        <f>IF(SUBTOTAL(109,A18)=A18,"",9222000)</f>
        <v/>
      </c>
      <c r="U18" s="37" t="str">
        <f>IF(SUBTOTAL(109,A18)=A18,"",8972000)</f>
        <v/>
      </c>
      <c r="V18" s="37" t="str">
        <f>IF(SUBTOTAL(109,A18)=A18,"",8988000)</f>
        <v/>
      </c>
      <c r="W18" s="37" t="str">
        <f>IF(SUBTOTAL(109,A18)=A18,"",16148000)</f>
        <v/>
      </c>
      <c r="X18" s="37" t="str">
        <f>IF(SUBTOTAL(109,A18)=A18,"",5555000)</f>
        <v/>
      </c>
      <c r="Y18" s="37" t="str">
        <f>IF(SUBTOTAL(109,A18)=A18,"",134000)</f>
        <v/>
      </c>
      <c r="Z18" s="37" t="str">
        <f>IF(SUBTOTAL(109,A18)=A18,"",141000)</f>
        <v/>
      </c>
      <c r="AB18" s="3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hidden="1" outlineLevel="4" x14ac:dyDescent="0.25">
      <c r="A19" s="29">
        <v>1</v>
      </c>
      <c r="C19" s="24" t="str">
        <f>"                Other Short Term Investments"</f>
        <v xml:space="preserve">                Other Short Term Investments</v>
      </c>
      <c r="D19" s="32">
        <f t="shared" si="0"/>
        <v>8972000</v>
      </c>
      <c r="E19" s="32">
        <f t="shared" si="1"/>
        <v>9040181.8181818184</v>
      </c>
      <c r="F19" s="32">
        <f t="shared" si="2"/>
        <v>4174000</v>
      </c>
      <c r="G19" s="32">
        <f t="shared" si="3"/>
        <v>16148000</v>
      </c>
      <c r="H19" s="32">
        <f t="shared" si="4"/>
        <v>8238000</v>
      </c>
      <c r="I19" s="32">
        <f t="shared" si="5"/>
        <v>9134000</v>
      </c>
      <c r="J19" s="32">
        <f t="shared" si="6"/>
        <v>3049927.9276134321</v>
      </c>
      <c r="K19" s="33">
        <f t="shared" si="7"/>
        <v>0.33737462243064048</v>
      </c>
      <c r="L19" s="37"/>
      <c r="M19" s="37">
        <v>8609000</v>
      </c>
      <c r="N19" s="37">
        <v>9046000</v>
      </c>
      <c r="O19" s="37">
        <v>4174000</v>
      </c>
      <c r="P19" s="37">
        <v>5966000</v>
      </c>
      <c r="Q19" s="37">
        <v>8313000</v>
      </c>
      <c r="R19" s="37">
        <v>11841000</v>
      </c>
      <c r="S19" s="37">
        <v>8163000</v>
      </c>
      <c r="T19" s="37">
        <v>9222000</v>
      </c>
      <c r="U19" s="37">
        <v>8972000</v>
      </c>
      <c r="V19" s="37">
        <v>8988000</v>
      </c>
      <c r="W19" s="37">
        <v>16148000</v>
      </c>
      <c r="X19" s="37" t="s">
        <v>124</v>
      </c>
      <c r="Y19" s="37" t="s">
        <v>124</v>
      </c>
      <c r="Z19" s="37" t="s">
        <v>124</v>
      </c>
      <c r="AB19" s="3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hidden="1" outlineLevel="4" x14ac:dyDescent="0.25">
      <c r="A20" s="29">
        <v>1</v>
      </c>
      <c r="C20" s="25" t="str">
        <f>"                Total Short Term Investments"</f>
        <v xml:space="preserve">                Total Short Term Investments</v>
      </c>
      <c r="D20" s="45">
        <f t="shared" si="0"/>
        <v>8461000</v>
      </c>
      <c r="E20" s="45">
        <f t="shared" si="1"/>
        <v>7519428.5714285718</v>
      </c>
      <c r="F20" s="45">
        <f t="shared" si="2"/>
        <v>134000</v>
      </c>
      <c r="G20" s="45">
        <f t="shared" si="3"/>
        <v>16148000</v>
      </c>
      <c r="H20" s="45">
        <f t="shared" si="4"/>
        <v>5657750</v>
      </c>
      <c r="I20" s="45">
        <f t="shared" si="5"/>
        <v>9031500</v>
      </c>
      <c r="J20" s="45">
        <f t="shared" si="6"/>
        <v>4218137.95438198</v>
      </c>
      <c r="K20" s="46">
        <f t="shared" si="7"/>
        <v>0.56096522685374761</v>
      </c>
      <c r="L20" s="47"/>
      <c r="M20" s="47">
        <v>8609000</v>
      </c>
      <c r="N20" s="47">
        <v>9046000</v>
      </c>
      <c r="O20" s="47">
        <v>4174000</v>
      </c>
      <c r="P20" s="47">
        <v>5966000</v>
      </c>
      <c r="Q20" s="47">
        <v>8313000</v>
      </c>
      <c r="R20" s="47">
        <v>11841000</v>
      </c>
      <c r="S20" s="47">
        <v>8163000</v>
      </c>
      <c r="T20" s="47">
        <v>9222000</v>
      </c>
      <c r="U20" s="47">
        <v>8972000</v>
      </c>
      <c r="V20" s="47">
        <v>8988000</v>
      </c>
      <c r="W20" s="47">
        <v>16148000</v>
      </c>
      <c r="X20" s="47">
        <v>5555000</v>
      </c>
      <c r="Y20" s="47">
        <v>134000</v>
      </c>
      <c r="Z20" s="47">
        <v>141000</v>
      </c>
      <c r="AB20" s="30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outlineLevel="3" x14ac:dyDescent="0.25">
      <c r="A21" s="29">
        <v>1</v>
      </c>
      <c r="C21" s="25" t="str">
        <f>"            Total Cash, Cash Equivalents and Short Term Investments"</f>
        <v xml:space="preserve">            Total Cash, Cash Equivalents and Short Term Investments</v>
      </c>
      <c r="D21" s="45">
        <f t="shared" si="0"/>
        <v>26713000</v>
      </c>
      <c r="E21" s="45">
        <f t="shared" si="1"/>
        <v>25702071.428571429</v>
      </c>
      <c r="F21" s="45">
        <f t="shared" si="2"/>
        <v>14194000</v>
      </c>
      <c r="G21" s="45">
        <f t="shared" si="3"/>
        <v>32219000</v>
      </c>
      <c r="H21" s="45">
        <f t="shared" si="4"/>
        <v>23507000</v>
      </c>
      <c r="I21" s="45">
        <f t="shared" si="5"/>
        <v>28551000</v>
      </c>
      <c r="J21" s="45">
        <f t="shared" si="6"/>
        <v>4311680.9762155851</v>
      </c>
      <c r="K21" s="46">
        <f t="shared" si="7"/>
        <v>0.16775616658751294</v>
      </c>
      <c r="L21" s="47"/>
      <c r="M21" s="47">
        <v>28676000</v>
      </c>
      <c r="N21" s="47">
        <v>29038000</v>
      </c>
      <c r="O21" s="47">
        <v>23243000</v>
      </c>
      <c r="P21" s="47">
        <v>26810000</v>
      </c>
      <c r="Q21" s="47">
        <v>23825000</v>
      </c>
      <c r="R21" s="47">
        <v>24415000</v>
      </c>
      <c r="S21" s="47">
        <v>23401000</v>
      </c>
      <c r="T21" s="47">
        <v>28176000</v>
      </c>
      <c r="U21" s="47">
        <v>28993000</v>
      </c>
      <c r="V21" s="47">
        <v>27410000</v>
      </c>
      <c r="W21" s="47">
        <v>32219000</v>
      </c>
      <c r="X21" s="47">
        <v>26616000</v>
      </c>
      <c r="Y21" s="47">
        <v>22813000</v>
      </c>
      <c r="Z21" s="47">
        <v>14194000</v>
      </c>
      <c r="AB21" s="30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outlineLevel="2" x14ac:dyDescent="0.25">
      <c r="A22" s="29">
        <v>1</v>
      </c>
      <c r="C22" s="24" t="str">
        <f>"        Cash Restricted or Pledged, Current"</f>
        <v xml:space="preserve">        Cash Restricted or Pledged, Current</v>
      </c>
      <c r="D22" s="32">
        <f t="shared" si="0"/>
        <v>1240000</v>
      </c>
      <c r="E22" s="32">
        <f t="shared" si="1"/>
        <v>2872142.8571428573</v>
      </c>
      <c r="F22" s="32">
        <f t="shared" si="2"/>
        <v>672000</v>
      </c>
      <c r="G22" s="32">
        <f t="shared" si="3"/>
        <v>13917000</v>
      </c>
      <c r="H22" s="32">
        <f t="shared" si="4"/>
        <v>845500</v>
      </c>
      <c r="I22" s="32">
        <f t="shared" si="5"/>
        <v>1292500</v>
      </c>
      <c r="J22" s="32">
        <f t="shared" si="6"/>
        <v>4877730.2586541707</v>
      </c>
      <c r="K22" s="33">
        <f t="shared" si="7"/>
        <v>1.6982895702849636</v>
      </c>
      <c r="L22" s="37"/>
      <c r="M22" s="37" t="s">
        <v>124</v>
      </c>
      <c r="N22" s="37" t="s">
        <v>124</v>
      </c>
      <c r="O22" s="37" t="s">
        <v>124</v>
      </c>
      <c r="P22" s="37" t="s">
        <v>124</v>
      </c>
      <c r="Q22" s="37" t="s">
        <v>124</v>
      </c>
      <c r="R22" s="37" t="s">
        <v>124</v>
      </c>
      <c r="S22" s="37" t="s">
        <v>124</v>
      </c>
      <c r="T22" s="37">
        <v>1338000</v>
      </c>
      <c r="U22" s="37">
        <v>1247000</v>
      </c>
      <c r="V22" s="37">
        <v>686000</v>
      </c>
      <c r="W22" s="37">
        <v>1005000</v>
      </c>
      <c r="X22" s="37">
        <v>1240000</v>
      </c>
      <c r="Y22" s="37">
        <v>13917000</v>
      </c>
      <c r="Z22" s="37">
        <v>672000</v>
      </c>
      <c r="AB22" s="30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outlineLevel="2" x14ac:dyDescent="0.25">
      <c r="A23" s="29">
        <v>1</v>
      </c>
      <c r="C23" s="24" t="str">
        <f>IF(SUBTOTAL(109,A23)=A23,"        Inventories","        Inventories")</f>
        <v xml:space="preserve">        Inventories</v>
      </c>
      <c r="D23" s="32" t="str">
        <f t="shared" si="0"/>
        <v/>
      </c>
      <c r="E23" s="32" t="str">
        <f t="shared" si="1"/>
        <v/>
      </c>
      <c r="F23" s="32" t="str">
        <f t="shared" si="2"/>
        <v/>
      </c>
      <c r="G23" s="32" t="str">
        <f t="shared" si="3"/>
        <v/>
      </c>
      <c r="H23" s="32" t="str">
        <f t="shared" si="4"/>
        <v/>
      </c>
      <c r="I23" s="32" t="str">
        <f t="shared" si="5"/>
        <v/>
      </c>
      <c r="J23" s="32" t="str">
        <f t="shared" si="6"/>
        <v/>
      </c>
      <c r="K23" s="33" t="str">
        <f t="shared" si="7"/>
        <v/>
      </c>
      <c r="L23" s="37"/>
      <c r="M23" s="37" t="str">
        <f>IF(SUBTOTAL(109,A23)=A23,"",12988000)</f>
        <v/>
      </c>
      <c r="N23" s="37" t="str">
        <f>IF(SUBTOTAL(109,A23)=A23,"",10235000)</f>
        <v/>
      </c>
      <c r="O23" s="37" t="str">
        <f>IF(SUBTOTAL(109,A23)=A23,"",10398000)</f>
        <v/>
      </c>
      <c r="P23" s="37" t="str">
        <f>IF(SUBTOTAL(109,A23)=A23,"",9816000)</f>
        <v/>
      </c>
      <c r="Q23" s="37" t="str">
        <f>IF(SUBTOTAL(109,A23)=A23,"",10663000)</f>
        <v/>
      </c>
      <c r="R23" s="37" t="str">
        <f>IF(SUBTOTAL(109,A23)=A23,"",11040000)</f>
        <v/>
      </c>
      <c r="S23" s="37" t="str">
        <f>IF(SUBTOTAL(109,A23)=A23,"",13764000)</f>
        <v/>
      </c>
      <c r="T23" s="37" t="str">
        <f>IF(SUBTOTAL(109,A23)=A23,"",13642000)</f>
        <v/>
      </c>
      <c r="U23" s="37" t="str">
        <f>IF(SUBTOTAL(109,A23)=A23,"",14039000)</f>
        <v/>
      </c>
      <c r="V23" s="37" t="str">
        <f>IF(SUBTOTAL(109,A23)=A23,"",14714000)</f>
        <v/>
      </c>
      <c r="W23" s="37" t="str">
        <f>IF(SUBTOTAL(109,A23)=A23,"",14324000)</f>
        <v/>
      </c>
      <c r="X23" s="37" t="str">
        <f>IF(SUBTOTAL(109,A23)=A23,"",12125000)</f>
        <v/>
      </c>
      <c r="Y23" s="37" t="str">
        <f>IF(SUBTOTAL(109,A23)=A23,"",10107000)</f>
        <v/>
      </c>
      <c r="Z23" s="37" t="str">
        <f>IF(SUBTOTAL(109,A23)=A23,"",13195000)</f>
        <v/>
      </c>
      <c r="AB23" s="30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outlineLevel="3" x14ac:dyDescent="0.25">
      <c r="A24" s="29">
        <v>1</v>
      </c>
      <c r="C24" s="24" t="str">
        <f>"            Raw Materials, Consumables and Supplies"</f>
        <v xml:space="preserve">            Raw Materials, Consumables and Supplies</v>
      </c>
      <c r="D24" s="32">
        <f t="shared" si="0"/>
        <v>5132000</v>
      </c>
      <c r="E24" s="32">
        <f t="shared" si="1"/>
        <v>5487416.666666667</v>
      </c>
      <c r="F24" s="32">
        <f t="shared" si="2"/>
        <v>4203000</v>
      </c>
      <c r="G24" s="32">
        <f t="shared" si="3"/>
        <v>8240000</v>
      </c>
      <c r="H24" s="32">
        <f t="shared" si="4"/>
        <v>4815000</v>
      </c>
      <c r="I24" s="32">
        <f t="shared" si="5"/>
        <v>6025500</v>
      </c>
      <c r="J24" s="32">
        <f t="shared" si="6"/>
        <v>1147966.4596251252</v>
      </c>
      <c r="K24" s="33">
        <f t="shared" si="7"/>
        <v>0.20919979825815885</v>
      </c>
      <c r="L24" s="37"/>
      <c r="M24" s="37">
        <v>8240000</v>
      </c>
      <c r="N24" s="37">
        <v>5117000</v>
      </c>
      <c r="O24" s="37">
        <v>4713000</v>
      </c>
      <c r="P24" s="37">
        <v>4274000</v>
      </c>
      <c r="Q24" s="37">
        <v>4203000</v>
      </c>
      <c r="R24" s="37">
        <v>5008000</v>
      </c>
      <c r="S24" s="37">
        <v>5147000</v>
      </c>
      <c r="T24" s="37">
        <v>5380000</v>
      </c>
      <c r="U24" s="37">
        <v>5872000</v>
      </c>
      <c r="V24" s="37">
        <v>6560000</v>
      </c>
      <c r="W24" s="37">
        <v>6486000</v>
      </c>
      <c r="X24" s="37" t="s">
        <v>124</v>
      </c>
      <c r="Y24" s="37" t="s">
        <v>124</v>
      </c>
      <c r="Z24" s="37">
        <v>4849000</v>
      </c>
      <c r="AB24" s="30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outlineLevel="3" x14ac:dyDescent="0.25">
      <c r="A25" s="29">
        <v>1</v>
      </c>
      <c r="C25" s="24" t="str">
        <f>"            Work-in-Process"</f>
        <v xml:space="preserve">            Work-in-Process</v>
      </c>
      <c r="D25" s="32">
        <f t="shared" si="0"/>
        <v>4844000</v>
      </c>
      <c r="E25" s="32">
        <f t="shared" si="1"/>
        <v>4844000</v>
      </c>
      <c r="F25" s="32">
        <f t="shared" si="2"/>
        <v>4201000</v>
      </c>
      <c r="G25" s="32">
        <f t="shared" si="3"/>
        <v>5487000</v>
      </c>
      <c r="H25" s="32">
        <f t="shared" si="4"/>
        <v>4522500</v>
      </c>
      <c r="I25" s="32">
        <f t="shared" si="5"/>
        <v>5165500</v>
      </c>
      <c r="J25" s="32">
        <f t="shared" si="6"/>
        <v>909339.32060590014</v>
      </c>
      <c r="K25" s="33">
        <f t="shared" si="7"/>
        <v>0.18772488038932703</v>
      </c>
      <c r="L25" s="37"/>
      <c r="M25" s="37" t="s">
        <v>124</v>
      </c>
      <c r="N25" s="37" t="s">
        <v>124</v>
      </c>
      <c r="O25" s="37" t="s">
        <v>124</v>
      </c>
      <c r="P25" s="37" t="s">
        <v>124</v>
      </c>
      <c r="Q25" s="37" t="s">
        <v>124</v>
      </c>
      <c r="R25" s="37" t="s">
        <v>124</v>
      </c>
      <c r="S25" s="37" t="s">
        <v>124</v>
      </c>
      <c r="T25" s="37" t="s">
        <v>124</v>
      </c>
      <c r="U25" s="37" t="s">
        <v>124</v>
      </c>
      <c r="V25" s="37" t="s">
        <v>124</v>
      </c>
      <c r="W25" s="37" t="s">
        <v>124</v>
      </c>
      <c r="X25" s="37">
        <v>5487000</v>
      </c>
      <c r="Y25" s="37">
        <v>4201000</v>
      </c>
      <c r="Z25" s="37" t="s">
        <v>124</v>
      </c>
      <c r="AB25" s="30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outlineLevel="3" x14ac:dyDescent="0.25">
      <c r="A26" s="29">
        <v>1</v>
      </c>
      <c r="C26" s="24" t="str">
        <f>"            Finished Goods and Merchandise"</f>
        <v xml:space="preserve">            Finished Goods and Merchandise</v>
      </c>
      <c r="D26" s="32">
        <f t="shared" si="0"/>
        <v>6549000</v>
      </c>
      <c r="E26" s="32">
        <f t="shared" si="1"/>
        <v>6910428.5714285718</v>
      </c>
      <c r="F26" s="32">
        <f t="shared" si="2"/>
        <v>4748000</v>
      </c>
      <c r="G26" s="32">
        <f t="shared" si="3"/>
        <v>9579000</v>
      </c>
      <c r="H26" s="32">
        <f t="shared" si="4"/>
        <v>5740250</v>
      </c>
      <c r="I26" s="32">
        <f t="shared" si="5"/>
        <v>8163750</v>
      </c>
      <c r="J26" s="32">
        <f t="shared" si="6"/>
        <v>1497870.8332052629</v>
      </c>
      <c r="K26" s="33">
        <f t="shared" si="7"/>
        <v>0.2167551285311401</v>
      </c>
      <c r="L26" s="37"/>
      <c r="M26" s="37">
        <v>4748000</v>
      </c>
      <c r="N26" s="37">
        <v>5118000</v>
      </c>
      <c r="O26" s="37">
        <v>5685000</v>
      </c>
      <c r="P26" s="37">
        <v>5542000</v>
      </c>
      <c r="Q26" s="37">
        <v>6460000</v>
      </c>
      <c r="R26" s="37">
        <v>6032000</v>
      </c>
      <c r="S26" s="37">
        <v>8617000</v>
      </c>
      <c r="T26" s="37">
        <v>8262000</v>
      </c>
      <c r="U26" s="37">
        <v>8167000</v>
      </c>
      <c r="V26" s="37">
        <v>8154000</v>
      </c>
      <c r="W26" s="37">
        <v>7838000</v>
      </c>
      <c r="X26" s="37">
        <v>6638000</v>
      </c>
      <c r="Y26" s="37">
        <v>5906000</v>
      </c>
      <c r="Z26" s="37">
        <v>9579000</v>
      </c>
      <c r="AB26" s="3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outlineLevel="3" x14ac:dyDescent="0.25">
      <c r="A27" s="29">
        <v>1</v>
      </c>
      <c r="C27" s="24" t="str">
        <f>"            Inventory Allowance/Adjustments"</f>
        <v xml:space="preserve">            Inventory Allowance/Adjustments</v>
      </c>
      <c r="D27" s="32">
        <f t="shared" si="0"/>
        <v>-1233000</v>
      </c>
      <c r="E27" s="32">
        <f t="shared" si="1"/>
        <v>-1233000</v>
      </c>
      <c r="F27" s="32">
        <f t="shared" si="2"/>
        <v>-1233000</v>
      </c>
      <c r="G27" s="32">
        <f t="shared" si="3"/>
        <v>-1233000</v>
      </c>
      <c r="H27" s="32">
        <f t="shared" si="4"/>
        <v>-1233000</v>
      </c>
      <c r="I27" s="32">
        <f t="shared" si="5"/>
        <v>-1233000</v>
      </c>
      <c r="J27" s="32" t="str">
        <f t="shared" si="6"/>
        <v/>
      </c>
      <c r="K27" s="33" t="str">
        <f t="shared" si="7"/>
        <v/>
      </c>
      <c r="L27" s="37"/>
      <c r="M27" s="37" t="s">
        <v>124</v>
      </c>
      <c r="N27" s="37" t="s">
        <v>124</v>
      </c>
      <c r="O27" s="37" t="s">
        <v>124</v>
      </c>
      <c r="P27" s="37" t="s">
        <v>124</v>
      </c>
      <c r="Q27" s="37" t="s">
        <v>124</v>
      </c>
      <c r="R27" s="37" t="s">
        <v>124</v>
      </c>
      <c r="S27" s="37" t="s">
        <v>124</v>
      </c>
      <c r="T27" s="37" t="s">
        <v>124</v>
      </c>
      <c r="U27" s="37" t="s">
        <v>124</v>
      </c>
      <c r="V27" s="37" t="s">
        <v>124</v>
      </c>
      <c r="W27" s="37" t="s">
        <v>124</v>
      </c>
      <c r="X27" s="37" t="s">
        <v>124</v>
      </c>
      <c r="Y27" s="37" t="s">
        <v>124</v>
      </c>
      <c r="Z27" s="37">
        <v>-1233000</v>
      </c>
      <c r="AB27" s="30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outlineLevel="3" x14ac:dyDescent="0.25">
      <c r="A28" s="29">
        <v>1</v>
      </c>
      <c r="C28" s="25" t="str">
        <f>"            Total Inventories"</f>
        <v xml:space="preserve">            Total Inventories</v>
      </c>
      <c r="D28" s="45">
        <f t="shared" si="0"/>
        <v>12556500</v>
      </c>
      <c r="E28" s="45">
        <f t="shared" si="1"/>
        <v>12217857.142857144</v>
      </c>
      <c r="F28" s="45">
        <f t="shared" si="2"/>
        <v>9816000</v>
      </c>
      <c r="G28" s="45">
        <f t="shared" si="3"/>
        <v>14714000</v>
      </c>
      <c r="H28" s="45">
        <f t="shared" si="4"/>
        <v>10464250</v>
      </c>
      <c r="I28" s="45">
        <f t="shared" si="5"/>
        <v>13733500</v>
      </c>
      <c r="J28" s="45">
        <f t="shared" si="6"/>
        <v>1780915.6183156017</v>
      </c>
      <c r="K28" s="46">
        <f t="shared" si="7"/>
        <v>0.1457633361965415</v>
      </c>
      <c r="L28" s="47"/>
      <c r="M28" s="47">
        <v>12988000</v>
      </c>
      <c r="N28" s="47">
        <v>10235000</v>
      </c>
      <c r="O28" s="47">
        <v>10398000</v>
      </c>
      <c r="P28" s="47">
        <v>9816000</v>
      </c>
      <c r="Q28" s="47">
        <v>10663000</v>
      </c>
      <c r="R28" s="47">
        <v>11040000</v>
      </c>
      <c r="S28" s="47">
        <v>13764000</v>
      </c>
      <c r="T28" s="47">
        <v>13642000</v>
      </c>
      <c r="U28" s="47">
        <v>14039000</v>
      </c>
      <c r="V28" s="47">
        <v>14714000</v>
      </c>
      <c r="W28" s="47">
        <v>14324000</v>
      </c>
      <c r="X28" s="47">
        <v>12125000</v>
      </c>
      <c r="Y28" s="47">
        <v>10107000</v>
      </c>
      <c r="Z28" s="47">
        <v>13195000</v>
      </c>
      <c r="AB28" s="30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outlineLevel="2" x14ac:dyDescent="0.25">
      <c r="A29" s="29">
        <v>1</v>
      </c>
      <c r="C29" s="24" t="str">
        <f>IF(SUBTOTAL(109,A29)=A29,"        Trade and Other Receivables, Current","        Trade and Other Receivables, Current")</f>
        <v xml:space="preserve">        Trade and Other Receivables, Current</v>
      </c>
      <c r="D29" s="32" t="str">
        <f t="shared" si="0"/>
        <v/>
      </c>
      <c r="E29" s="32" t="str">
        <f t="shared" si="1"/>
        <v/>
      </c>
      <c r="F29" s="32" t="str">
        <f t="shared" si="2"/>
        <v/>
      </c>
      <c r="G29" s="32" t="str">
        <f t="shared" si="3"/>
        <v/>
      </c>
      <c r="H29" s="32" t="str">
        <f t="shared" si="4"/>
        <v/>
      </c>
      <c r="I29" s="32" t="str">
        <f t="shared" si="5"/>
        <v/>
      </c>
      <c r="J29" s="32" t="str">
        <f t="shared" si="6"/>
        <v/>
      </c>
      <c r="K29" s="33" t="str">
        <f t="shared" si="7"/>
        <v/>
      </c>
      <c r="L29" s="37"/>
      <c r="M29" s="37" t="str">
        <f>IF(SUBTOTAL(109,A29)=A29,"",34043000)</f>
        <v/>
      </c>
      <c r="N29" s="37" t="str">
        <f>IF(SUBTOTAL(109,A29)=A29,"",34244000)</f>
        <v/>
      </c>
      <c r="O29" s="37" t="str">
        <f>IF(SUBTOTAL(109,A29)=A29,"",33398000)</f>
        <v/>
      </c>
      <c r="P29" s="37" t="str">
        <f>IF(SUBTOTAL(109,A29)=A29,"",33399000)</f>
        <v/>
      </c>
      <c r="Q29" s="37" t="str">
        <f>IF(SUBTOTAL(109,A29)=A29,"",28685000)</f>
        <v/>
      </c>
      <c r="R29" s="37" t="str">
        <f>IF(SUBTOTAL(109,A29)=A29,"",24827000)</f>
        <v/>
      </c>
      <c r="S29" s="37" t="str">
        <f>IF(SUBTOTAL(109,A29)=A29,"",26388000)</f>
        <v/>
      </c>
      <c r="T29" s="37" t="str">
        <f>IF(SUBTOTAL(109,A29)=A29,"",25606000)</f>
        <v/>
      </c>
      <c r="U29" s="37" t="str">
        <f>IF(SUBTOTAL(109,A29)=A29,"",22813000)</f>
        <v/>
      </c>
      <c r="V29" s="37" t="str">
        <f>IF(SUBTOTAL(109,A29)=A29,"",14439000)</f>
        <v/>
      </c>
      <c r="W29" s="37" t="str">
        <f>IF(SUBTOTAL(109,A29)=A29,"",13215000)</f>
        <v/>
      </c>
      <c r="X29" s="37" t="str">
        <f>IF(SUBTOTAL(109,A29)=A29,"",8699000)</f>
        <v/>
      </c>
      <c r="Y29" s="37" t="str">
        <f>IF(SUBTOTAL(109,A29)=A29,"",7518000)</f>
        <v/>
      </c>
      <c r="Z29" s="37" t="str">
        <f>IF(SUBTOTAL(109,A29)=A29,"",7918000)</f>
        <v/>
      </c>
      <c r="AB29" s="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outlineLevel="3" collapsed="1" x14ac:dyDescent="0.25">
      <c r="A30" s="29">
        <v>1</v>
      </c>
      <c r="C30" s="24" t="str">
        <f>IF(SUBTOTAL(109,A30)=A30,"            Trade/Accounts Receivable, Current","            Trade/Accounts Receivable, Current")</f>
        <v xml:space="preserve">            Trade/Accounts Receivable, Current</v>
      </c>
      <c r="D30" s="32" t="str">
        <f t="shared" si="0"/>
        <v/>
      </c>
      <c r="E30" s="32" t="str">
        <f t="shared" si="1"/>
        <v/>
      </c>
      <c r="F30" s="32" t="str">
        <f t="shared" si="2"/>
        <v/>
      </c>
      <c r="G30" s="32" t="str">
        <f t="shared" si="3"/>
        <v/>
      </c>
      <c r="H30" s="32" t="str">
        <f t="shared" si="4"/>
        <v/>
      </c>
      <c r="I30" s="32" t="str">
        <f t="shared" si="5"/>
        <v/>
      </c>
      <c r="J30" s="32" t="str">
        <f t="shared" si="6"/>
        <v/>
      </c>
      <c r="K30" s="33" t="str">
        <f t="shared" si="7"/>
        <v/>
      </c>
      <c r="L30" s="37"/>
      <c r="M30" s="37" t="str">
        <f>IF(SUBTOTAL(109,A30)=A30,"",34043000)</f>
        <v/>
      </c>
      <c r="N30" s="37" t="str">
        <f>IF(SUBTOTAL(109,A30)=A30,"",34244000)</f>
        <v/>
      </c>
      <c r="O30" s="37" t="str">
        <f>IF(SUBTOTAL(109,A30)=A30,"",33398000)</f>
        <v/>
      </c>
      <c r="P30" s="37" t="str">
        <f>IF(SUBTOTAL(109,A30)=A30,"",33399000)</f>
        <v/>
      </c>
      <c r="Q30" s="37" t="str">
        <f>IF(SUBTOTAL(109,A30)=A30,"",28685000)</f>
        <v/>
      </c>
      <c r="R30" s="37" t="str">
        <f>IF(SUBTOTAL(109,A30)=A30,"",24827000)</f>
        <v/>
      </c>
      <c r="S30" s="37" t="str">
        <f>IF(SUBTOTAL(109,A30)=A30,"",26388000)</f>
        <v/>
      </c>
      <c r="T30" s="37" t="str">
        <f>IF(SUBTOTAL(109,A30)=A30,"",25606000)</f>
        <v/>
      </c>
      <c r="U30" s="37" t="str">
        <f>IF(SUBTOTAL(109,A30)=A30,"",22813000)</f>
        <v/>
      </c>
      <c r="V30" s="37" t="str">
        <f>IF(SUBTOTAL(109,A30)=A30,"",14439000)</f>
        <v/>
      </c>
      <c r="W30" s="37" t="str">
        <f>IF(SUBTOTAL(109,A30)=A30,"",13215000)</f>
        <v/>
      </c>
      <c r="X30" s="37" t="str">
        <f>IF(SUBTOTAL(109,A30)=A30,"",8699000)</f>
        <v/>
      </c>
      <c r="Y30" s="37" t="str">
        <f>IF(SUBTOTAL(109,A30)=A30,"",7518000)</f>
        <v/>
      </c>
      <c r="Z30" s="37" t="str">
        <f>IF(SUBTOTAL(109,A30)=A30,"",8340000)</f>
        <v/>
      </c>
      <c r="AB30" s="30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hidden="1" outlineLevel="4" x14ac:dyDescent="0.25">
      <c r="A31" s="29">
        <v>1</v>
      </c>
      <c r="C31" s="24" t="str">
        <f>"                Gross Trade/Accounts Receivable, Current"</f>
        <v xml:space="preserve">                Gross Trade/Accounts Receivable, Current</v>
      </c>
      <c r="D31" s="32">
        <f t="shared" si="0"/>
        <v>26715000</v>
      </c>
      <c r="E31" s="32">
        <f t="shared" si="1"/>
        <v>26886909.09090909</v>
      </c>
      <c r="F31" s="32">
        <f t="shared" si="2"/>
        <v>13546000</v>
      </c>
      <c r="G31" s="32">
        <f t="shared" si="3"/>
        <v>35470000</v>
      </c>
      <c r="H31" s="32">
        <f t="shared" si="4"/>
        <v>24098000</v>
      </c>
      <c r="I31" s="32">
        <f t="shared" si="5"/>
        <v>33616000</v>
      </c>
      <c r="J31" s="32">
        <f t="shared" si="6"/>
        <v>7595309.993075273</v>
      </c>
      <c r="K31" s="33">
        <f t="shared" si="7"/>
        <v>0.28249100584207254</v>
      </c>
      <c r="L31" s="37"/>
      <c r="M31" s="37">
        <v>34938000</v>
      </c>
      <c r="N31" s="37">
        <v>35470000</v>
      </c>
      <c r="O31" s="37">
        <v>33622000</v>
      </c>
      <c r="P31" s="37">
        <v>33610000</v>
      </c>
      <c r="Q31" s="37">
        <v>28963000</v>
      </c>
      <c r="R31" s="37">
        <v>25039000</v>
      </c>
      <c r="S31" s="37">
        <v>26715000</v>
      </c>
      <c r="T31" s="37">
        <v>25946000</v>
      </c>
      <c r="U31" s="37">
        <v>23157000</v>
      </c>
      <c r="V31" s="37">
        <v>14750000</v>
      </c>
      <c r="W31" s="37">
        <v>13546000</v>
      </c>
      <c r="X31" s="37" t="s">
        <v>124</v>
      </c>
      <c r="Y31" s="37" t="s">
        <v>124</v>
      </c>
      <c r="Z31" s="37" t="s">
        <v>124</v>
      </c>
      <c r="AB31" s="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hidden="1" outlineLevel="4" x14ac:dyDescent="0.25">
      <c r="A32" s="29">
        <v>1</v>
      </c>
      <c r="C32" s="24" t="str">
        <f>"                Allowance/Adjustments for Trade/Accounts Receivable, Current"</f>
        <v xml:space="preserve">                Allowance/Adjustments for Trade/Accounts Receivable, Current</v>
      </c>
      <c r="D32" s="32">
        <f t="shared" si="0"/>
        <v>-327000</v>
      </c>
      <c r="E32" s="32">
        <f t="shared" si="1"/>
        <v>-427181.81818181818</v>
      </c>
      <c r="F32" s="32">
        <f t="shared" si="2"/>
        <v>-1226000</v>
      </c>
      <c r="G32" s="32">
        <f t="shared" si="3"/>
        <v>-211000</v>
      </c>
      <c r="H32" s="32">
        <f t="shared" si="4"/>
        <v>-342000</v>
      </c>
      <c r="I32" s="32">
        <f t="shared" si="5"/>
        <v>-251000</v>
      </c>
      <c r="J32" s="32">
        <f t="shared" si="6"/>
        <v>325706.25360340206</v>
      </c>
      <c r="K32" s="33">
        <f t="shared" si="7"/>
        <v>-0.76245345597731917</v>
      </c>
      <c r="L32" s="37"/>
      <c r="M32" s="37">
        <v>-895000</v>
      </c>
      <c r="N32" s="37">
        <v>-1226000</v>
      </c>
      <c r="O32" s="37">
        <v>-224000</v>
      </c>
      <c r="P32" s="37">
        <v>-211000</v>
      </c>
      <c r="Q32" s="37">
        <v>-278000</v>
      </c>
      <c r="R32" s="37">
        <v>-212000</v>
      </c>
      <c r="S32" s="37">
        <v>-327000</v>
      </c>
      <c r="T32" s="37">
        <v>-340000</v>
      </c>
      <c r="U32" s="37">
        <v>-344000</v>
      </c>
      <c r="V32" s="37">
        <v>-311000</v>
      </c>
      <c r="W32" s="37">
        <v>-331000</v>
      </c>
      <c r="X32" s="37" t="s">
        <v>124</v>
      </c>
      <c r="Y32" s="37" t="s">
        <v>124</v>
      </c>
      <c r="Z32" s="37" t="s">
        <v>124</v>
      </c>
      <c r="AB32" s="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hidden="1" outlineLevel="4" x14ac:dyDescent="0.25">
      <c r="A33" s="29">
        <v>1</v>
      </c>
      <c r="C33" s="25" t="str">
        <f>"                Total Trade/Accounts Receivable, Current"</f>
        <v xml:space="preserve">                Total Trade/Accounts Receivable, Current</v>
      </c>
      <c r="D33" s="45">
        <f t="shared" si="0"/>
        <v>25216500</v>
      </c>
      <c r="E33" s="45">
        <f t="shared" si="1"/>
        <v>22543857.142857142</v>
      </c>
      <c r="F33" s="45">
        <f t="shared" si="2"/>
        <v>7518000</v>
      </c>
      <c r="G33" s="45">
        <f t="shared" si="3"/>
        <v>34244000</v>
      </c>
      <c r="H33" s="45">
        <f t="shared" si="4"/>
        <v>13521000</v>
      </c>
      <c r="I33" s="45">
        <f t="shared" si="5"/>
        <v>32219750</v>
      </c>
      <c r="J33" s="45">
        <f t="shared" si="6"/>
        <v>10167237.866017291</v>
      </c>
      <c r="K33" s="46">
        <f t="shared" si="7"/>
        <v>0.45099815003213445</v>
      </c>
      <c r="L33" s="47"/>
      <c r="M33" s="47">
        <v>34043000</v>
      </c>
      <c r="N33" s="47">
        <v>34244000</v>
      </c>
      <c r="O33" s="47">
        <v>33398000</v>
      </c>
      <c r="P33" s="47">
        <v>33399000</v>
      </c>
      <c r="Q33" s="47">
        <v>28685000</v>
      </c>
      <c r="R33" s="47">
        <v>24827000</v>
      </c>
      <c r="S33" s="47">
        <v>26388000</v>
      </c>
      <c r="T33" s="47">
        <v>25606000</v>
      </c>
      <c r="U33" s="47">
        <v>22813000</v>
      </c>
      <c r="V33" s="47">
        <v>14439000</v>
      </c>
      <c r="W33" s="47">
        <v>13215000</v>
      </c>
      <c r="X33" s="47">
        <v>8699000</v>
      </c>
      <c r="Y33" s="47">
        <v>7518000</v>
      </c>
      <c r="Z33" s="47">
        <v>8340000</v>
      </c>
      <c r="AB33" s="30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outlineLevel="3" x14ac:dyDescent="0.25">
      <c r="A34" s="29">
        <v>1</v>
      </c>
      <c r="C34" s="24" t="str">
        <f>"            General Allowance for Receivables and Write Offs, Current"</f>
        <v xml:space="preserve">            General Allowance for Receivables and Write Offs, Current</v>
      </c>
      <c r="D34" s="32">
        <f t="shared" si="0"/>
        <v>-422000</v>
      </c>
      <c r="E34" s="32">
        <f t="shared" si="1"/>
        <v>-422000</v>
      </c>
      <c r="F34" s="32">
        <f t="shared" si="2"/>
        <v>-422000</v>
      </c>
      <c r="G34" s="32">
        <f t="shared" si="3"/>
        <v>-422000</v>
      </c>
      <c r="H34" s="32">
        <f t="shared" si="4"/>
        <v>-422000</v>
      </c>
      <c r="I34" s="32">
        <f t="shared" si="5"/>
        <v>-422000</v>
      </c>
      <c r="J34" s="32" t="str">
        <f t="shared" si="6"/>
        <v/>
      </c>
      <c r="K34" s="33" t="str">
        <f t="shared" si="7"/>
        <v/>
      </c>
      <c r="L34" s="37"/>
      <c r="M34" s="37" t="s">
        <v>124</v>
      </c>
      <c r="N34" s="37" t="s">
        <v>124</v>
      </c>
      <c r="O34" s="37" t="s">
        <v>124</v>
      </c>
      <c r="P34" s="37" t="s">
        <v>124</v>
      </c>
      <c r="Q34" s="37" t="s">
        <v>124</v>
      </c>
      <c r="R34" s="37" t="s">
        <v>124</v>
      </c>
      <c r="S34" s="37" t="s">
        <v>124</v>
      </c>
      <c r="T34" s="37" t="s">
        <v>124</v>
      </c>
      <c r="U34" s="37" t="s">
        <v>124</v>
      </c>
      <c r="V34" s="37" t="s">
        <v>124</v>
      </c>
      <c r="W34" s="37" t="s">
        <v>124</v>
      </c>
      <c r="X34" s="37" t="s">
        <v>124</v>
      </c>
      <c r="Y34" s="37" t="s">
        <v>124</v>
      </c>
      <c r="Z34" s="37">
        <v>-422000</v>
      </c>
      <c r="AB34" s="30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outlineLevel="3" x14ac:dyDescent="0.25">
      <c r="A35" s="29">
        <v>1</v>
      </c>
      <c r="C35" s="25" t="str">
        <f>"            Total Trade and Other Receivables, Current"</f>
        <v xml:space="preserve">            Total Trade and Other Receivables, Current</v>
      </c>
      <c r="D35" s="45">
        <f t="shared" si="0"/>
        <v>25216500</v>
      </c>
      <c r="E35" s="45">
        <f t="shared" si="1"/>
        <v>22513714.285714287</v>
      </c>
      <c r="F35" s="45">
        <f t="shared" si="2"/>
        <v>7518000</v>
      </c>
      <c r="G35" s="45">
        <f t="shared" si="3"/>
        <v>34244000</v>
      </c>
      <c r="H35" s="45">
        <f t="shared" si="4"/>
        <v>13521000</v>
      </c>
      <c r="I35" s="45">
        <f t="shared" si="5"/>
        <v>32219750</v>
      </c>
      <c r="J35" s="45">
        <f t="shared" si="6"/>
        <v>10213109.429541046</v>
      </c>
      <c r="K35" s="46">
        <f t="shared" si="7"/>
        <v>0.45363947058800552</v>
      </c>
      <c r="L35" s="47"/>
      <c r="M35" s="47">
        <v>34043000</v>
      </c>
      <c r="N35" s="47">
        <v>34244000</v>
      </c>
      <c r="O35" s="47">
        <v>33398000</v>
      </c>
      <c r="P35" s="47">
        <v>33399000</v>
      </c>
      <c r="Q35" s="47">
        <v>28685000</v>
      </c>
      <c r="R35" s="47">
        <v>24827000</v>
      </c>
      <c r="S35" s="47">
        <v>26388000</v>
      </c>
      <c r="T35" s="47">
        <v>25606000</v>
      </c>
      <c r="U35" s="47">
        <v>22813000</v>
      </c>
      <c r="V35" s="47">
        <v>14439000</v>
      </c>
      <c r="W35" s="47">
        <v>13215000</v>
      </c>
      <c r="X35" s="47">
        <v>8699000</v>
      </c>
      <c r="Y35" s="47">
        <v>7518000</v>
      </c>
      <c r="Z35" s="47">
        <v>7918000</v>
      </c>
      <c r="AB35" s="30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outlineLevel="2" x14ac:dyDescent="0.25">
      <c r="A36" s="29">
        <v>1</v>
      </c>
      <c r="C36" s="24" t="str">
        <f>"        Deferred Tax Assets, Current"</f>
        <v xml:space="preserve">        Deferred Tax Assets, Current</v>
      </c>
      <c r="D36" s="32">
        <f t="shared" si="0"/>
        <v>3146000</v>
      </c>
      <c r="E36" s="32">
        <f t="shared" si="1"/>
        <v>5256142.8571428573</v>
      </c>
      <c r="F36" s="32">
        <f t="shared" si="2"/>
        <v>527000</v>
      </c>
      <c r="G36" s="32">
        <f t="shared" si="3"/>
        <v>10349000</v>
      </c>
      <c r="H36" s="32">
        <f t="shared" si="4"/>
        <v>1791000</v>
      </c>
      <c r="I36" s="32">
        <f t="shared" si="5"/>
        <v>9594500</v>
      </c>
      <c r="J36" s="32">
        <f t="shared" si="6"/>
        <v>4367817.4728564918</v>
      </c>
      <c r="K36" s="33">
        <f t="shared" si="7"/>
        <v>0.83099291468473468</v>
      </c>
      <c r="L36" s="37"/>
      <c r="M36" s="37" t="s">
        <v>124</v>
      </c>
      <c r="N36" s="37" t="s">
        <v>124</v>
      </c>
      <c r="O36" s="37" t="s">
        <v>124</v>
      </c>
      <c r="P36" s="37" t="s">
        <v>124</v>
      </c>
      <c r="Q36" s="37" t="s">
        <v>124</v>
      </c>
      <c r="R36" s="37" t="s">
        <v>124</v>
      </c>
      <c r="S36" s="37" t="s">
        <v>124</v>
      </c>
      <c r="T36" s="37">
        <v>9760000</v>
      </c>
      <c r="U36" s="37">
        <v>10349000</v>
      </c>
      <c r="V36" s="37">
        <v>9429000</v>
      </c>
      <c r="W36" s="37">
        <v>527000</v>
      </c>
      <c r="X36" s="37">
        <v>1805000</v>
      </c>
      <c r="Y36" s="37">
        <v>1777000</v>
      </c>
      <c r="Z36" s="37">
        <v>3146000</v>
      </c>
      <c r="AB36" s="30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outlineLevel="2" x14ac:dyDescent="0.25">
      <c r="A37" s="29">
        <v>1</v>
      </c>
      <c r="C37" s="24" t="str">
        <f>"        Deferred Costs/Assets, Current"</f>
        <v xml:space="preserve">        Deferred Costs/Assets, Current</v>
      </c>
      <c r="D37" s="32">
        <f t="shared" si="0"/>
        <v>0</v>
      </c>
      <c r="E37" s="32">
        <f t="shared" si="1"/>
        <v>0</v>
      </c>
      <c r="F37" s="32">
        <f t="shared" si="2"/>
        <v>0</v>
      </c>
      <c r="G37" s="32">
        <f t="shared" si="3"/>
        <v>0</v>
      </c>
      <c r="H37" s="32">
        <f t="shared" si="4"/>
        <v>0</v>
      </c>
      <c r="I37" s="32">
        <f t="shared" si="5"/>
        <v>0</v>
      </c>
      <c r="J37" s="32">
        <f t="shared" si="6"/>
        <v>0</v>
      </c>
      <c r="K37" s="33" t="e">
        <f t="shared" si="7"/>
        <v>#DIV/0!</v>
      </c>
      <c r="L37" s="37"/>
      <c r="M37" s="37" t="s">
        <v>124</v>
      </c>
      <c r="N37" s="37" t="s">
        <v>124</v>
      </c>
      <c r="O37" s="37" t="s">
        <v>124</v>
      </c>
      <c r="P37" s="37" t="s">
        <v>124</v>
      </c>
      <c r="Q37" s="37" t="s">
        <v>124</v>
      </c>
      <c r="R37" s="37" t="s">
        <v>124</v>
      </c>
      <c r="S37" s="37" t="s">
        <v>124</v>
      </c>
      <c r="T37" s="37" t="s">
        <v>124</v>
      </c>
      <c r="U37" s="37" t="s">
        <v>124</v>
      </c>
      <c r="V37" s="37" t="s">
        <v>124</v>
      </c>
      <c r="W37" s="37" t="s">
        <v>124</v>
      </c>
      <c r="X37" s="37">
        <v>0</v>
      </c>
      <c r="Y37" s="37">
        <v>0</v>
      </c>
      <c r="Z37" s="37">
        <v>0</v>
      </c>
      <c r="AB37" s="30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outlineLevel="2" x14ac:dyDescent="0.25">
      <c r="A38" s="29">
        <v>1</v>
      </c>
      <c r="C38" s="24" t="str">
        <f>"        Assets Held for Sale/Discontinued Operations, Current"</f>
        <v xml:space="preserve">        Assets Held for Sale/Discontinued Operations, Current</v>
      </c>
      <c r="D38" s="32">
        <f t="shared" si="0"/>
        <v>388000</v>
      </c>
      <c r="E38" s="32">
        <f t="shared" si="1"/>
        <v>3855333.3333333335</v>
      </c>
      <c r="F38" s="32">
        <f t="shared" si="2"/>
        <v>0</v>
      </c>
      <c r="G38" s="32">
        <f t="shared" si="3"/>
        <v>11178000</v>
      </c>
      <c r="H38" s="32">
        <f t="shared" si="4"/>
        <v>194000</v>
      </c>
      <c r="I38" s="32">
        <f t="shared" si="5"/>
        <v>5783000</v>
      </c>
      <c r="J38" s="32">
        <f t="shared" si="6"/>
        <v>6344582.045598696</v>
      </c>
      <c r="K38" s="33">
        <f t="shared" si="7"/>
        <v>1.6456636812031893</v>
      </c>
      <c r="L38" s="37"/>
      <c r="M38" s="37" t="s">
        <v>124</v>
      </c>
      <c r="N38" s="37" t="s">
        <v>124</v>
      </c>
      <c r="O38" s="37" t="s">
        <v>124</v>
      </c>
      <c r="P38" s="37" t="s">
        <v>124</v>
      </c>
      <c r="Q38" s="37" t="s">
        <v>124</v>
      </c>
      <c r="R38" s="37">
        <v>11178000</v>
      </c>
      <c r="S38" s="37" t="s">
        <v>124</v>
      </c>
      <c r="T38" s="37" t="s">
        <v>124</v>
      </c>
      <c r="U38" s="37" t="s">
        <v>124</v>
      </c>
      <c r="V38" s="37" t="s">
        <v>124</v>
      </c>
      <c r="W38" s="37" t="s">
        <v>124</v>
      </c>
      <c r="X38" s="37">
        <v>0</v>
      </c>
      <c r="Y38" s="37">
        <v>388000</v>
      </c>
      <c r="Z38" s="37" t="s">
        <v>124</v>
      </c>
      <c r="AB38" s="30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outlineLevel="2" x14ac:dyDescent="0.25">
      <c r="A39" s="29">
        <v>1</v>
      </c>
      <c r="C39" s="24" t="str">
        <f>"        Other Current Assets"</f>
        <v xml:space="preserve">        Other Current Assets</v>
      </c>
      <c r="D39" s="32">
        <f t="shared" si="0"/>
        <v>5123000</v>
      </c>
      <c r="E39" s="32">
        <f t="shared" si="1"/>
        <v>4981785.7142857146</v>
      </c>
      <c r="F39" s="32">
        <f t="shared" si="2"/>
        <v>2568000</v>
      </c>
      <c r="G39" s="32">
        <f t="shared" si="3"/>
        <v>7953000</v>
      </c>
      <c r="H39" s="32">
        <f t="shared" si="4"/>
        <v>3739750</v>
      </c>
      <c r="I39" s="32">
        <f t="shared" si="5"/>
        <v>5784000</v>
      </c>
      <c r="J39" s="32">
        <f t="shared" si="6"/>
        <v>1625435.1927819415</v>
      </c>
      <c r="K39" s="33">
        <f t="shared" si="7"/>
        <v>0.32627561400741528</v>
      </c>
      <c r="L39" s="37"/>
      <c r="M39" s="37">
        <v>6396000</v>
      </c>
      <c r="N39" s="37">
        <v>7407000</v>
      </c>
      <c r="O39" s="37">
        <v>7953000</v>
      </c>
      <c r="P39" s="37">
        <v>5268000</v>
      </c>
      <c r="Q39" s="37">
        <v>5571000</v>
      </c>
      <c r="R39" s="37">
        <v>4743000</v>
      </c>
      <c r="S39" s="37">
        <v>5855000</v>
      </c>
      <c r="T39" s="37">
        <v>5104000</v>
      </c>
      <c r="U39" s="37">
        <v>4060000</v>
      </c>
      <c r="V39" s="37">
        <v>3318000</v>
      </c>
      <c r="W39" s="37">
        <v>3633000</v>
      </c>
      <c r="X39" s="37">
        <v>2568000</v>
      </c>
      <c r="Y39" s="37">
        <v>2727000</v>
      </c>
      <c r="Z39" s="37">
        <v>5142000</v>
      </c>
      <c r="AB39" s="30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outlineLevel="2" x14ac:dyDescent="0.25">
      <c r="A40" s="29">
        <v>1</v>
      </c>
      <c r="C40" s="25" t="str">
        <f>"        Total Current Assets"</f>
        <v xml:space="preserve">        Total Current Assets</v>
      </c>
      <c r="D40" s="45">
        <f t="shared" si="0"/>
        <v>72494000</v>
      </c>
      <c r="E40" s="45">
        <f t="shared" si="1"/>
        <v>70305714.285714284</v>
      </c>
      <c r="F40" s="45">
        <f t="shared" si="2"/>
        <v>44267000</v>
      </c>
      <c r="G40" s="45">
        <f t="shared" si="3"/>
        <v>83626000</v>
      </c>
      <c r="H40" s="45">
        <f t="shared" si="4"/>
        <v>65878250</v>
      </c>
      <c r="I40" s="45">
        <f t="shared" si="5"/>
        <v>79743750</v>
      </c>
      <c r="J40" s="45">
        <f t="shared" si="6"/>
        <v>11657222.847980242</v>
      </c>
      <c r="K40" s="46">
        <f t="shared" si="7"/>
        <v>0.16580761558877899</v>
      </c>
      <c r="L40" s="47"/>
      <c r="M40" s="47">
        <v>82103000</v>
      </c>
      <c r="N40" s="47">
        <v>80924000</v>
      </c>
      <c r="O40" s="47">
        <v>74992000</v>
      </c>
      <c r="P40" s="47">
        <v>75293000</v>
      </c>
      <c r="Q40" s="47">
        <v>68744000</v>
      </c>
      <c r="R40" s="47">
        <v>76203000</v>
      </c>
      <c r="S40" s="47">
        <v>69408000</v>
      </c>
      <c r="T40" s="47">
        <v>83626000</v>
      </c>
      <c r="U40" s="47">
        <v>81501000</v>
      </c>
      <c r="V40" s="47">
        <v>69996000</v>
      </c>
      <c r="W40" s="47">
        <v>64923000</v>
      </c>
      <c r="X40" s="47">
        <v>53053000</v>
      </c>
      <c r="Y40" s="47">
        <v>59247000</v>
      </c>
      <c r="Z40" s="47">
        <v>44267000</v>
      </c>
      <c r="AB40" s="30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outlineLevel="1" x14ac:dyDescent="0.25">
      <c r="A41" s="29">
        <v>1</v>
      </c>
      <c r="C41" s="24" t="str">
        <f>IF(SUBTOTAL(109,A41)=A41,"    Non-Current Assets","    Total Non-Current Assets")</f>
        <v xml:space="preserve">    Non-Current Assets</v>
      </c>
      <c r="D41" s="32" t="str">
        <f t="shared" si="0"/>
        <v/>
      </c>
      <c r="E41" s="32" t="str">
        <f t="shared" si="1"/>
        <v/>
      </c>
      <c r="F41" s="32" t="str">
        <f t="shared" si="2"/>
        <v/>
      </c>
      <c r="G41" s="32" t="str">
        <f t="shared" si="3"/>
        <v/>
      </c>
      <c r="H41" s="32" t="str">
        <f t="shared" si="4"/>
        <v/>
      </c>
      <c r="I41" s="32" t="str">
        <f t="shared" si="5"/>
        <v/>
      </c>
      <c r="J41" s="32" t="str">
        <f t="shared" si="6"/>
        <v/>
      </c>
      <c r="K41" s="33" t="str">
        <f t="shared" si="7"/>
        <v/>
      </c>
      <c r="L41" s="37"/>
      <c r="M41" s="37" t="str">
        <f>IF(SUBTOTAL(109,A41)=A41,"",162615000)</f>
        <v/>
      </c>
      <c r="N41" s="37" t="str">
        <f>IF(SUBTOTAL(109,A41)=A41,"",154270000)</f>
        <v/>
      </c>
      <c r="O41" s="37" t="str">
        <f>IF(SUBTOTAL(109,A41)=A41,"",153045000)</f>
        <v/>
      </c>
      <c r="P41" s="37" t="str">
        <f>IF(SUBTOTAL(109,A41)=A41,"",152046000)</f>
        <v/>
      </c>
      <c r="Q41" s="37" t="str">
        <f>IF(SUBTOTAL(109,A41)=A41,"",143738000)</f>
        <v/>
      </c>
      <c r="R41" s="37" t="str">
        <f>IF(SUBTOTAL(109,A41)=A41,"",145487000)</f>
        <v/>
      </c>
      <c r="S41" s="37" t="str">
        <f>IF(SUBTOTAL(109,A41)=A41,"",124930000)</f>
        <v/>
      </c>
      <c r="T41" s="37" t="str">
        <f>IF(SUBTOTAL(109,A41)=A41,"",93875000)</f>
        <v/>
      </c>
      <c r="U41" s="37" t="str">
        <f>IF(SUBTOTAL(109,A41)=A41,"",84843000)</f>
        <v/>
      </c>
      <c r="V41" s="37" t="str">
        <f>IF(SUBTOTAL(109,A41)=A41,"",79426000)</f>
        <v/>
      </c>
      <c r="W41" s="37" t="str">
        <f>IF(SUBTOTAL(109,A41)=A41,"",79680000)</f>
        <v/>
      </c>
      <c r="X41" s="37" t="str">
        <f>IF(SUBTOTAL(109,A41)=A41,"",85845000)</f>
        <v/>
      </c>
      <c r="Y41" s="37" t="str">
        <f>IF(SUBTOTAL(109,A41)=A41,"",77048000)</f>
        <v/>
      </c>
      <c r="Z41" s="37" t="str">
        <f>IF(SUBTOTAL(109,A41)=A41,"",46772000)</f>
        <v/>
      </c>
      <c r="AB41" s="30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outlineLevel="2" x14ac:dyDescent="0.25">
      <c r="A42" s="29">
        <v>1</v>
      </c>
      <c r="C42" s="24" t="str">
        <f>IF(SUBTOTAL(109,A42)=A42,"        Net Property, Plant and Equipment","        Net Property, Plant and Equipment")</f>
        <v xml:space="preserve">        Net Property, Plant and Equipment</v>
      </c>
      <c r="D42" s="32" t="str">
        <f t="shared" si="0"/>
        <v/>
      </c>
      <c r="E42" s="32" t="str">
        <f t="shared" si="1"/>
        <v/>
      </c>
      <c r="F42" s="32" t="str">
        <f t="shared" si="2"/>
        <v/>
      </c>
      <c r="G42" s="32" t="str">
        <f t="shared" si="3"/>
        <v/>
      </c>
      <c r="H42" s="32" t="str">
        <f t="shared" si="4"/>
        <v/>
      </c>
      <c r="I42" s="32" t="str">
        <f t="shared" si="5"/>
        <v/>
      </c>
      <c r="J42" s="32" t="str">
        <f t="shared" si="6"/>
        <v/>
      </c>
      <c r="K42" s="33" t="str">
        <f t="shared" si="7"/>
        <v/>
      </c>
      <c r="L42" s="37"/>
      <c r="M42" s="37" t="str">
        <f>IF(SUBTOTAL(109,A42)=A42,"",79044000)</f>
        <v/>
      </c>
      <c r="N42" s="37" t="str">
        <f>IF(SUBTOTAL(109,A42)=A42,"",77451000)</f>
        <v/>
      </c>
      <c r="O42" s="37" t="str">
        <f>IF(SUBTOTAL(109,A42)=A42,"",80805000)</f>
        <v/>
      </c>
      <c r="P42" s="37" t="str">
        <f>IF(SUBTOTAL(109,A42)=A42,"",82317000)</f>
        <v/>
      </c>
      <c r="Q42" s="37" t="str">
        <f>IF(SUBTOTAL(109,A42)=A42,"",79135000)</f>
        <v/>
      </c>
      <c r="R42" s="37" t="str">
        <f>IF(SUBTOTAL(109,A42)=A42,"",66945000)</f>
        <v/>
      </c>
      <c r="S42" s="37" t="str">
        <f>IF(SUBTOTAL(109,A42)=A42,"",51401000)</f>
        <v/>
      </c>
      <c r="T42" s="37" t="str">
        <f>IF(SUBTOTAL(109,A42)=A42,"",34803000)</f>
        <v/>
      </c>
      <c r="U42" s="37" t="str">
        <f>IF(SUBTOTAL(109,A42)=A42,"",29250000)</f>
        <v/>
      </c>
      <c r="V42" s="37" t="str">
        <f>IF(SUBTOTAL(109,A42)=A42,"",25845000)</f>
        <v/>
      </c>
      <c r="W42" s="37" t="str">
        <f>IF(SUBTOTAL(109,A42)=A42,"",23790000)</f>
        <v/>
      </c>
      <c r="X42" s="37" t="str">
        <f>IF(SUBTOTAL(109,A42)=A42,"",19235000)</f>
        <v/>
      </c>
      <c r="Y42" s="37" t="str">
        <f>IF(SUBTOTAL(109,A42)=A42,"",18687000)</f>
        <v/>
      </c>
      <c r="Z42" s="37" t="str">
        <f>IF(SUBTOTAL(109,A42)=A42,"",39665000)</f>
        <v/>
      </c>
      <c r="AB42" s="30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outlineLevel="3" collapsed="1" x14ac:dyDescent="0.25">
      <c r="A43" s="29">
        <v>1</v>
      </c>
      <c r="C43" s="24" t="str">
        <f>IF(SUBTOTAL(109,A43)=A43,"            Gross Property, Plant and Equipment","            Gross Property, Plant and Equipment")</f>
        <v xml:space="preserve">            Gross Property, Plant and Equipment</v>
      </c>
      <c r="D43" s="32" t="str">
        <f t="shared" ref="D43:D74" si="8">IF(COUNT(M43:Z43)&gt;0,MEDIAN(M43:Z43),"")</f>
        <v/>
      </c>
      <c r="E43" s="32" t="str">
        <f t="shared" ref="E43:E74" si="9">IF(COUNT(M43:Z43)&gt;0,AVERAGE(M43:Z43),"")</f>
        <v/>
      </c>
      <c r="F43" s="32" t="str">
        <f t="shared" ref="F43:F74" si="10">IF(COUNT(M43:Z43)&gt;0,MIN(M43:Z43),"")</f>
        <v/>
      </c>
      <c r="G43" s="32" t="str">
        <f t="shared" ref="G43:G74" si="11">IF(COUNT(M43:Z43)&gt;0,MAX(M43:Z43),"")</f>
        <v/>
      </c>
      <c r="H43" s="32" t="str">
        <f t="shared" ref="H43:H74" si="12">IF(COUNT(M43:Z43)&gt;0,QUARTILE(M43:Z43,1),"")</f>
        <v/>
      </c>
      <c r="I43" s="32" t="str">
        <f t="shared" ref="I43:I74" si="13">IF(COUNT(M43:Z43)&gt;0,QUARTILE(M43:Z43,3),"")</f>
        <v/>
      </c>
      <c r="J43" s="32" t="str">
        <f t="shared" ref="J43:J74" si="14">IF(COUNT(M43:Z43)&gt;1,STDEV(M43:Z43),"")</f>
        <v/>
      </c>
      <c r="K43" s="33" t="str">
        <f t="shared" ref="K43:K74" si="15">IF(COUNT(M43:Z43)&gt;1,STDEV(M43:Z43)/AVERAGE(M43:Z43),"")</f>
        <v/>
      </c>
      <c r="L43" s="37"/>
      <c r="M43" s="37" t="str">
        <f>IF(SUBTOTAL(109,A43)=A43,"",119824000)</f>
        <v/>
      </c>
      <c r="N43" s="37" t="str">
        <f>IF(SUBTOTAL(109,A43)=A43,"",115455000)</f>
        <v/>
      </c>
      <c r="O43" s="37" t="str">
        <f>IF(SUBTOTAL(109,A43)=A43,"",109504000)</f>
        <v/>
      </c>
      <c r="P43" s="37" t="str">
        <f>IF(SUBTOTAL(109,A43)=A43,"",109042000)</f>
        <v/>
      </c>
      <c r="Q43" s="37" t="str">
        <f>IF(SUBTOTAL(109,A43)=A43,"",103216000)</f>
        <v/>
      </c>
      <c r="R43" s="37" t="str">
        <f>IF(SUBTOTAL(109,A43)=A43,"",87611000)</f>
        <v/>
      </c>
      <c r="S43" s="37" t="str">
        <f>IF(SUBTOTAL(109,A43)=A43,"",63750000)</f>
        <v/>
      </c>
      <c r="T43" s="37" t="str">
        <f>IF(SUBTOTAL(109,A43)=A43,"",44078000)</f>
        <v/>
      </c>
      <c r="U43" s="37" t="str">
        <f>IF(SUBTOTAL(109,A43)=A43,"",36679000)</f>
        <v/>
      </c>
      <c r="V43" s="37" t="str">
        <f>IF(SUBTOTAL(109,A43)=A43,"",31662000)</f>
        <v/>
      </c>
      <c r="W43" s="37" t="str">
        <f>IF(SUBTOTAL(109,A43)=A43,"",28476000)</f>
        <v/>
      </c>
      <c r="X43" s="37" t="str">
        <f>IF(SUBTOTAL(109,A43)=A43,"",22512000)</f>
        <v/>
      </c>
      <c r="Y43" s="37" t="str">
        <f>IF(SUBTOTAL(109,A43)=A43,"",19972000)</f>
        <v/>
      </c>
      <c r="Z43" s="37" t="str">
        <f>IF(SUBTOTAL(109,A43)=A43,"",83377000)</f>
        <v/>
      </c>
      <c r="AB43" s="30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hidden="1" outlineLevel="4" collapsed="1" x14ac:dyDescent="0.25">
      <c r="A44" s="29">
        <v>1</v>
      </c>
      <c r="C44" s="24" t="str">
        <f>IF(SUBTOTAL(109,A44)=A44,"                Properties","                Properties")</f>
        <v xml:space="preserve">                Properties</v>
      </c>
      <c r="D44" s="32">
        <f t="shared" si="8"/>
        <v>9820000</v>
      </c>
      <c r="E44" s="32">
        <f t="shared" si="9"/>
        <v>10768642.857142856</v>
      </c>
      <c r="F44" s="32">
        <f t="shared" si="10"/>
        <v>6708000</v>
      </c>
      <c r="G44" s="32">
        <f t="shared" si="11"/>
        <v>30910000</v>
      </c>
      <c r="H44" s="32">
        <f t="shared" si="12"/>
        <v>7199250</v>
      </c>
      <c r="I44" s="32">
        <f t="shared" si="13"/>
        <v>11480250</v>
      </c>
      <c r="J44" s="32">
        <f t="shared" si="14"/>
        <v>6158093.144012168</v>
      </c>
      <c r="K44" s="33">
        <f t="shared" si="15"/>
        <v>0.5718541533697068</v>
      </c>
      <c r="L44" s="37"/>
      <c r="M44" s="37">
        <f>IF(SUBTOTAL(109,A44)=A44,"",11843000)</f>
        <v>11843000</v>
      </c>
      <c r="N44" s="37">
        <f>IF(SUBTOTAL(109,A44)=A44,"",11010000)</f>
        <v>11010000</v>
      </c>
      <c r="O44" s="37">
        <f>IF(SUBTOTAL(109,A44)=A44,"",11007000)</f>
        <v>11007000</v>
      </c>
      <c r="P44" s="37">
        <f>IF(SUBTOTAL(109,A44)=A44,"",10522000)</f>
        <v>10522000</v>
      </c>
      <c r="Q44" s="37">
        <f>IF(SUBTOTAL(109,A44)=A44,"",9118000)</f>
        <v>9118000</v>
      </c>
      <c r="R44" s="37">
        <f>IF(SUBTOTAL(109,A44)=A44,"",7804000)</f>
        <v>7804000</v>
      </c>
      <c r="S44" s="37">
        <f>IF(SUBTOTAL(109,A44)=A44,"",7198000)</f>
        <v>7198000</v>
      </c>
      <c r="T44" s="37">
        <f>IF(SUBTOTAL(109,A44)=A44,"",6931000)</f>
        <v>6931000</v>
      </c>
      <c r="U44" s="37">
        <f>IF(SUBTOTAL(109,A44)=A44,"",6839000)</f>
        <v>6839000</v>
      </c>
      <c r="V44" s="37">
        <f>IF(SUBTOTAL(109,A44)=A44,"",6708000)</f>
        <v>6708000</v>
      </c>
      <c r="W44" s="37">
        <f>IF(SUBTOTAL(109,A44)=A44,"",7203000)</f>
        <v>7203000</v>
      </c>
      <c r="X44" s="37">
        <f>IF(SUBTOTAL(109,A44)=A44,"",12031000)</f>
        <v>12031000</v>
      </c>
      <c r="Y44" s="37">
        <f>IF(SUBTOTAL(109,A44)=A44,"",11637000)</f>
        <v>11637000</v>
      </c>
      <c r="Z44" s="37">
        <f>IF(SUBTOTAL(109,A44)=A44,"",30910000)</f>
        <v>30910000</v>
      </c>
      <c r="AB44" s="3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hidden="1" outlineLevel="5" x14ac:dyDescent="0.25">
      <c r="A45" s="29">
        <v>1</v>
      </c>
      <c r="C45" s="24" t="str">
        <f>"                    Land and Improvements"</f>
        <v xml:space="preserve">                    Land and Improvements</v>
      </c>
      <c r="D45" s="32">
        <f t="shared" si="8"/>
        <v>1641500</v>
      </c>
      <c r="E45" s="32">
        <f t="shared" si="9"/>
        <v>1759500</v>
      </c>
      <c r="F45" s="32">
        <f t="shared" si="10"/>
        <v>1162000</v>
      </c>
      <c r="G45" s="32">
        <f t="shared" si="11"/>
        <v>2602000</v>
      </c>
      <c r="H45" s="32">
        <f t="shared" si="12"/>
        <v>1341500</v>
      </c>
      <c r="I45" s="32">
        <f t="shared" si="13"/>
        <v>2047250</v>
      </c>
      <c r="J45" s="32">
        <f t="shared" si="14"/>
        <v>494608.11993707938</v>
      </c>
      <c r="K45" s="33">
        <f t="shared" si="15"/>
        <v>0.28110720087358876</v>
      </c>
      <c r="L45" s="37"/>
      <c r="M45" s="37">
        <v>1301000</v>
      </c>
      <c r="N45" s="37">
        <v>1339000</v>
      </c>
      <c r="O45" s="37">
        <v>1302000</v>
      </c>
      <c r="P45" s="37">
        <v>1349000</v>
      </c>
      <c r="Q45" s="37">
        <v>1647000</v>
      </c>
      <c r="R45" s="37">
        <v>1587000</v>
      </c>
      <c r="S45" s="37">
        <v>1636000</v>
      </c>
      <c r="T45" s="37">
        <v>1695000</v>
      </c>
      <c r="U45" s="37">
        <v>1868000</v>
      </c>
      <c r="V45" s="37">
        <v>2107000</v>
      </c>
      <c r="W45" s="37">
        <v>2502000</v>
      </c>
      <c r="X45" s="37">
        <v>2536000</v>
      </c>
      <c r="Y45" s="37">
        <v>2602000</v>
      </c>
      <c r="Z45" s="37">
        <v>1162000</v>
      </c>
      <c r="AB45" s="30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hidden="1" outlineLevel="5" x14ac:dyDescent="0.25">
      <c r="A46" s="29">
        <v>1</v>
      </c>
      <c r="C46" s="24" t="str">
        <f>"                    Buildings and Improvements"</f>
        <v xml:space="preserve">                    Buildings and Improvements</v>
      </c>
      <c r="D46" s="32">
        <f t="shared" si="8"/>
        <v>5889500</v>
      </c>
      <c r="E46" s="32">
        <f t="shared" si="9"/>
        <v>7531428.5714285718</v>
      </c>
      <c r="F46" s="32">
        <f t="shared" si="10"/>
        <v>4292000</v>
      </c>
      <c r="G46" s="32">
        <f t="shared" si="11"/>
        <v>18974000</v>
      </c>
      <c r="H46" s="32">
        <f t="shared" si="12"/>
        <v>4768500</v>
      </c>
      <c r="I46" s="32">
        <f t="shared" si="13"/>
        <v>9546500</v>
      </c>
      <c r="J46" s="32">
        <f t="shared" si="14"/>
        <v>3988521.6022266406</v>
      </c>
      <c r="K46" s="33">
        <f t="shared" si="15"/>
        <v>0.52958367252629901</v>
      </c>
      <c r="L46" s="37"/>
      <c r="M46" s="37">
        <v>10542000</v>
      </c>
      <c r="N46" s="37">
        <v>9671000</v>
      </c>
      <c r="O46" s="37">
        <v>9705000</v>
      </c>
      <c r="P46" s="37">
        <v>9173000</v>
      </c>
      <c r="Q46" s="37">
        <v>7471000</v>
      </c>
      <c r="R46" s="37">
        <v>6217000</v>
      </c>
      <c r="S46" s="37">
        <v>5562000</v>
      </c>
      <c r="T46" s="37">
        <v>5236000</v>
      </c>
      <c r="U46" s="37">
        <v>4971000</v>
      </c>
      <c r="V46" s="37">
        <v>4601000</v>
      </c>
      <c r="W46" s="37">
        <v>4701000</v>
      </c>
      <c r="X46" s="37">
        <v>4324000</v>
      </c>
      <c r="Y46" s="37">
        <v>4292000</v>
      </c>
      <c r="Z46" s="37">
        <v>18974000</v>
      </c>
      <c r="AB46" s="30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hidden="1" outlineLevel="5" x14ac:dyDescent="0.25">
      <c r="A47" s="29">
        <v>1</v>
      </c>
      <c r="C47" s="24" t="str">
        <f>"                    Other Properties and Improvements"</f>
        <v xml:space="preserve">                    Other Properties and Improvements</v>
      </c>
      <c r="D47" s="32">
        <f t="shared" si="8"/>
        <v>5171000</v>
      </c>
      <c r="E47" s="32">
        <f t="shared" si="9"/>
        <v>6896000</v>
      </c>
      <c r="F47" s="32">
        <f t="shared" si="10"/>
        <v>4743000</v>
      </c>
      <c r="G47" s="32">
        <f t="shared" si="11"/>
        <v>10774000</v>
      </c>
      <c r="H47" s="32">
        <f t="shared" si="12"/>
        <v>4957000</v>
      </c>
      <c r="I47" s="32">
        <f t="shared" si="13"/>
        <v>7972500</v>
      </c>
      <c r="J47" s="32">
        <f t="shared" si="14"/>
        <v>3365257.6424398771</v>
      </c>
      <c r="K47" s="33">
        <f t="shared" si="15"/>
        <v>0.48800139826564343</v>
      </c>
      <c r="L47" s="37"/>
      <c r="M47" s="37" t="s">
        <v>124</v>
      </c>
      <c r="N47" s="37" t="s">
        <v>124</v>
      </c>
      <c r="O47" s="37" t="s">
        <v>124</v>
      </c>
      <c r="P47" s="37" t="s">
        <v>124</v>
      </c>
      <c r="Q47" s="37" t="s">
        <v>124</v>
      </c>
      <c r="R47" s="37" t="s">
        <v>124</v>
      </c>
      <c r="S47" s="37" t="s">
        <v>124</v>
      </c>
      <c r="T47" s="37" t="s">
        <v>124</v>
      </c>
      <c r="U47" s="37" t="s">
        <v>124</v>
      </c>
      <c r="V47" s="37" t="s">
        <v>124</v>
      </c>
      <c r="W47" s="37" t="s">
        <v>124</v>
      </c>
      <c r="X47" s="37">
        <v>5171000</v>
      </c>
      <c r="Y47" s="37">
        <v>4743000</v>
      </c>
      <c r="Z47" s="37">
        <v>10774000</v>
      </c>
      <c r="AB47" s="30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hidden="1" outlineLevel="5" x14ac:dyDescent="0.25">
      <c r="A48" s="29">
        <v>1</v>
      </c>
      <c r="C48" s="25" t="str">
        <f>"                    Total Properties"</f>
        <v xml:space="preserve">                    Total Properties</v>
      </c>
      <c r="D48" s="45">
        <f t="shared" si="8"/>
        <v>9820000</v>
      </c>
      <c r="E48" s="45">
        <f t="shared" si="9"/>
        <v>10768642.857142856</v>
      </c>
      <c r="F48" s="45">
        <f t="shared" si="10"/>
        <v>6708000</v>
      </c>
      <c r="G48" s="45">
        <f t="shared" si="11"/>
        <v>30910000</v>
      </c>
      <c r="H48" s="45">
        <f t="shared" si="12"/>
        <v>7199250</v>
      </c>
      <c r="I48" s="45">
        <f t="shared" si="13"/>
        <v>11480250</v>
      </c>
      <c r="J48" s="45">
        <f t="shared" si="14"/>
        <v>6158093.144012168</v>
      </c>
      <c r="K48" s="46">
        <f t="shared" si="15"/>
        <v>0.5718541533697068</v>
      </c>
      <c r="L48" s="47"/>
      <c r="M48" s="47">
        <v>11843000</v>
      </c>
      <c r="N48" s="47">
        <v>11010000</v>
      </c>
      <c r="O48" s="47">
        <v>11007000</v>
      </c>
      <c r="P48" s="47">
        <v>10522000</v>
      </c>
      <c r="Q48" s="47">
        <v>9118000</v>
      </c>
      <c r="R48" s="47">
        <v>7804000</v>
      </c>
      <c r="S48" s="47">
        <v>7198000</v>
      </c>
      <c r="T48" s="47">
        <v>6931000</v>
      </c>
      <c r="U48" s="47">
        <v>6839000</v>
      </c>
      <c r="V48" s="47">
        <v>6708000</v>
      </c>
      <c r="W48" s="47">
        <v>7203000</v>
      </c>
      <c r="X48" s="47">
        <v>12031000</v>
      </c>
      <c r="Y48" s="47">
        <v>11637000</v>
      </c>
      <c r="Z48" s="47">
        <v>30910000</v>
      </c>
      <c r="AB48" s="30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hidden="1" outlineLevel="4" collapsed="1" x14ac:dyDescent="0.25">
      <c r="A49" s="29">
        <v>1</v>
      </c>
      <c r="C49" s="24" t="str">
        <f>IF(SUBTOTAL(109,A49)=A49,"                Machinery, Furniture and Equipment","                Machinery, Furniture and Equipment")</f>
        <v xml:space="preserve">                Machinery, Furniture and Equipment</v>
      </c>
      <c r="D49" s="32">
        <f t="shared" si="8"/>
        <v>29913500</v>
      </c>
      <c r="E49" s="32">
        <f t="shared" si="9"/>
        <v>32984500</v>
      </c>
      <c r="F49" s="32">
        <f t="shared" si="10"/>
        <v>6686000</v>
      </c>
      <c r="G49" s="32">
        <f t="shared" si="11"/>
        <v>70012000</v>
      </c>
      <c r="H49" s="32">
        <f t="shared" si="12"/>
        <v>15784250</v>
      </c>
      <c r="I49" s="32">
        <f t="shared" si="13"/>
        <v>47732500</v>
      </c>
      <c r="J49" s="32">
        <f t="shared" si="14"/>
        <v>21037187.724269465</v>
      </c>
      <c r="K49" s="33">
        <f t="shared" si="15"/>
        <v>0.63779010517877988</v>
      </c>
      <c r="L49" s="37"/>
      <c r="M49" s="37">
        <f>IF(SUBTOTAL(109,A49)=A49,"",31444000)</f>
        <v>31444000</v>
      </c>
      <c r="N49" s="37">
        <f>IF(SUBTOTAL(109,A49)=A49,"",30013000)</f>
        <v>30013000</v>
      </c>
      <c r="O49" s="37">
        <f>IF(SUBTOTAL(109,A49)=A49,"",29814000)</f>
        <v>29814000</v>
      </c>
      <c r="P49" s="37">
        <f>IF(SUBTOTAL(109,A49)=A49,"",70012000)</f>
        <v>70012000</v>
      </c>
      <c r="Q49" s="37">
        <f>IF(SUBTOTAL(109,A49)=A49,"",66797000)</f>
        <v>66797000</v>
      </c>
      <c r="R49" s="37">
        <f>IF(SUBTOTAL(109,A49)=A49,"",55955000)</f>
        <v>55955000</v>
      </c>
      <c r="S49" s="37">
        <f>IF(SUBTOTAL(109,A49)=A49,"",42343000)</f>
        <v>42343000</v>
      </c>
      <c r="T49" s="37">
        <f>IF(SUBTOTAL(109,A49)=A49,"",25056000)</f>
        <v>25056000</v>
      </c>
      <c r="U49" s="37">
        <f>IF(SUBTOTAL(109,A49)=A49,"",19247000)</f>
        <v>19247000</v>
      </c>
      <c r="V49" s="37">
        <f>IF(SUBTOTAL(109,A49)=A49,"",14630000)</f>
        <v>14630000</v>
      </c>
      <c r="W49" s="37">
        <f>IF(SUBTOTAL(109,A49)=A49,"",11530000)</f>
        <v>11530000</v>
      </c>
      <c r="X49" s="37">
        <f>IF(SUBTOTAL(109,A49)=A49,"",8727000)</f>
        <v>8727000</v>
      </c>
      <c r="Y49" s="37">
        <f>IF(SUBTOTAL(109,A49)=A49,"",6686000)</f>
        <v>6686000</v>
      </c>
      <c r="Z49" s="37">
        <f>IF(SUBTOTAL(109,A49)=A49,"",49529000)</f>
        <v>49529000</v>
      </c>
      <c r="AB49" s="30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hidden="1" outlineLevel="5" x14ac:dyDescent="0.25">
      <c r="A50" s="29">
        <v>1</v>
      </c>
      <c r="C50" s="24" t="str">
        <f>"                    Plant and Machinery"</f>
        <v xml:space="preserve">                    Plant and Machinery</v>
      </c>
      <c r="D50" s="32">
        <f t="shared" si="8"/>
        <v>21613000</v>
      </c>
      <c r="E50" s="32">
        <f t="shared" si="9"/>
        <v>21635454.545454547</v>
      </c>
      <c r="F50" s="32">
        <f t="shared" si="10"/>
        <v>10670000</v>
      </c>
      <c r="G50" s="32">
        <f t="shared" si="11"/>
        <v>31444000</v>
      </c>
      <c r="H50" s="32">
        <f t="shared" si="12"/>
        <v>16005000</v>
      </c>
      <c r="I50" s="32">
        <f t="shared" si="13"/>
        <v>28133500</v>
      </c>
      <c r="J50" s="32">
        <f t="shared" si="14"/>
        <v>7289170.383022151</v>
      </c>
      <c r="K50" s="33">
        <f t="shared" si="15"/>
        <v>0.33690858529032169</v>
      </c>
      <c r="L50" s="37"/>
      <c r="M50" s="37">
        <v>31444000</v>
      </c>
      <c r="N50" s="37">
        <v>30013000</v>
      </c>
      <c r="O50" s="37">
        <v>29814000</v>
      </c>
      <c r="P50" s="37">
        <v>26453000</v>
      </c>
      <c r="Q50" s="37">
        <v>23915000</v>
      </c>
      <c r="R50" s="37">
        <v>21613000</v>
      </c>
      <c r="S50" s="37">
        <v>19338000</v>
      </c>
      <c r="T50" s="37">
        <v>16788000</v>
      </c>
      <c r="U50" s="37">
        <v>15222000</v>
      </c>
      <c r="V50" s="37">
        <v>12720000</v>
      </c>
      <c r="W50" s="37">
        <v>10670000</v>
      </c>
      <c r="X50" s="37" t="s">
        <v>124</v>
      </c>
      <c r="Y50" s="37" t="s">
        <v>124</v>
      </c>
      <c r="Z50" s="37" t="s">
        <v>124</v>
      </c>
      <c r="AB50" s="30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hidden="1" outlineLevel="5" x14ac:dyDescent="0.25">
      <c r="A51" s="29">
        <v>1</v>
      </c>
      <c r="C51" s="24" t="str">
        <f>"                    Flight, Fleet, Vehicle and Related Equipment"</f>
        <v xml:space="preserve">                    Flight, Fleet, Vehicle and Related Equipment</v>
      </c>
      <c r="D51" s="32">
        <f t="shared" si="8"/>
        <v>15636500</v>
      </c>
      <c r="E51" s="32">
        <f t="shared" si="9"/>
        <v>19856375</v>
      </c>
      <c r="F51" s="32">
        <f t="shared" si="10"/>
        <v>860000</v>
      </c>
      <c r="G51" s="32">
        <f t="shared" si="11"/>
        <v>43559000</v>
      </c>
      <c r="H51" s="32">
        <f t="shared" si="12"/>
        <v>3496250</v>
      </c>
      <c r="I51" s="32">
        <f t="shared" si="13"/>
        <v>36477000</v>
      </c>
      <c r="J51" s="32">
        <f t="shared" si="14"/>
        <v>18437533.604327731</v>
      </c>
      <c r="K51" s="33">
        <f t="shared" si="15"/>
        <v>0.9285447925075816</v>
      </c>
      <c r="L51" s="37"/>
      <c r="M51" s="37" t="s">
        <v>124</v>
      </c>
      <c r="N51" s="37" t="s">
        <v>124</v>
      </c>
      <c r="O51" s="37" t="s">
        <v>124</v>
      </c>
      <c r="P51" s="37">
        <v>43559000</v>
      </c>
      <c r="Q51" s="37">
        <v>42882000</v>
      </c>
      <c r="R51" s="37">
        <v>34342000</v>
      </c>
      <c r="S51" s="37">
        <v>23005000</v>
      </c>
      <c r="T51" s="37">
        <v>8268000</v>
      </c>
      <c r="U51" s="37">
        <v>4025000</v>
      </c>
      <c r="V51" s="37">
        <v>1910000</v>
      </c>
      <c r="W51" s="37">
        <v>860000</v>
      </c>
      <c r="X51" s="37" t="s">
        <v>124</v>
      </c>
      <c r="Y51" s="37" t="s">
        <v>124</v>
      </c>
      <c r="Z51" s="37" t="s">
        <v>124</v>
      </c>
      <c r="AB51" s="30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 hidden="1" outlineLevel="5" x14ac:dyDescent="0.25">
      <c r="A52" s="29">
        <v>1</v>
      </c>
      <c r="C52" s="25" t="str">
        <f>"                    Total Machinery, Furniture and Equipment"</f>
        <v xml:space="preserve">                    Total Machinery, Furniture and Equipment</v>
      </c>
      <c r="D52" s="45">
        <f t="shared" si="8"/>
        <v>29913500</v>
      </c>
      <c r="E52" s="45">
        <f t="shared" si="9"/>
        <v>32984500</v>
      </c>
      <c r="F52" s="45">
        <f t="shared" si="10"/>
        <v>6686000</v>
      </c>
      <c r="G52" s="45">
        <f t="shared" si="11"/>
        <v>70012000</v>
      </c>
      <c r="H52" s="45">
        <f t="shared" si="12"/>
        <v>15784250</v>
      </c>
      <c r="I52" s="45">
        <f t="shared" si="13"/>
        <v>47732500</v>
      </c>
      <c r="J52" s="45">
        <f t="shared" si="14"/>
        <v>21037187.724269465</v>
      </c>
      <c r="K52" s="46">
        <f t="shared" si="15"/>
        <v>0.63779010517877988</v>
      </c>
      <c r="L52" s="47"/>
      <c r="M52" s="47">
        <v>31444000</v>
      </c>
      <c r="N52" s="47">
        <v>30013000</v>
      </c>
      <c r="O52" s="47">
        <v>29814000</v>
      </c>
      <c r="P52" s="47">
        <v>70012000</v>
      </c>
      <c r="Q52" s="47">
        <v>66797000</v>
      </c>
      <c r="R52" s="47">
        <v>55955000</v>
      </c>
      <c r="S52" s="47">
        <v>42343000</v>
      </c>
      <c r="T52" s="47">
        <v>25056000</v>
      </c>
      <c r="U52" s="47">
        <v>19247000</v>
      </c>
      <c r="V52" s="47">
        <v>14630000</v>
      </c>
      <c r="W52" s="47">
        <v>11530000</v>
      </c>
      <c r="X52" s="47">
        <v>8727000</v>
      </c>
      <c r="Y52" s="47">
        <v>6686000</v>
      </c>
      <c r="Z52" s="47">
        <v>49529000</v>
      </c>
      <c r="AB52" s="30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 hidden="1" outlineLevel="4" x14ac:dyDescent="0.25">
      <c r="A53" s="29">
        <v>1</v>
      </c>
      <c r="C53" s="24" t="str">
        <f>"                Construction in Progress and Advance Payments"</f>
        <v xml:space="preserve">                Construction in Progress and Advance Payments</v>
      </c>
      <c r="D53" s="32">
        <f t="shared" si="8"/>
        <v>3325500</v>
      </c>
      <c r="E53" s="32">
        <f t="shared" si="9"/>
        <v>3657071.4285714286</v>
      </c>
      <c r="F53" s="32">
        <f t="shared" si="10"/>
        <v>1649000</v>
      </c>
      <c r="G53" s="32">
        <f t="shared" si="11"/>
        <v>6188000</v>
      </c>
      <c r="H53" s="32">
        <f t="shared" si="12"/>
        <v>2958000</v>
      </c>
      <c r="I53" s="32">
        <f t="shared" si="13"/>
        <v>4598000</v>
      </c>
      <c r="J53" s="32">
        <f t="shared" si="14"/>
        <v>1320458.8051294736</v>
      </c>
      <c r="K53" s="33">
        <f t="shared" si="15"/>
        <v>0.36107000667615829</v>
      </c>
      <c r="L53" s="37"/>
      <c r="M53" s="37">
        <v>5395000</v>
      </c>
      <c r="N53" s="37">
        <v>3581000</v>
      </c>
      <c r="O53" s="37">
        <v>3042000</v>
      </c>
      <c r="P53" s="37">
        <v>4680000</v>
      </c>
      <c r="Q53" s="37">
        <v>6188000</v>
      </c>
      <c r="R53" s="37">
        <v>4493000</v>
      </c>
      <c r="S53" s="37">
        <v>4633000</v>
      </c>
      <c r="T53" s="37">
        <v>4114000</v>
      </c>
      <c r="U53" s="37">
        <v>2644000</v>
      </c>
      <c r="V53" s="37">
        <v>3018000</v>
      </c>
      <c r="W53" s="37">
        <v>3070000</v>
      </c>
      <c r="X53" s="37">
        <v>1754000</v>
      </c>
      <c r="Y53" s="37">
        <v>1649000</v>
      </c>
      <c r="Z53" s="37">
        <v>2938000</v>
      </c>
      <c r="AB53" s="30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 hidden="1" outlineLevel="4" x14ac:dyDescent="0.25">
      <c r="A54" s="29">
        <v>1</v>
      </c>
      <c r="C54" s="24" t="str">
        <f>"                Leased Property, Plant and Equipment"</f>
        <v xml:space="preserve">                Leased Property, Plant and Equipment</v>
      </c>
      <c r="D54" s="32">
        <f t="shared" si="8"/>
        <v>47423000</v>
      </c>
      <c r="E54" s="32">
        <f t="shared" si="9"/>
        <v>46492666.666666664</v>
      </c>
      <c r="F54" s="32">
        <f t="shared" si="10"/>
        <v>42055000</v>
      </c>
      <c r="G54" s="32">
        <f t="shared" si="11"/>
        <v>50000000</v>
      </c>
      <c r="H54" s="32">
        <f t="shared" si="12"/>
        <v>44739000</v>
      </c>
      <c r="I54" s="32">
        <f t="shared" si="13"/>
        <v>48711500</v>
      </c>
      <c r="J54" s="32">
        <f t="shared" si="14"/>
        <v>4053380.8522433876</v>
      </c>
      <c r="K54" s="33">
        <f t="shared" si="15"/>
        <v>8.7183230020004332E-2</v>
      </c>
      <c r="L54" s="37"/>
      <c r="M54" s="37">
        <v>47423000</v>
      </c>
      <c r="N54" s="37">
        <v>50000000</v>
      </c>
      <c r="O54" s="37">
        <v>42055000</v>
      </c>
      <c r="P54" s="37" t="s">
        <v>124</v>
      </c>
      <c r="Q54" s="37" t="s">
        <v>124</v>
      </c>
      <c r="R54" s="37" t="s">
        <v>124</v>
      </c>
      <c r="S54" s="37" t="s">
        <v>124</v>
      </c>
      <c r="T54" s="37" t="s">
        <v>124</v>
      </c>
      <c r="U54" s="37" t="s">
        <v>124</v>
      </c>
      <c r="V54" s="37" t="s">
        <v>124</v>
      </c>
      <c r="W54" s="37" t="s">
        <v>124</v>
      </c>
      <c r="X54" s="37" t="s">
        <v>124</v>
      </c>
      <c r="Y54" s="37" t="s">
        <v>124</v>
      </c>
      <c r="Z54" s="37" t="s">
        <v>124</v>
      </c>
      <c r="AB54" s="30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 hidden="1" outlineLevel="4" x14ac:dyDescent="0.25">
      <c r="A55" s="29">
        <v>1</v>
      </c>
      <c r="C55" s="24" t="str">
        <f>"                Other Property, Plant and Equipment"</f>
        <v xml:space="preserve">                Other Property, Plant and Equipment</v>
      </c>
      <c r="D55" s="32">
        <f t="shared" si="8"/>
        <v>19359000</v>
      </c>
      <c r="E55" s="32">
        <f t="shared" si="9"/>
        <v>15630636.363636363</v>
      </c>
      <c r="F55" s="32">
        <f t="shared" si="10"/>
        <v>6673000</v>
      </c>
      <c r="G55" s="32">
        <f t="shared" si="11"/>
        <v>23828000</v>
      </c>
      <c r="H55" s="32">
        <f t="shared" si="12"/>
        <v>7963000</v>
      </c>
      <c r="I55" s="32">
        <f t="shared" si="13"/>
        <v>22349500</v>
      </c>
      <c r="J55" s="32">
        <f t="shared" si="14"/>
        <v>7555782.8088521343</v>
      </c>
      <c r="K55" s="33">
        <f t="shared" si="15"/>
        <v>0.48339572574474066</v>
      </c>
      <c r="L55" s="37"/>
      <c r="M55" s="37">
        <v>23719000</v>
      </c>
      <c r="N55" s="37">
        <v>20851000</v>
      </c>
      <c r="O55" s="37">
        <v>23586000</v>
      </c>
      <c r="P55" s="37">
        <v>23828000</v>
      </c>
      <c r="Q55" s="37">
        <v>21113000</v>
      </c>
      <c r="R55" s="37">
        <v>19359000</v>
      </c>
      <c r="S55" s="37">
        <v>9576000</v>
      </c>
      <c r="T55" s="37">
        <v>7977000</v>
      </c>
      <c r="U55" s="37">
        <v>7949000</v>
      </c>
      <c r="V55" s="37">
        <v>7306000</v>
      </c>
      <c r="W55" s="37">
        <v>6673000</v>
      </c>
      <c r="X55" s="37" t="s">
        <v>124</v>
      </c>
      <c r="Y55" s="37" t="s">
        <v>124</v>
      </c>
      <c r="Z55" s="37" t="s">
        <v>124</v>
      </c>
      <c r="AB55" s="30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hidden="1" outlineLevel="4" x14ac:dyDescent="0.25">
      <c r="A56" s="29">
        <v>1</v>
      </c>
      <c r="C56" s="25" t="str">
        <f>"                Total Gross Property, Plant and Equipment"</f>
        <v xml:space="preserve">                Total Gross Property, Plant and Equipment</v>
      </c>
      <c r="D56" s="45">
        <f t="shared" si="8"/>
        <v>73563500</v>
      </c>
      <c r="E56" s="45">
        <f t="shared" si="9"/>
        <v>69654142.857142851</v>
      </c>
      <c r="F56" s="45">
        <f t="shared" si="10"/>
        <v>19972000</v>
      </c>
      <c r="G56" s="45">
        <f t="shared" si="11"/>
        <v>119824000</v>
      </c>
      <c r="H56" s="45">
        <f t="shared" si="12"/>
        <v>32916250</v>
      </c>
      <c r="I56" s="45">
        <f t="shared" si="13"/>
        <v>107585500</v>
      </c>
      <c r="J56" s="45">
        <f t="shared" si="14"/>
        <v>38227465.578997083</v>
      </c>
      <c r="K56" s="46">
        <f t="shared" si="15"/>
        <v>0.54881826135452838</v>
      </c>
      <c r="L56" s="47"/>
      <c r="M56" s="47">
        <v>119824000</v>
      </c>
      <c r="N56" s="47">
        <v>115455000</v>
      </c>
      <c r="O56" s="47">
        <v>109504000</v>
      </c>
      <c r="P56" s="47">
        <v>109042000</v>
      </c>
      <c r="Q56" s="47">
        <v>103216000</v>
      </c>
      <c r="R56" s="47">
        <v>87611000</v>
      </c>
      <c r="S56" s="47">
        <v>63750000</v>
      </c>
      <c r="T56" s="47">
        <v>44078000</v>
      </c>
      <c r="U56" s="47">
        <v>36679000</v>
      </c>
      <c r="V56" s="47">
        <v>31662000</v>
      </c>
      <c r="W56" s="47">
        <v>28476000</v>
      </c>
      <c r="X56" s="47">
        <v>22512000</v>
      </c>
      <c r="Y56" s="47">
        <v>19972000</v>
      </c>
      <c r="Z56" s="47">
        <v>83377000</v>
      </c>
      <c r="AB56" s="3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 outlineLevel="3" collapsed="1" x14ac:dyDescent="0.25">
      <c r="A57" s="29">
        <v>1</v>
      </c>
      <c r="C57" s="24" t="str">
        <f>IF(SUBTOTAL(109,A57)=A57,"            Accumulated Depreciation and Impairment","            Accumulated Depreciation and Impairment")</f>
        <v xml:space="preserve">            Accumulated Depreciation and Impairment</v>
      </c>
      <c r="D57" s="32" t="str">
        <f t="shared" si="8"/>
        <v/>
      </c>
      <c r="E57" s="32" t="str">
        <f t="shared" si="9"/>
        <v/>
      </c>
      <c r="F57" s="32" t="str">
        <f t="shared" si="10"/>
        <v/>
      </c>
      <c r="G57" s="32" t="str">
        <f t="shared" si="11"/>
        <v/>
      </c>
      <c r="H57" s="32" t="str">
        <f t="shared" si="12"/>
        <v/>
      </c>
      <c r="I57" s="32" t="str">
        <f t="shared" si="13"/>
        <v/>
      </c>
      <c r="J57" s="32" t="str">
        <f t="shared" si="14"/>
        <v/>
      </c>
      <c r="K57" s="33" t="str">
        <f t="shared" si="15"/>
        <v/>
      </c>
      <c r="L57" s="37"/>
      <c r="M57" s="37" t="str">
        <f>IF(SUBTOTAL(109,A57)=A57,"",-40780000)</f>
        <v/>
      </c>
      <c r="N57" s="37" t="str">
        <f>IF(SUBTOTAL(109,A57)=A57,"",-38004000)</f>
        <v/>
      </c>
      <c r="O57" s="37" t="str">
        <f>IF(SUBTOTAL(109,A57)=A57,"",-28699000)</f>
        <v/>
      </c>
      <c r="P57" s="37" t="str">
        <f>IF(SUBTOTAL(109,A57)=A57,"",-26725000)</f>
        <v/>
      </c>
      <c r="Q57" s="37" t="str">
        <f>IF(SUBTOTAL(109,A57)=A57,"",-24081000)</f>
        <v/>
      </c>
      <c r="R57" s="37" t="str">
        <f>IF(SUBTOTAL(109,A57)=A57,"",-20666000)</f>
        <v/>
      </c>
      <c r="S57" s="37" t="str">
        <f>IF(SUBTOTAL(109,A57)=A57,"",-12349000)</f>
        <v/>
      </c>
      <c r="T57" s="37" t="str">
        <f>IF(SUBTOTAL(109,A57)=A57,"",-9275000)</f>
        <v/>
      </c>
      <c r="U57" s="37" t="str">
        <f>IF(SUBTOTAL(109,A57)=A57,"",-7429000)</f>
        <v/>
      </c>
      <c r="V57" s="37" t="str">
        <f>IF(SUBTOTAL(109,A57)=A57,"",-5817000)</f>
        <v/>
      </c>
      <c r="W57" s="37" t="str">
        <f>IF(SUBTOTAL(109,A57)=A57,"",-4686000)</f>
        <v/>
      </c>
      <c r="X57" s="37" t="str">
        <f>IF(SUBTOTAL(109,A57)=A57,"",-3277000)</f>
        <v/>
      </c>
      <c r="Y57" s="37" t="str">
        <f>IF(SUBTOTAL(109,A57)=A57,"",-1285000)</f>
        <v/>
      </c>
      <c r="Z57" s="37" t="str">
        <f>IF(SUBTOTAL(109,A57)=A57,"",-43712000)</f>
        <v/>
      </c>
      <c r="AB57" s="30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 hidden="1" outlineLevel="4" collapsed="1" x14ac:dyDescent="0.25">
      <c r="A58" s="29">
        <v>1</v>
      </c>
      <c r="C58" s="24" t="str">
        <f>IF(SUBTOTAL(109,A58)=A58,"                Accumulated Depreciation","                Accumulated Depreciation")</f>
        <v xml:space="preserve">                Accumulated Depreciation</v>
      </c>
      <c r="D58" s="32">
        <f t="shared" si="8"/>
        <v>-16507500</v>
      </c>
      <c r="E58" s="32">
        <f t="shared" si="9"/>
        <v>-19056071.428571429</v>
      </c>
      <c r="F58" s="32">
        <f t="shared" si="10"/>
        <v>-43712000</v>
      </c>
      <c r="G58" s="32">
        <f t="shared" si="11"/>
        <v>-1285000</v>
      </c>
      <c r="H58" s="32">
        <f t="shared" si="12"/>
        <v>-28205500</v>
      </c>
      <c r="I58" s="32">
        <f t="shared" si="13"/>
        <v>-6220000</v>
      </c>
      <c r="J58" s="32">
        <f t="shared" si="14"/>
        <v>14782820.572253069</v>
      </c>
      <c r="K58" s="33">
        <f t="shared" si="15"/>
        <v>-0.77575383927710684</v>
      </c>
      <c r="L58" s="37"/>
      <c r="M58" s="37">
        <f>IF(SUBTOTAL(109,A58)=A58,"",-40780000)</f>
        <v>-40780000</v>
      </c>
      <c r="N58" s="37">
        <f>IF(SUBTOTAL(109,A58)=A58,"",-38004000)</f>
        <v>-38004000</v>
      </c>
      <c r="O58" s="37">
        <f>IF(SUBTOTAL(109,A58)=A58,"",-28699000)</f>
        <v>-28699000</v>
      </c>
      <c r="P58" s="37">
        <f>IF(SUBTOTAL(109,A58)=A58,"",-26725000)</f>
        <v>-26725000</v>
      </c>
      <c r="Q58" s="37">
        <f>IF(SUBTOTAL(109,A58)=A58,"",-24081000)</f>
        <v>-24081000</v>
      </c>
      <c r="R58" s="37">
        <f>IF(SUBTOTAL(109,A58)=A58,"",-20666000)</f>
        <v>-20666000</v>
      </c>
      <c r="S58" s="37">
        <f>IF(SUBTOTAL(109,A58)=A58,"",-12349000)</f>
        <v>-12349000</v>
      </c>
      <c r="T58" s="37">
        <f>IF(SUBTOTAL(109,A58)=A58,"",-9275000)</f>
        <v>-9275000</v>
      </c>
      <c r="U58" s="37">
        <f>IF(SUBTOTAL(109,A58)=A58,"",-7429000)</f>
        <v>-7429000</v>
      </c>
      <c r="V58" s="37">
        <f>IF(SUBTOTAL(109,A58)=A58,"",-5817000)</f>
        <v>-5817000</v>
      </c>
      <c r="W58" s="37">
        <f>IF(SUBTOTAL(109,A58)=A58,"",-4686000)</f>
        <v>-4686000</v>
      </c>
      <c r="X58" s="37">
        <f>IF(SUBTOTAL(109,A58)=A58,"",-3277000)</f>
        <v>-3277000</v>
      </c>
      <c r="Y58" s="37">
        <f>IF(SUBTOTAL(109,A58)=A58,"",-1285000)</f>
        <v>-1285000</v>
      </c>
      <c r="Z58" s="37">
        <f>IF(SUBTOTAL(109,A58)=A58,"",-43712000)</f>
        <v>-43712000</v>
      </c>
      <c r="AB58" s="30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 hidden="1" outlineLevel="5" x14ac:dyDescent="0.25">
      <c r="A59" s="29">
        <v>1</v>
      </c>
      <c r="C59" s="24" t="str">
        <f>"                    Accumulated Depreciation of Properties"</f>
        <v xml:space="preserve">                    Accumulated Depreciation of Properties</v>
      </c>
      <c r="D59" s="32">
        <f t="shared" si="8"/>
        <v>-20666000</v>
      </c>
      <c r="E59" s="32">
        <f t="shared" si="9"/>
        <v>-17619727.272727273</v>
      </c>
      <c r="F59" s="32">
        <f t="shared" si="10"/>
        <v>-31286000</v>
      </c>
      <c r="G59" s="32">
        <f t="shared" si="11"/>
        <v>-4611000</v>
      </c>
      <c r="H59" s="32">
        <f t="shared" si="12"/>
        <v>-27274000</v>
      </c>
      <c r="I59" s="32">
        <f t="shared" si="13"/>
        <v>-7427000</v>
      </c>
      <c r="J59" s="32">
        <f t="shared" si="14"/>
        <v>10661103.874279708</v>
      </c>
      <c r="K59" s="33">
        <f t="shared" si="15"/>
        <v>-0.60506633895415152</v>
      </c>
      <c r="L59" s="37"/>
      <c r="M59" s="37">
        <v>-31286000</v>
      </c>
      <c r="N59" s="37">
        <v>-27823000</v>
      </c>
      <c r="O59" s="37">
        <v>-28699000</v>
      </c>
      <c r="P59" s="37">
        <v>-26725000</v>
      </c>
      <c r="Q59" s="37">
        <v>-24081000</v>
      </c>
      <c r="R59" s="37">
        <v>-20666000</v>
      </c>
      <c r="S59" s="37">
        <v>-9516000</v>
      </c>
      <c r="T59" s="37">
        <v>-8067000</v>
      </c>
      <c r="U59" s="37">
        <v>-6787000</v>
      </c>
      <c r="V59" s="37">
        <v>-5556000</v>
      </c>
      <c r="W59" s="37">
        <v>-4611000</v>
      </c>
      <c r="X59" s="37" t="s">
        <v>124</v>
      </c>
      <c r="Y59" s="37" t="s">
        <v>124</v>
      </c>
      <c r="Z59" s="37" t="s">
        <v>124</v>
      </c>
      <c r="AB59" s="30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 hidden="1" outlineLevel="5" collapsed="1" x14ac:dyDescent="0.25">
      <c r="A60" s="29">
        <v>1</v>
      </c>
      <c r="C60" s="24" t="str">
        <f>IF(SUBTOTAL(109,A60)=A60,"                    Accumulated Depreciation of Machinery, Furniture and Equipment","                    Accumulated Depreciation of Machinery, Furniture and Equipment")</f>
        <v xml:space="preserve">                    Accumulated Depreciation of Machinery, Furniture and Equipment</v>
      </c>
      <c r="D60" s="32">
        <f t="shared" si="8"/>
        <v>-642000</v>
      </c>
      <c r="E60" s="32">
        <f t="shared" si="9"/>
        <v>-1003800</v>
      </c>
      <c r="F60" s="32">
        <f t="shared" si="10"/>
        <v>-2833000</v>
      </c>
      <c r="G60" s="32">
        <f t="shared" si="11"/>
        <v>-75000</v>
      </c>
      <c r="H60" s="32">
        <f t="shared" si="12"/>
        <v>-1208000</v>
      </c>
      <c r="I60" s="32">
        <f t="shared" si="13"/>
        <v>-261000</v>
      </c>
      <c r="J60" s="32">
        <f t="shared" si="14"/>
        <v>1110516.8616459635</v>
      </c>
      <c r="K60" s="33">
        <f t="shared" si="15"/>
        <v>-1.106312872729591</v>
      </c>
      <c r="L60" s="37"/>
      <c r="M60" s="37" t="str">
        <f>IF(SUBTOTAL(109,A60)=A60,"","")</f>
        <v/>
      </c>
      <c r="N60" s="37" t="str">
        <f>IF(SUBTOTAL(109,A60)=A60,"","")</f>
        <v/>
      </c>
      <c r="O60" s="37" t="str">
        <f>IF(SUBTOTAL(109,A60)=A60,"","")</f>
        <v/>
      </c>
      <c r="P60" s="37" t="str">
        <f>IF(SUBTOTAL(109,A60)=A60,"","")</f>
        <v/>
      </c>
      <c r="Q60" s="37" t="str">
        <f>IF(SUBTOTAL(109,A60)=A60,"","")</f>
        <v/>
      </c>
      <c r="R60" s="37" t="str">
        <f>IF(SUBTOTAL(109,A60)=A60,"","")</f>
        <v/>
      </c>
      <c r="S60" s="37">
        <f>IF(SUBTOTAL(109,A60)=A60,"",-2833000)</f>
        <v>-2833000</v>
      </c>
      <c r="T60" s="37">
        <f>IF(SUBTOTAL(109,A60)=A60,"",-1208000)</f>
        <v>-1208000</v>
      </c>
      <c r="U60" s="37">
        <f>IF(SUBTOTAL(109,A60)=A60,"",-642000)</f>
        <v>-642000</v>
      </c>
      <c r="V60" s="37">
        <f>IF(SUBTOTAL(109,A60)=A60,"",-261000)</f>
        <v>-261000</v>
      </c>
      <c r="W60" s="37">
        <f>IF(SUBTOTAL(109,A60)=A60,"",-75000)</f>
        <v>-75000</v>
      </c>
      <c r="X60" s="37" t="str">
        <f>IF(SUBTOTAL(109,A60)=A60,"","")</f>
        <v/>
      </c>
      <c r="Y60" s="37" t="str">
        <f>IF(SUBTOTAL(109,A60)=A60,"","")</f>
        <v/>
      </c>
      <c r="Z60" s="37" t="str">
        <f>IF(SUBTOTAL(109,A60)=A60,"","")</f>
        <v/>
      </c>
      <c r="AB60" s="30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 hidden="1" outlineLevel="6" x14ac:dyDescent="0.25">
      <c r="A61" s="29">
        <v>1</v>
      </c>
      <c r="C61" s="24" t="str">
        <f>"                        Accumulated Depreciation of Flight, Fleet, Vehicle and Related Equipments"</f>
        <v xml:space="preserve">                        Accumulated Depreciation of Flight, Fleet, Vehicle and Related Equipments</v>
      </c>
      <c r="D61" s="32">
        <f t="shared" si="8"/>
        <v>-642000</v>
      </c>
      <c r="E61" s="32">
        <f t="shared" si="9"/>
        <v>-1003800</v>
      </c>
      <c r="F61" s="32">
        <f t="shared" si="10"/>
        <v>-2833000</v>
      </c>
      <c r="G61" s="32">
        <f t="shared" si="11"/>
        <v>-75000</v>
      </c>
      <c r="H61" s="32">
        <f t="shared" si="12"/>
        <v>-1208000</v>
      </c>
      <c r="I61" s="32">
        <f t="shared" si="13"/>
        <v>-261000</v>
      </c>
      <c r="J61" s="32">
        <f t="shared" si="14"/>
        <v>1110516.8616459635</v>
      </c>
      <c r="K61" s="33">
        <f t="shared" si="15"/>
        <v>-1.106312872729591</v>
      </c>
      <c r="L61" s="37"/>
      <c r="M61" s="37" t="s">
        <v>124</v>
      </c>
      <c r="N61" s="37" t="s">
        <v>124</v>
      </c>
      <c r="O61" s="37" t="s">
        <v>124</v>
      </c>
      <c r="P61" s="37" t="s">
        <v>124</v>
      </c>
      <c r="Q61" s="37" t="s">
        <v>124</v>
      </c>
      <c r="R61" s="37" t="s">
        <v>124</v>
      </c>
      <c r="S61" s="37">
        <v>-2833000</v>
      </c>
      <c r="T61" s="37">
        <v>-1208000</v>
      </c>
      <c r="U61" s="37">
        <v>-642000</v>
      </c>
      <c r="V61" s="37">
        <v>-261000</v>
      </c>
      <c r="W61" s="37">
        <v>-75000</v>
      </c>
      <c r="X61" s="37" t="s">
        <v>124</v>
      </c>
      <c r="Y61" s="37" t="s">
        <v>124</v>
      </c>
      <c r="Z61" s="37" t="s">
        <v>124</v>
      </c>
      <c r="AB61" s="30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 hidden="1" outlineLevel="6" x14ac:dyDescent="0.25">
      <c r="A62" s="29">
        <v>1</v>
      </c>
      <c r="C62" s="25" t="str">
        <f>"                        Total Accumulated Depreciation of Machinery, Furniture and Equipment"</f>
        <v xml:space="preserve">                        Total Accumulated Depreciation of Machinery, Furniture and Equipment</v>
      </c>
      <c r="D62" s="45">
        <f t="shared" si="8"/>
        <v>-642000</v>
      </c>
      <c r="E62" s="45">
        <f t="shared" si="9"/>
        <v>-1003800</v>
      </c>
      <c r="F62" s="45">
        <f t="shared" si="10"/>
        <v>-2833000</v>
      </c>
      <c r="G62" s="45">
        <f t="shared" si="11"/>
        <v>-75000</v>
      </c>
      <c r="H62" s="45">
        <f t="shared" si="12"/>
        <v>-1208000</v>
      </c>
      <c r="I62" s="45">
        <f t="shared" si="13"/>
        <v>-261000</v>
      </c>
      <c r="J62" s="45">
        <f t="shared" si="14"/>
        <v>1110516.8616459635</v>
      </c>
      <c r="K62" s="46">
        <f t="shared" si="15"/>
        <v>-1.106312872729591</v>
      </c>
      <c r="L62" s="47"/>
      <c r="M62" s="47" t="s">
        <v>124</v>
      </c>
      <c r="N62" s="47" t="s">
        <v>124</v>
      </c>
      <c r="O62" s="47" t="s">
        <v>124</v>
      </c>
      <c r="P62" s="47" t="s">
        <v>124</v>
      </c>
      <c r="Q62" s="47" t="s">
        <v>124</v>
      </c>
      <c r="R62" s="47" t="s">
        <v>124</v>
      </c>
      <c r="S62" s="47">
        <v>-2833000</v>
      </c>
      <c r="T62" s="47">
        <v>-1208000</v>
      </c>
      <c r="U62" s="47">
        <v>-642000</v>
      </c>
      <c r="V62" s="47">
        <v>-261000</v>
      </c>
      <c r="W62" s="47">
        <v>-75000</v>
      </c>
      <c r="X62" s="47" t="s">
        <v>124</v>
      </c>
      <c r="Y62" s="47" t="s">
        <v>124</v>
      </c>
      <c r="Z62" s="47" t="s">
        <v>124</v>
      </c>
      <c r="AB62" s="3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 hidden="1" outlineLevel="5" x14ac:dyDescent="0.25">
      <c r="A63" s="29">
        <v>1</v>
      </c>
      <c r="C63" s="24" t="str">
        <f>"                    Accumulated Depreciation of Leased Property, Plant and Equipment"</f>
        <v xml:space="preserve">                    Accumulated Depreciation of Leased Property, Plant and Equipment</v>
      </c>
      <c r="D63" s="32">
        <f t="shared" si="8"/>
        <v>-9837500</v>
      </c>
      <c r="E63" s="32">
        <f t="shared" si="9"/>
        <v>-9837500</v>
      </c>
      <c r="F63" s="32">
        <f t="shared" si="10"/>
        <v>-10181000</v>
      </c>
      <c r="G63" s="32">
        <f t="shared" si="11"/>
        <v>-9494000</v>
      </c>
      <c r="H63" s="32">
        <f t="shared" si="12"/>
        <v>-10009250</v>
      </c>
      <c r="I63" s="32">
        <f t="shared" si="13"/>
        <v>-9665750</v>
      </c>
      <c r="J63" s="32">
        <f t="shared" si="14"/>
        <v>485782.35867515818</v>
      </c>
      <c r="K63" s="33">
        <f t="shared" si="15"/>
        <v>-4.9380671784005917E-2</v>
      </c>
      <c r="L63" s="37"/>
      <c r="M63" s="37">
        <v>-9494000</v>
      </c>
      <c r="N63" s="37">
        <v>-10181000</v>
      </c>
      <c r="O63" s="37" t="s">
        <v>124</v>
      </c>
      <c r="P63" s="37" t="s">
        <v>124</v>
      </c>
      <c r="Q63" s="37" t="s">
        <v>124</v>
      </c>
      <c r="R63" s="37" t="s">
        <v>124</v>
      </c>
      <c r="S63" s="37" t="s">
        <v>124</v>
      </c>
      <c r="T63" s="37" t="s">
        <v>124</v>
      </c>
      <c r="U63" s="37" t="s">
        <v>124</v>
      </c>
      <c r="V63" s="37" t="s">
        <v>124</v>
      </c>
      <c r="W63" s="37" t="s">
        <v>124</v>
      </c>
      <c r="X63" s="37" t="s">
        <v>124</v>
      </c>
      <c r="Y63" s="37" t="s">
        <v>124</v>
      </c>
      <c r="Z63" s="37" t="s">
        <v>124</v>
      </c>
      <c r="AB63" s="30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 hidden="1" outlineLevel="5" x14ac:dyDescent="0.25">
      <c r="A64" s="29">
        <v>1</v>
      </c>
      <c r="C64" s="25" t="str">
        <f>"                    Total Accumulated Depreciation"</f>
        <v xml:space="preserve">                    Total Accumulated Depreciation</v>
      </c>
      <c r="D64" s="45">
        <f t="shared" si="8"/>
        <v>-16507500</v>
      </c>
      <c r="E64" s="45">
        <f t="shared" si="9"/>
        <v>-19056071.428571429</v>
      </c>
      <c r="F64" s="45">
        <f t="shared" si="10"/>
        <v>-43712000</v>
      </c>
      <c r="G64" s="45">
        <f t="shared" si="11"/>
        <v>-1285000</v>
      </c>
      <c r="H64" s="45">
        <f t="shared" si="12"/>
        <v>-28205500</v>
      </c>
      <c r="I64" s="45">
        <f t="shared" si="13"/>
        <v>-6220000</v>
      </c>
      <c r="J64" s="45">
        <f t="shared" si="14"/>
        <v>14782820.572253069</v>
      </c>
      <c r="K64" s="46">
        <f t="shared" si="15"/>
        <v>-0.77575383927710684</v>
      </c>
      <c r="L64" s="47"/>
      <c r="M64" s="47">
        <v>-40780000</v>
      </c>
      <c r="N64" s="47">
        <v>-38004000</v>
      </c>
      <c r="O64" s="47">
        <v>-28699000</v>
      </c>
      <c r="P64" s="47">
        <v>-26725000</v>
      </c>
      <c r="Q64" s="47">
        <v>-24081000</v>
      </c>
      <c r="R64" s="47">
        <v>-20666000</v>
      </c>
      <c r="S64" s="47">
        <v>-12349000</v>
      </c>
      <c r="T64" s="47">
        <v>-9275000</v>
      </c>
      <c r="U64" s="47">
        <v>-7429000</v>
      </c>
      <c r="V64" s="47">
        <v>-5817000</v>
      </c>
      <c r="W64" s="47">
        <v>-4686000</v>
      </c>
      <c r="X64" s="47">
        <v>-3277000</v>
      </c>
      <c r="Y64" s="47">
        <v>-1285000</v>
      </c>
      <c r="Z64" s="47">
        <v>-43712000</v>
      </c>
      <c r="AB64" s="30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 hidden="1" outlineLevel="4" x14ac:dyDescent="0.25">
      <c r="A65" s="29">
        <v>1</v>
      </c>
      <c r="C65" s="25" t="str">
        <f>"                Total Accumulated Depreciation and Impairment"</f>
        <v xml:space="preserve">                Total Accumulated Depreciation and Impairment</v>
      </c>
      <c r="D65" s="45">
        <f t="shared" si="8"/>
        <v>-16507500</v>
      </c>
      <c r="E65" s="45">
        <f t="shared" si="9"/>
        <v>-19056071.428571429</v>
      </c>
      <c r="F65" s="45">
        <f t="shared" si="10"/>
        <v>-43712000</v>
      </c>
      <c r="G65" s="45">
        <f t="shared" si="11"/>
        <v>-1285000</v>
      </c>
      <c r="H65" s="45">
        <f t="shared" si="12"/>
        <v>-28205500</v>
      </c>
      <c r="I65" s="45">
        <f t="shared" si="13"/>
        <v>-6220000</v>
      </c>
      <c r="J65" s="45">
        <f t="shared" si="14"/>
        <v>14782820.572253069</v>
      </c>
      <c r="K65" s="46">
        <f t="shared" si="15"/>
        <v>-0.77575383927710684</v>
      </c>
      <c r="L65" s="47"/>
      <c r="M65" s="47">
        <v>-40780000</v>
      </c>
      <c r="N65" s="47">
        <v>-38004000</v>
      </c>
      <c r="O65" s="47">
        <v>-28699000</v>
      </c>
      <c r="P65" s="47">
        <v>-26725000</v>
      </c>
      <c r="Q65" s="47">
        <v>-24081000</v>
      </c>
      <c r="R65" s="47">
        <v>-20666000</v>
      </c>
      <c r="S65" s="47">
        <v>-12349000</v>
      </c>
      <c r="T65" s="47">
        <v>-9275000</v>
      </c>
      <c r="U65" s="47">
        <v>-7429000</v>
      </c>
      <c r="V65" s="47">
        <v>-5817000</v>
      </c>
      <c r="W65" s="47">
        <v>-4686000</v>
      </c>
      <c r="X65" s="47">
        <v>-3277000</v>
      </c>
      <c r="Y65" s="47">
        <v>-1285000</v>
      </c>
      <c r="Z65" s="47">
        <v>-43712000</v>
      </c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 outlineLevel="3" x14ac:dyDescent="0.25">
      <c r="A66" s="29">
        <v>1</v>
      </c>
      <c r="C66" s="25" t="str">
        <f>"            Total Net Property, Plant and Equipment"</f>
        <v xml:space="preserve">            Total Net Property, Plant and Equipment</v>
      </c>
      <c r="D66" s="45">
        <f t="shared" si="8"/>
        <v>45533000</v>
      </c>
      <c r="E66" s="45">
        <f t="shared" si="9"/>
        <v>50598071.428571425</v>
      </c>
      <c r="F66" s="45">
        <f t="shared" si="10"/>
        <v>18687000</v>
      </c>
      <c r="G66" s="45">
        <f t="shared" si="11"/>
        <v>82317000</v>
      </c>
      <c r="H66" s="45">
        <f t="shared" si="12"/>
        <v>26696250</v>
      </c>
      <c r="I66" s="45">
        <f t="shared" si="13"/>
        <v>78645750</v>
      </c>
      <c r="J66" s="45">
        <f t="shared" si="14"/>
        <v>25853321.618059319</v>
      </c>
      <c r="K66" s="46">
        <f t="shared" si="15"/>
        <v>0.51095468440049308</v>
      </c>
      <c r="L66" s="47"/>
      <c r="M66" s="47">
        <v>79044000</v>
      </c>
      <c r="N66" s="47">
        <v>77451000</v>
      </c>
      <c r="O66" s="47">
        <v>80805000</v>
      </c>
      <c r="P66" s="47">
        <v>82317000</v>
      </c>
      <c r="Q66" s="47">
        <v>79135000</v>
      </c>
      <c r="R66" s="47">
        <v>66945000</v>
      </c>
      <c r="S66" s="47">
        <v>51401000</v>
      </c>
      <c r="T66" s="47">
        <v>34803000</v>
      </c>
      <c r="U66" s="47">
        <v>29250000</v>
      </c>
      <c r="V66" s="47">
        <v>25845000</v>
      </c>
      <c r="W66" s="47">
        <v>23790000</v>
      </c>
      <c r="X66" s="47">
        <v>19235000</v>
      </c>
      <c r="Y66" s="47">
        <v>18687000</v>
      </c>
      <c r="Z66" s="47">
        <v>39665000</v>
      </c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 outlineLevel="2" x14ac:dyDescent="0.25">
      <c r="A67" s="29">
        <v>1</v>
      </c>
      <c r="C67" s="24" t="str">
        <f>IF(SUBTOTAL(109,A67)=A67,"        Net Intangible Assets","        Net Intangible Assets")</f>
        <v xml:space="preserve">        Net Intangible Assets</v>
      </c>
      <c r="D67" s="32" t="str">
        <f t="shared" si="8"/>
        <v/>
      </c>
      <c r="E67" s="32" t="str">
        <f t="shared" si="9"/>
        <v/>
      </c>
      <c r="F67" s="32" t="str">
        <f t="shared" si="10"/>
        <v/>
      </c>
      <c r="G67" s="32" t="str">
        <f t="shared" si="11"/>
        <v/>
      </c>
      <c r="H67" s="32" t="str">
        <f t="shared" si="12"/>
        <v/>
      </c>
      <c r="I67" s="32" t="str">
        <f t="shared" si="13"/>
        <v/>
      </c>
      <c r="J67" s="32" t="str">
        <f t="shared" si="14"/>
        <v/>
      </c>
      <c r="K67" s="33" t="str">
        <f t="shared" si="15"/>
        <v/>
      </c>
      <c r="L67" s="37"/>
      <c r="M67" s="37" t="str">
        <f>IF(SUBTOTAL(109,A67)=A67,"",5087000)</f>
        <v/>
      </c>
      <c r="N67" s="37" t="str">
        <f>IF(SUBTOTAL(109,A67)=A67,"",5230000)</f>
        <v/>
      </c>
      <c r="O67" s="37" t="str">
        <f>IF(SUBTOTAL(109,A67)=A67,"",5337000)</f>
        <v/>
      </c>
      <c r="P67" s="37" t="str">
        <f>IF(SUBTOTAL(109,A67)=A67,"",5579000)</f>
        <v/>
      </c>
      <c r="Q67" s="37" t="str">
        <f>IF(SUBTOTAL(109,A67)=A67,"",5849000)</f>
        <v/>
      </c>
      <c r="R67" s="37" t="str">
        <f>IF(SUBTOTAL(109,A67)=A67,"",6149000)</f>
        <v/>
      </c>
      <c r="S67" s="37" t="str">
        <f>IF(SUBTOTAL(109,A67)=A67,"",5947000)</f>
        <v/>
      </c>
      <c r="T67" s="37" t="str">
        <f>IF(SUBTOTAL(109,A67)=A67,"",6410000)</f>
        <v/>
      </c>
      <c r="U67" s="37" t="str">
        <f>IF(SUBTOTAL(109,A67)=A67,"",7228000)</f>
        <v/>
      </c>
      <c r="V67" s="37" t="str">
        <f>IF(SUBTOTAL(109,A67)=A67,"",8782000)</f>
        <v/>
      </c>
      <c r="W67" s="37" t="str">
        <f>IF(SUBTOTAL(109,A67)=A67,"",39033000)</f>
        <v/>
      </c>
      <c r="X67" s="37" t="str">
        <f>IF(SUBTOTAL(109,A67)=A67,"",43660000)</f>
        <v/>
      </c>
      <c r="Y67" s="37" t="str">
        <f>IF(SUBTOTAL(109,A67)=A67,"",45219000)</f>
        <v/>
      </c>
      <c r="Z67" s="37" t="str">
        <f>IF(SUBTOTAL(109,A67)=A67,"",265000)</f>
        <v/>
      </c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 outlineLevel="3" collapsed="1" x14ac:dyDescent="0.25">
      <c r="A68" s="29">
        <v>1</v>
      </c>
      <c r="C68" s="24" t="str">
        <f>IF(SUBTOTAL(109,A68)=A68,"            Gross Goodwill and Other Intangible Assets","            Gross Goodwill and Other Intangible Assets")</f>
        <v xml:space="preserve">            Gross Goodwill and Other Intangible Assets</v>
      </c>
      <c r="D68" s="32" t="str">
        <f t="shared" si="8"/>
        <v/>
      </c>
      <c r="E68" s="32" t="str">
        <f t="shared" si="9"/>
        <v/>
      </c>
      <c r="F68" s="32" t="str">
        <f t="shared" si="10"/>
        <v/>
      </c>
      <c r="G68" s="32" t="str">
        <f t="shared" si="11"/>
        <v/>
      </c>
      <c r="H68" s="32" t="str">
        <f t="shared" si="12"/>
        <v/>
      </c>
      <c r="I68" s="32" t="str">
        <f t="shared" si="13"/>
        <v/>
      </c>
      <c r="J68" s="32" t="str">
        <f t="shared" si="14"/>
        <v/>
      </c>
      <c r="K68" s="33" t="str">
        <f t="shared" si="15"/>
        <v/>
      </c>
      <c r="L68" s="37"/>
      <c r="M68" s="37" t="str">
        <f>IF(SUBTOTAL(109,A68)=A68,"",7940000)</f>
        <v/>
      </c>
      <c r="N68" s="37" t="str">
        <f>IF(SUBTOTAL(109,A68)=A68,"",7953000)</f>
        <v/>
      </c>
      <c r="O68" s="37" t="str">
        <f>IF(SUBTOTAL(109,A68)=A68,"",7857000)</f>
        <v/>
      </c>
      <c r="P68" s="37" t="str">
        <f>IF(SUBTOTAL(109,A68)=A68,"",7862000)</f>
        <v/>
      </c>
      <c r="Q68" s="37" t="str">
        <f>IF(SUBTOTAL(109,A68)=A68,"",15561000)</f>
        <v/>
      </c>
      <c r="R68" s="37" t="str">
        <f>IF(SUBTOTAL(109,A68)=A68,"",15922000)</f>
        <v/>
      </c>
      <c r="S68" s="37" t="str">
        <f>IF(SUBTOTAL(109,A68)=A68,"",15407000)</f>
        <v/>
      </c>
      <c r="T68" s="37" t="str">
        <f>IF(SUBTOTAL(109,A68)=A68,"",15602000)</f>
        <v/>
      </c>
      <c r="U68" s="37" t="str">
        <f>IF(SUBTOTAL(109,A68)=A68,"",15785000)</f>
        <v/>
      </c>
      <c r="V68" s="37" t="str">
        <f>IF(SUBTOTAL(109,A68)=A68,"",16146000)</f>
        <v/>
      </c>
      <c r="W68" s="37" t="str">
        <f>IF(SUBTOTAL(109,A68)=A68,"",45024000)</f>
        <v/>
      </c>
      <c r="X68" s="37" t="str">
        <f>IF(SUBTOTAL(109,A68)=A68,"",43660000)</f>
        <v/>
      </c>
      <c r="Y68" s="37" t="str">
        <f>IF(SUBTOTAL(109,A68)=A68,"",45219000)</f>
        <v/>
      </c>
      <c r="Z68" s="37" t="str">
        <f>IF(SUBTOTAL(109,A68)=A68,"",265000)</f>
        <v/>
      </c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 hidden="1" outlineLevel="4" x14ac:dyDescent="0.25">
      <c r="A69" s="29">
        <v>1</v>
      </c>
      <c r="C69" s="24" t="str">
        <f>"                Goodwill"</f>
        <v xml:space="preserve">                Goodwill</v>
      </c>
      <c r="D69" s="32">
        <f t="shared" si="8"/>
        <v>1860000</v>
      </c>
      <c r="E69" s="32">
        <f t="shared" si="9"/>
        <v>7789785.7142857146</v>
      </c>
      <c r="F69" s="32">
        <f t="shared" si="10"/>
        <v>0</v>
      </c>
      <c r="G69" s="32">
        <f t="shared" si="11"/>
        <v>31778000</v>
      </c>
      <c r="H69" s="32">
        <f t="shared" si="12"/>
        <v>1634000</v>
      </c>
      <c r="I69" s="32">
        <f t="shared" si="13"/>
        <v>1958250</v>
      </c>
      <c r="J69" s="32">
        <f t="shared" si="14"/>
        <v>12324306.035564102</v>
      </c>
      <c r="K69" s="33">
        <f t="shared" si="15"/>
        <v>1.5821110474146312</v>
      </c>
      <c r="L69" s="37"/>
      <c r="M69" s="37">
        <v>1914000</v>
      </c>
      <c r="N69" s="37">
        <v>1910000</v>
      </c>
      <c r="O69" s="37">
        <v>1859000</v>
      </c>
      <c r="P69" s="37">
        <v>1861000</v>
      </c>
      <c r="Q69" s="37">
        <v>1857000</v>
      </c>
      <c r="R69" s="37">
        <v>1856000</v>
      </c>
      <c r="S69" s="37">
        <v>1371000</v>
      </c>
      <c r="T69" s="37">
        <v>1427000</v>
      </c>
      <c r="U69" s="37">
        <v>1560000</v>
      </c>
      <c r="V69" s="37">
        <v>1973000</v>
      </c>
      <c r="W69" s="37">
        <v>29019000</v>
      </c>
      <c r="X69" s="37">
        <v>31778000</v>
      </c>
      <c r="Y69" s="37">
        <v>30672000</v>
      </c>
      <c r="Z69" s="37">
        <v>0</v>
      </c>
      <c r="AB69" s="30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 hidden="1" outlineLevel="4" collapsed="1" x14ac:dyDescent="0.25">
      <c r="A70" s="29">
        <v>1</v>
      </c>
      <c r="C70" s="24" t="str">
        <f>IF(SUBTOTAL(109,A70)=A70,"                Intangibles other than Goodwill","                Intangibles other than Goodwill")</f>
        <v xml:space="preserve">                Intangibles other than Goodwill</v>
      </c>
      <c r="D70" s="32">
        <f t="shared" si="8"/>
        <v>13870000</v>
      </c>
      <c r="E70" s="32">
        <f t="shared" si="9"/>
        <v>10796142.857142856</v>
      </c>
      <c r="F70" s="32">
        <f t="shared" si="10"/>
        <v>265000</v>
      </c>
      <c r="G70" s="32">
        <f t="shared" si="11"/>
        <v>16005000</v>
      </c>
      <c r="H70" s="32">
        <f t="shared" si="12"/>
        <v>6030250</v>
      </c>
      <c r="I70" s="32">
        <f t="shared" si="13"/>
        <v>14174500</v>
      </c>
      <c r="J70" s="32">
        <f t="shared" si="14"/>
        <v>4874332.7094728947</v>
      </c>
      <c r="K70" s="33">
        <f t="shared" si="15"/>
        <v>0.45148834856774595</v>
      </c>
      <c r="L70" s="37"/>
      <c r="M70" s="37">
        <f>IF(SUBTOTAL(109,A70)=A70,"",6026000)</f>
        <v>6026000</v>
      </c>
      <c r="N70" s="37">
        <f>IF(SUBTOTAL(109,A70)=A70,"",6043000)</f>
        <v>6043000</v>
      </c>
      <c r="O70" s="37">
        <f>IF(SUBTOTAL(109,A70)=A70,"",5998000)</f>
        <v>5998000</v>
      </c>
      <c r="P70" s="37">
        <f>IF(SUBTOTAL(109,A70)=A70,"",6001000)</f>
        <v>6001000</v>
      </c>
      <c r="Q70" s="37">
        <f>IF(SUBTOTAL(109,A70)=A70,"",13704000)</f>
        <v>13704000</v>
      </c>
      <c r="R70" s="37">
        <f>IF(SUBTOTAL(109,A70)=A70,"",14066000)</f>
        <v>14066000</v>
      </c>
      <c r="S70" s="37">
        <f>IF(SUBTOTAL(109,A70)=A70,"",14036000)</f>
        <v>14036000</v>
      </c>
      <c r="T70" s="37">
        <f>IF(SUBTOTAL(109,A70)=A70,"",14175000)</f>
        <v>14175000</v>
      </c>
      <c r="U70" s="37">
        <f>IF(SUBTOTAL(109,A70)=A70,"",14225000)</f>
        <v>14225000</v>
      </c>
      <c r="V70" s="37">
        <f>IF(SUBTOTAL(109,A70)=A70,"",14173000)</f>
        <v>14173000</v>
      </c>
      <c r="W70" s="37">
        <f>IF(SUBTOTAL(109,A70)=A70,"",16005000)</f>
        <v>16005000</v>
      </c>
      <c r="X70" s="37">
        <f>IF(SUBTOTAL(109,A70)=A70,"",11882000)</f>
        <v>11882000</v>
      </c>
      <c r="Y70" s="37">
        <f>IF(SUBTOTAL(109,A70)=A70,"",14547000)</f>
        <v>14547000</v>
      </c>
      <c r="Z70" s="37">
        <f>IF(SUBTOTAL(109,A70)=A70,"",265000)</f>
        <v>265000</v>
      </c>
      <c r="AB70" s="30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 hidden="1" outlineLevel="5" x14ac:dyDescent="0.25">
      <c r="A71" s="29">
        <v>1</v>
      </c>
      <c r="C71" s="24" t="str">
        <f>"                    Trademarks and Patents"</f>
        <v xml:space="preserve">                    Trademarks and Patents</v>
      </c>
      <c r="D71" s="32">
        <f t="shared" si="8"/>
        <v>4311000</v>
      </c>
      <c r="E71" s="32">
        <f t="shared" si="9"/>
        <v>4456363.6363636367</v>
      </c>
      <c r="F71" s="32">
        <f t="shared" si="10"/>
        <v>4296000</v>
      </c>
      <c r="G71" s="32">
        <f t="shared" si="11"/>
        <v>5410000</v>
      </c>
      <c r="H71" s="32">
        <f t="shared" si="12"/>
        <v>4299500</v>
      </c>
      <c r="I71" s="32">
        <f t="shared" si="13"/>
        <v>4455500</v>
      </c>
      <c r="J71" s="32">
        <f t="shared" si="14"/>
        <v>324883.13982946938</v>
      </c>
      <c r="K71" s="33">
        <f t="shared" si="15"/>
        <v>7.2903193352186105E-2</v>
      </c>
      <c r="L71" s="37"/>
      <c r="M71" s="37">
        <v>4296000</v>
      </c>
      <c r="N71" s="37">
        <v>4300000</v>
      </c>
      <c r="O71" s="37">
        <v>4298000</v>
      </c>
      <c r="P71" s="37">
        <v>4299000</v>
      </c>
      <c r="Q71" s="37">
        <v>4302000</v>
      </c>
      <c r="R71" s="37">
        <v>4311000</v>
      </c>
      <c r="S71" s="37">
        <v>4427000</v>
      </c>
      <c r="T71" s="37">
        <v>4447000</v>
      </c>
      <c r="U71" s="37">
        <v>4466000</v>
      </c>
      <c r="V71" s="37">
        <v>4464000</v>
      </c>
      <c r="W71" s="37">
        <v>5410000</v>
      </c>
      <c r="X71" s="37" t="s">
        <v>124</v>
      </c>
      <c r="Y71" s="37" t="s">
        <v>124</v>
      </c>
      <c r="Z71" s="37" t="s">
        <v>124</v>
      </c>
      <c r="AB71" s="30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 hidden="1" outlineLevel="5" x14ac:dyDescent="0.25">
      <c r="A72" s="29">
        <v>1</v>
      </c>
      <c r="C72" s="24" t="str">
        <f>"                    Software and Technology"</f>
        <v xml:space="preserve">                    Software and Technology</v>
      </c>
      <c r="D72" s="32">
        <f t="shared" si="8"/>
        <v>7775000</v>
      </c>
      <c r="E72" s="32">
        <f t="shared" si="9"/>
        <v>5433909.0909090908</v>
      </c>
      <c r="F72" s="32">
        <f t="shared" si="10"/>
        <v>734000</v>
      </c>
      <c r="G72" s="32">
        <f t="shared" si="11"/>
        <v>8399000</v>
      </c>
      <c r="H72" s="32">
        <f t="shared" si="12"/>
        <v>763000</v>
      </c>
      <c r="I72" s="32">
        <f t="shared" si="13"/>
        <v>8236500</v>
      </c>
      <c r="J72" s="32">
        <f t="shared" si="14"/>
        <v>3719971.5712501211</v>
      </c>
      <c r="K72" s="33">
        <f t="shared" si="15"/>
        <v>0.68458480055796656</v>
      </c>
      <c r="L72" s="37"/>
      <c r="M72" s="37">
        <v>764000</v>
      </c>
      <c r="N72" s="37">
        <v>762000</v>
      </c>
      <c r="O72" s="37">
        <v>734000</v>
      </c>
      <c r="P72" s="37">
        <v>734000</v>
      </c>
      <c r="Q72" s="37">
        <v>8092000</v>
      </c>
      <c r="R72" s="37">
        <v>8399000</v>
      </c>
      <c r="S72" s="37">
        <v>8263000</v>
      </c>
      <c r="T72" s="37">
        <v>8289000</v>
      </c>
      <c r="U72" s="37">
        <v>8210000</v>
      </c>
      <c r="V72" s="37">
        <v>7775000</v>
      </c>
      <c r="W72" s="37">
        <v>7751000</v>
      </c>
      <c r="X72" s="37" t="s">
        <v>124</v>
      </c>
      <c r="Y72" s="37" t="s">
        <v>124</v>
      </c>
      <c r="Z72" s="37" t="s">
        <v>124</v>
      </c>
      <c r="AB72" s="30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 hidden="1" outlineLevel="5" x14ac:dyDescent="0.25">
      <c r="A73" s="29">
        <v>1</v>
      </c>
      <c r="C73" s="24" t="str">
        <f>"                    Research and Development"</f>
        <v xml:space="preserve">                    Research and Development</v>
      </c>
      <c r="D73" s="32">
        <f t="shared" si="8"/>
        <v>175000</v>
      </c>
      <c r="E73" s="32">
        <f t="shared" si="9"/>
        <v>148666.66666666666</v>
      </c>
      <c r="F73" s="32">
        <f t="shared" si="10"/>
        <v>96000</v>
      </c>
      <c r="G73" s="32">
        <f t="shared" si="11"/>
        <v>175000</v>
      </c>
      <c r="H73" s="32">
        <f t="shared" si="12"/>
        <v>135500</v>
      </c>
      <c r="I73" s="32">
        <f t="shared" si="13"/>
        <v>175000</v>
      </c>
      <c r="J73" s="32">
        <f t="shared" si="14"/>
        <v>45610.671265980418</v>
      </c>
      <c r="K73" s="33">
        <f t="shared" si="15"/>
        <v>0.30679823721511496</v>
      </c>
      <c r="L73" s="37"/>
      <c r="M73" s="37" t="s">
        <v>124</v>
      </c>
      <c r="N73" s="37" t="s">
        <v>124</v>
      </c>
      <c r="O73" s="37" t="s">
        <v>124</v>
      </c>
      <c r="P73" s="37" t="s">
        <v>124</v>
      </c>
      <c r="Q73" s="37" t="s">
        <v>124</v>
      </c>
      <c r="R73" s="37" t="s">
        <v>124</v>
      </c>
      <c r="S73" s="37" t="s">
        <v>124</v>
      </c>
      <c r="T73" s="37" t="s">
        <v>124</v>
      </c>
      <c r="U73" s="37">
        <v>96000</v>
      </c>
      <c r="V73" s="37">
        <v>175000</v>
      </c>
      <c r="W73" s="37">
        <v>175000</v>
      </c>
      <c r="X73" s="37" t="s">
        <v>124</v>
      </c>
      <c r="Y73" s="37" t="s">
        <v>124</v>
      </c>
      <c r="Z73" s="37" t="s">
        <v>124</v>
      </c>
      <c r="AB73" s="30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 hidden="1" outlineLevel="5" x14ac:dyDescent="0.25">
      <c r="A74" s="29">
        <v>1</v>
      </c>
      <c r="C74" s="24" t="str">
        <f>"                    Customer Relationships"</f>
        <v xml:space="preserve">                    Customer Relationships</v>
      </c>
      <c r="D74" s="32">
        <f t="shared" si="8"/>
        <v>1108000</v>
      </c>
      <c r="E74" s="32">
        <f t="shared" si="9"/>
        <v>1237090.9090909092</v>
      </c>
      <c r="F74" s="32">
        <f t="shared" si="10"/>
        <v>966000</v>
      </c>
      <c r="G74" s="32">
        <f t="shared" si="11"/>
        <v>2138000</v>
      </c>
      <c r="H74" s="32">
        <f t="shared" si="12"/>
        <v>974500</v>
      </c>
      <c r="I74" s="32">
        <f t="shared" si="13"/>
        <v>1351000</v>
      </c>
      <c r="J74" s="32">
        <f t="shared" si="14"/>
        <v>344105.34856216755</v>
      </c>
      <c r="K74" s="33">
        <f t="shared" si="15"/>
        <v>0.27815688081891848</v>
      </c>
      <c r="L74" s="37"/>
      <c r="M74" s="37">
        <v>966000</v>
      </c>
      <c r="N74" s="37">
        <v>981000</v>
      </c>
      <c r="O74" s="37">
        <v>966000</v>
      </c>
      <c r="P74" s="37">
        <v>968000</v>
      </c>
      <c r="Q74" s="37">
        <v>1310000</v>
      </c>
      <c r="R74" s="37">
        <v>1356000</v>
      </c>
      <c r="S74" s="37">
        <v>1346000</v>
      </c>
      <c r="T74" s="37">
        <v>1094000</v>
      </c>
      <c r="U74" s="37">
        <v>1108000</v>
      </c>
      <c r="V74" s="37">
        <v>1375000</v>
      </c>
      <c r="W74" s="37">
        <v>2138000</v>
      </c>
      <c r="X74" s="37" t="s">
        <v>124</v>
      </c>
      <c r="Y74" s="37" t="s">
        <v>124</v>
      </c>
      <c r="Z74" s="37" t="s">
        <v>124</v>
      </c>
      <c r="AB74" s="3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 hidden="1" outlineLevel="5" x14ac:dyDescent="0.25">
      <c r="A75" s="29">
        <v>1</v>
      </c>
      <c r="C75" s="24" t="str">
        <f>"                    Other Intangible Assets"</f>
        <v xml:space="preserve">                    Other Intangible Assets</v>
      </c>
      <c r="D75" s="32">
        <f t="shared" ref="D75:D106" si="16">IF(COUNT(M75:Z75)&gt;0,MEDIAN(M75:Z75),"")</f>
        <v>384000</v>
      </c>
      <c r="E75" s="32">
        <f t="shared" ref="E75:E106" si="17">IF(COUNT(M75:Z75)&gt;0,AVERAGE(M75:Z75),"")</f>
        <v>4042714.2857142859</v>
      </c>
      <c r="F75" s="32">
        <f t="shared" ref="F75:F106" si="18">IF(COUNT(M75:Z75)&gt;0,MIN(M75:Z75),"")</f>
        <v>265000</v>
      </c>
      <c r="G75" s="32">
        <f t="shared" ref="G75:G106" si="19">IF(COUNT(M75:Z75)&gt;0,MAX(M75:Z75),"")</f>
        <v>14547000</v>
      </c>
      <c r="H75" s="32">
        <f t="shared" ref="H75:H106" si="20">IF(COUNT(M75:Z75)&gt;0,QUARTILE(M75:Z75,1),"")</f>
        <v>345000</v>
      </c>
      <c r="I75" s="32">
        <f t="shared" ref="I75:I106" si="21">IF(COUNT(M75:Z75)&gt;0,QUARTILE(M75:Z75,3),"")</f>
        <v>6206500</v>
      </c>
      <c r="J75" s="32">
        <f t="shared" ref="J75:J106" si="22">IF(COUNT(M75:Z75)&gt;1,STDEV(M75:Z75),"")</f>
        <v>6313082.3616330167</v>
      </c>
      <c r="K75" s="33">
        <f t="shared" ref="K75:K106" si="23">IF(COUNT(M75:Z75)&gt;1,STDEV(M75:Z75)/AVERAGE(M75:Z75),"")</f>
        <v>1.5615949867992196</v>
      </c>
      <c r="L75" s="37"/>
      <c r="M75" s="37" t="s">
        <v>124</v>
      </c>
      <c r="N75" s="37" t="s">
        <v>124</v>
      </c>
      <c r="O75" s="37" t="s">
        <v>124</v>
      </c>
      <c r="P75" s="37" t="s">
        <v>124</v>
      </c>
      <c r="Q75" s="37" t="s">
        <v>124</v>
      </c>
      <c r="R75" s="37" t="s">
        <v>124</v>
      </c>
      <c r="S75" s="37" t="s">
        <v>124</v>
      </c>
      <c r="T75" s="37">
        <v>345000</v>
      </c>
      <c r="U75" s="37">
        <v>345000</v>
      </c>
      <c r="V75" s="37">
        <v>384000</v>
      </c>
      <c r="W75" s="37">
        <v>531000</v>
      </c>
      <c r="X75" s="37">
        <v>11882000</v>
      </c>
      <c r="Y75" s="37">
        <v>14547000</v>
      </c>
      <c r="Z75" s="37">
        <v>265000</v>
      </c>
      <c r="AB75" s="30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 hidden="1" outlineLevel="5" x14ac:dyDescent="0.25">
      <c r="A76" s="29">
        <v>1</v>
      </c>
      <c r="C76" s="25" t="str">
        <f>"                    Total Intangibles other than Goodwill"</f>
        <v xml:space="preserve">                    Total Intangibles other than Goodwill</v>
      </c>
      <c r="D76" s="45">
        <f t="shared" si="16"/>
        <v>13870000</v>
      </c>
      <c r="E76" s="45">
        <f t="shared" si="17"/>
        <v>10796142.857142856</v>
      </c>
      <c r="F76" s="45">
        <f t="shared" si="18"/>
        <v>265000</v>
      </c>
      <c r="G76" s="45">
        <f t="shared" si="19"/>
        <v>16005000</v>
      </c>
      <c r="H76" s="45">
        <f t="shared" si="20"/>
        <v>6030250</v>
      </c>
      <c r="I76" s="45">
        <f t="shared" si="21"/>
        <v>14174500</v>
      </c>
      <c r="J76" s="45">
        <f t="shared" si="22"/>
        <v>4874332.7094728947</v>
      </c>
      <c r="K76" s="46">
        <f t="shared" si="23"/>
        <v>0.45148834856774595</v>
      </c>
      <c r="L76" s="47"/>
      <c r="M76" s="47">
        <v>6026000</v>
      </c>
      <c r="N76" s="47">
        <v>6043000</v>
      </c>
      <c r="O76" s="47">
        <v>5998000</v>
      </c>
      <c r="P76" s="47">
        <v>6001000</v>
      </c>
      <c r="Q76" s="47">
        <v>13704000</v>
      </c>
      <c r="R76" s="47">
        <v>14066000</v>
      </c>
      <c r="S76" s="47">
        <v>14036000</v>
      </c>
      <c r="T76" s="47">
        <v>14175000</v>
      </c>
      <c r="U76" s="47">
        <v>14225000</v>
      </c>
      <c r="V76" s="47">
        <v>14173000</v>
      </c>
      <c r="W76" s="47">
        <v>16005000</v>
      </c>
      <c r="X76" s="47">
        <v>11882000</v>
      </c>
      <c r="Y76" s="47">
        <v>14547000</v>
      </c>
      <c r="Z76" s="47">
        <v>265000</v>
      </c>
      <c r="AB76" s="30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 hidden="1" outlineLevel="4" x14ac:dyDescent="0.25">
      <c r="A77" s="29">
        <v>1</v>
      </c>
      <c r="C77" s="25" t="str">
        <f>"                Total Gross Goodwill and Other Intangible Assets"</f>
        <v xml:space="preserve">                Total Gross Goodwill and Other Intangible Assets</v>
      </c>
      <c r="D77" s="45">
        <f t="shared" si="16"/>
        <v>15581500</v>
      </c>
      <c r="E77" s="45">
        <f t="shared" si="17"/>
        <v>18585928.571428571</v>
      </c>
      <c r="F77" s="45">
        <f t="shared" si="18"/>
        <v>265000</v>
      </c>
      <c r="G77" s="45">
        <f t="shared" si="19"/>
        <v>45219000</v>
      </c>
      <c r="H77" s="45">
        <f t="shared" si="20"/>
        <v>7943250</v>
      </c>
      <c r="I77" s="45">
        <f t="shared" si="21"/>
        <v>16090000</v>
      </c>
      <c r="J77" s="45">
        <f t="shared" si="22"/>
        <v>14879567.019467104</v>
      </c>
      <c r="K77" s="46">
        <f t="shared" si="23"/>
        <v>0.80058238480163357</v>
      </c>
      <c r="L77" s="47"/>
      <c r="M77" s="47">
        <v>7940000</v>
      </c>
      <c r="N77" s="47">
        <v>7953000</v>
      </c>
      <c r="O77" s="47">
        <v>7857000</v>
      </c>
      <c r="P77" s="47">
        <v>7862000</v>
      </c>
      <c r="Q77" s="47">
        <v>15561000</v>
      </c>
      <c r="R77" s="47">
        <v>15922000</v>
      </c>
      <c r="S77" s="47">
        <v>15407000</v>
      </c>
      <c r="T77" s="47">
        <v>15602000</v>
      </c>
      <c r="U77" s="47">
        <v>15785000</v>
      </c>
      <c r="V77" s="47">
        <v>16146000</v>
      </c>
      <c r="W77" s="47">
        <v>45024000</v>
      </c>
      <c r="X77" s="47">
        <v>43660000</v>
      </c>
      <c r="Y77" s="47">
        <v>45219000</v>
      </c>
      <c r="Z77" s="47">
        <v>265000</v>
      </c>
      <c r="AB77" s="30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 outlineLevel="3" collapsed="1" x14ac:dyDescent="0.25">
      <c r="A78" s="29">
        <v>1</v>
      </c>
      <c r="C78" s="24" t="str">
        <f>IF(SUBTOTAL(109,A78)=A78,"            Accumulated Amortization and Impairment","            Accumulated Amortization and Impairment")</f>
        <v xml:space="preserve">            Accumulated Amortization and Impairment</v>
      </c>
      <c r="D78" s="32" t="str">
        <f t="shared" si="16"/>
        <v/>
      </c>
      <c r="E78" s="32" t="str">
        <f t="shared" si="17"/>
        <v/>
      </c>
      <c r="F78" s="32" t="str">
        <f t="shared" si="18"/>
        <v/>
      </c>
      <c r="G78" s="32" t="str">
        <f t="shared" si="19"/>
        <v/>
      </c>
      <c r="H78" s="32" t="str">
        <f t="shared" si="20"/>
        <v/>
      </c>
      <c r="I78" s="32" t="str">
        <f t="shared" si="21"/>
        <v/>
      </c>
      <c r="J78" s="32" t="str">
        <f t="shared" si="22"/>
        <v/>
      </c>
      <c r="K78" s="33" t="str">
        <f t="shared" si="23"/>
        <v/>
      </c>
      <c r="L78" s="37"/>
      <c r="M78" s="37" t="str">
        <f>IF(SUBTOTAL(109,A78)=A78,"",-2853000)</f>
        <v/>
      </c>
      <c r="N78" s="37" t="str">
        <f>IF(SUBTOTAL(109,A78)=A78,"",-2723000)</f>
        <v/>
      </c>
      <c r="O78" s="37" t="str">
        <f>IF(SUBTOTAL(109,A78)=A78,"",-2520000)</f>
        <v/>
      </c>
      <c r="P78" s="37" t="str">
        <f>IF(SUBTOTAL(109,A78)=A78,"",-2283000)</f>
        <v/>
      </c>
      <c r="Q78" s="37" t="str">
        <f>IF(SUBTOTAL(109,A78)=A78,"",-9712000)</f>
        <v/>
      </c>
      <c r="R78" s="37" t="str">
        <f>IF(SUBTOTAL(109,A78)=A78,"",-9773000)</f>
        <v/>
      </c>
      <c r="S78" s="37" t="str">
        <f>IF(SUBTOTAL(109,A78)=A78,"",-9460000)</f>
        <v/>
      </c>
      <c r="T78" s="37" t="str">
        <f>IF(SUBTOTAL(109,A78)=A78,"",-9192000)</f>
        <v/>
      </c>
      <c r="U78" s="37" t="str">
        <f>IF(SUBTOTAL(109,A78)=A78,"",-8557000)</f>
        <v/>
      </c>
      <c r="V78" s="37" t="str">
        <f>IF(SUBTOTAL(109,A78)=A78,"",-7364000)</f>
        <v/>
      </c>
      <c r="W78" s="37" t="str">
        <f>IF(SUBTOTAL(109,A78)=A78,"",-5991000)</f>
        <v/>
      </c>
      <c r="X78" s="37" t="str">
        <f>IF(SUBTOTAL(109,A78)=A78,"","")</f>
        <v/>
      </c>
      <c r="Y78" s="37" t="str">
        <f>IF(SUBTOTAL(109,A78)=A78,"","")</f>
        <v/>
      </c>
      <c r="Z78" s="37" t="str">
        <f>IF(SUBTOTAL(109,A78)=A78,"","")</f>
        <v/>
      </c>
      <c r="AB78" s="30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 hidden="1" outlineLevel="4" collapsed="1" x14ac:dyDescent="0.25">
      <c r="A79" s="29">
        <v>1</v>
      </c>
      <c r="C79" s="24" t="str">
        <f>IF(SUBTOTAL(109,A79)=A79,"                Accumulated Amortization of Intangible Assets","                Accumulated Amortization of Intangible Assets")</f>
        <v xml:space="preserve">                Accumulated Amortization of Intangible Assets</v>
      </c>
      <c r="D79" s="32">
        <f t="shared" si="16"/>
        <v>-7364000</v>
      </c>
      <c r="E79" s="32">
        <f t="shared" si="17"/>
        <v>-6402545.4545454541</v>
      </c>
      <c r="F79" s="32">
        <f t="shared" si="18"/>
        <v>-9773000</v>
      </c>
      <c r="G79" s="32">
        <f t="shared" si="19"/>
        <v>-2283000</v>
      </c>
      <c r="H79" s="32">
        <f t="shared" si="20"/>
        <v>-9326000</v>
      </c>
      <c r="I79" s="32">
        <f t="shared" si="21"/>
        <v>-2788000</v>
      </c>
      <c r="J79" s="32">
        <f t="shared" si="22"/>
        <v>3214966.8540635495</v>
      </c>
      <c r="K79" s="33">
        <f t="shared" si="23"/>
        <v>-0.50213885662945201</v>
      </c>
      <c r="L79" s="37"/>
      <c r="M79" s="37">
        <f>IF(SUBTOTAL(109,A79)=A79,"",-2853000)</f>
        <v>-2853000</v>
      </c>
      <c r="N79" s="37">
        <f>IF(SUBTOTAL(109,A79)=A79,"",-2723000)</f>
        <v>-2723000</v>
      </c>
      <c r="O79" s="37">
        <f>IF(SUBTOTAL(109,A79)=A79,"",-2520000)</f>
        <v>-2520000</v>
      </c>
      <c r="P79" s="37">
        <f>IF(SUBTOTAL(109,A79)=A79,"",-2283000)</f>
        <v>-2283000</v>
      </c>
      <c r="Q79" s="37">
        <f>IF(SUBTOTAL(109,A79)=A79,"",-9712000)</f>
        <v>-9712000</v>
      </c>
      <c r="R79" s="37">
        <f>IF(SUBTOTAL(109,A79)=A79,"",-9773000)</f>
        <v>-9773000</v>
      </c>
      <c r="S79" s="37">
        <f>IF(SUBTOTAL(109,A79)=A79,"",-9460000)</f>
        <v>-9460000</v>
      </c>
      <c r="T79" s="37">
        <f>IF(SUBTOTAL(109,A79)=A79,"",-9192000)</f>
        <v>-9192000</v>
      </c>
      <c r="U79" s="37">
        <f>IF(SUBTOTAL(109,A79)=A79,"",-8557000)</f>
        <v>-8557000</v>
      </c>
      <c r="V79" s="37">
        <f>IF(SUBTOTAL(109,A79)=A79,"",-7364000)</f>
        <v>-7364000</v>
      </c>
      <c r="W79" s="37">
        <f>IF(SUBTOTAL(109,A79)=A79,"",-5991000)</f>
        <v>-5991000</v>
      </c>
      <c r="X79" s="37" t="str">
        <f>IF(SUBTOTAL(109,A79)=A79,"","")</f>
        <v/>
      </c>
      <c r="Y79" s="37" t="str">
        <f>IF(SUBTOTAL(109,A79)=A79,"","")</f>
        <v/>
      </c>
      <c r="Z79" s="37" t="str">
        <f>IF(SUBTOTAL(109,A79)=A79,"","")</f>
        <v/>
      </c>
      <c r="AB79" s="30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 hidden="1" outlineLevel="5" collapsed="1" x14ac:dyDescent="0.25">
      <c r="A80" s="29">
        <v>1</v>
      </c>
      <c r="C80" s="24" t="str">
        <f>IF(SUBTOTAL(109,A80)=A80,"                    Accumulated Amortization of Intangibles other than Goodwill","                    Accumulated Amortization of Intangibles other than Goodwill")</f>
        <v xml:space="preserve">                    Accumulated Amortization of Intangibles other than Goodwill</v>
      </c>
      <c r="D80" s="32">
        <f t="shared" si="16"/>
        <v>-7364000</v>
      </c>
      <c r="E80" s="32">
        <f t="shared" si="17"/>
        <v>-6402545.4545454541</v>
      </c>
      <c r="F80" s="32">
        <f t="shared" si="18"/>
        <v>-9773000</v>
      </c>
      <c r="G80" s="32">
        <f t="shared" si="19"/>
        <v>-2283000</v>
      </c>
      <c r="H80" s="32">
        <f t="shared" si="20"/>
        <v>-9326000</v>
      </c>
      <c r="I80" s="32">
        <f t="shared" si="21"/>
        <v>-2788000</v>
      </c>
      <c r="J80" s="32">
        <f t="shared" si="22"/>
        <v>3214966.8540635495</v>
      </c>
      <c r="K80" s="33">
        <f t="shared" si="23"/>
        <v>-0.50213885662945201</v>
      </c>
      <c r="L80" s="37"/>
      <c r="M80" s="37">
        <f>IF(SUBTOTAL(109,A80)=A80,"",-2853000)</f>
        <v>-2853000</v>
      </c>
      <c r="N80" s="37">
        <f>IF(SUBTOTAL(109,A80)=A80,"",-2723000)</f>
        <v>-2723000</v>
      </c>
      <c r="O80" s="37">
        <f>IF(SUBTOTAL(109,A80)=A80,"",-2520000)</f>
        <v>-2520000</v>
      </c>
      <c r="P80" s="37">
        <f>IF(SUBTOTAL(109,A80)=A80,"",-2283000)</f>
        <v>-2283000</v>
      </c>
      <c r="Q80" s="37">
        <f>IF(SUBTOTAL(109,A80)=A80,"",-9712000)</f>
        <v>-9712000</v>
      </c>
      <c r="R80" s="37">
        <f>IF(SUBTOTAL(109,A80)=A80,"",-9773000)</f>
        <v>-9773000</v>
      </c>
      <c r="S80" s="37">
        <f>IF(SUBTOTAL(109,A80)=A80,"",-9460000)</f>
        <v>-9460000</v>
      </c>
      <c r="T80" s="37">
        <f>IF(SUBTOTAL(109,A80)=A80,"",-9192000)</f>
        <v>-9192000</v>
      </c>
      <c r="U80" s="37">
        <f>IF(SUBTOTAL(109,A80)=A80,"",-8557000)</f>
        <v>-8557000</v>
      </c>
      <c r="V80" s="37">
        <f>IF(SUBTOTAL(109,A80)=A80,"",-7364000)</f>
        <v>-7364000</v>
      </c>
      <c r="W80" s="37">
        <f>IF(SUBTOTAL(109,A80)=A80,"",-5991000)</f>
        <v>-5991000</v>
      </c>
      <c r="X80" s="37" t="str">
        <f>IF(SUBTOTAL(109,A80)=A80,"","")</f>
        <v/>
      </c>
      <c r="Y80" s="37" t="str">
        <f>IF(SUBTOTAL(109,A80)=A80,"","")</f>
        <v/>
      </c>
      <c r="Z80" s="37" t="str">
        <f>IF(SUBTOTAL(109,A80)=A80,"","")</f>
        <v/>
      </c>
      <c r="AB80" s="30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 hidden="1" outlineLevel="6" x14ac:dyDescent="0.25">
      <c r="A81" s="29">
        <v>1</v>
      </c>
      <c r="C81" s="24" t="str">
        <f>"                        Accumulated Amortization of Trademarks and Patents"</f>
        <v xml:space="preserve">                        Accumulated Amortization of Trademarks and Patents</v>
      </c>
      <c r="D81" s="32">
        <f t="shared" si="16"/>
        <v>-921000</v>
      </c>
      <c r="E81" s="32">
        <f t="shared" si="17"/>
        <v>-933090.90909090906</v>
      </c>
      <c r="F81" s="32">
        <f t="shared" si="18"/>
        <v>-1550000</v>
      </c>
      <c r="G81" s="32">
        <f t="shared" si="19"/>
        <v>-374000</v>
      </c>
      <c r="H81" s="32">
        <f t="shared" si="20"/>
        <v>-1225000</v>
      </c>
      <c r="I81" s="32">
        <f t="shared" si="21"/>
        <v>-621000</v>
      </c>
      <c r="J81" s="32">
        <f t="shared" si="22"/>
        <v>401807.03193086456</v>
      </c>
      <c r="K81" s="33">
        <f t="shared" si="23"/>
        <v>-0.43061938340213468</v>
      </c>
      <c r="L81" s="37"/>
      <c r="M81" s="37">
        <v>-1550000</v>
      </c>
      <c r="N81" s="37">
        <v>-1444000</v>
      </c>
      <c r="O81" s="37">
        <v>-1285000</v>
      </c>
      <c r="P81" s="37">
        <v>-1165000</v>
      </c>
      <c r="Q81" s="37">
        <v>-1044000</v>
      </c>
      <c r="R81" s="37">
        <v>-921000</v>
      </c>
      <c r="S81" s="37">
        <v>-808000</v>
      </c>
      <c r="T81" s="37">
        <v>-683000</v>
      </c>
      <c r="U81" s="37">
        <v>-559000</v>
      </c>
      <c r="V81" s="37">
        <v>-431000</v>
      </c>
      <c r="W81" s="37">
        <v>-374000</v>
      </c>
      <c r="X81" s="37" t="s">
        <v>124</v>
      </c>
      <c r="Y81" s="37" t="s">
        <v>124</v>
      </c>
      <c r="Z81" s="37" t="s">
        <v>124</v>
      </c>
      <c r="AB81" s="30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 hidden="1" outlineLevel="6" x14ac:dyDescent="0.25">
      <c r="A82" s="29">
        <v>1</v>
      </c>
      <c r="C82" s="24" t="str">
        <f>"                        Accumulated Amortization of Software and Technology"</f>
        <v xml:space="preserve">                        Accumulated Amortization of Software and Technology</v>
      </c>
      <c r="D82" s="32">
        <f t="shared" si="16"/>
        <v>-6320000</v>
      </c>
      <c r="E82" s="32">
        <f t="shared" si="17"/>
        <v>-4732090.9090909092</v>
      </c>
      <c r="F82" s="32">
        <f t="shared" si="18"/>
        <v>-7940000</v>
      </c>
      <c r="G82" s="32">
        <f t="shared" si="19"/>
        <v>-457000</v>
      </c>
      <c r="H82" s="32">
        <f t="shared" si="20"/>
        <v>-7739500</v>
      </c>
      <c r="I82" s="32">
        <f t="shared" si="21"/>
        <v>-548500</v>
      </c>
      <c r="J82" s="32">
        <f t="shared" si="22"/>
        <v>3438293.6016153549</v>
      </c>
      <c r="K82" s="33">
        <f t="shared" si="23"/>
        <v>-0.72659077512859782</v>
      </c>
      <c r="L82" s="37"/>
      <c r="M82" s="37">
        <v>-555000</v>
      </c>
      <c r="N82" s="37">
        <v>-542000</v>
      </c>
      <c r="O82" s="37">
        <v>-533000</v>
      </c>
      <c r="P82" s="37">
        <v>-457000</v>
      </c>
      <c r="Q82" s="37">
        <v>-7735000</v>
      </c>
      <c r="R82" s="37">
        <v>-7940000</v>
      </c>
      <c r="S82" s="37">
        <v>-7838000</v>
      </c>
      <c r="T82" s="37">
        <v>-7744000</v>
      </c>
      <c r="U82" s="37">
        <v>-7308000</v>
      </c>
      <c r="V82" s="37">
        <v>-6320000</v>
      </c>
      <c r="W82" s="37">
        <v>-5081000</v>
      </c>
      <c r="X82" s="37" t="s">
        <v>124</v>
      </c>
      <c r="Y82" s="37" t="s">
        <v>124</v>
      </c>
      <c r="Z82" s="37" t="s">
        <v>124</v>
      </c>
      <c r="AB82" s="30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 hidden="1" outlineLevel="6" x14ac:dyDescent="0.25">
      <c r="A83" s="29">
        <v>1</v>
      </c>
      <c r="C83" s="24" t="str">
        <f>"                        Accumulated Amortization of Customer Relationships"</f>
        <v xml:space="preserve">                        Accumulated Amortization of Customer Relationships</v>
      </c>
      <c r="D83" s="32">
        <f t="shared" si="16"/>
        <v>-702000</v>
      </c>
      <c r="E83" s="32">
        <f t="shared" si="17"/>
        <v>-632181.81818181823</v>
      </c>
      <c r="F83" s="32">
        <f t="shared" si="18"/>
        <v>-933000</v>
      </c>
      <c r="G83" s="32">
        <f t="shared" si="19"/>
        <v>-322000</v>
      </c>
      <c r="H83" s="32">
        <f t="shared" si="20"/>
        <v>-781000</v>
      </c>
      <c r="I83" s="32">
        <f t="shared" si="21"/>
        <v>-399000</v>
      </c>
      <c r="J83" s="32">
        <f t="shared" si="22"/>
        <v>230759.53639311122</v>
      </c>
      <c r="K83" s="33">
        <f t="shared" si="23"/>
        <v>-0.36502083697501053</v>
      </c>
      <c r="L83" s="37"/>
      <c r="M83" s="37">
        <v>-748000</v>
      </c>
      <c r="N83" s="37">
        <v>-737000</v>
      </c>
      <c r="O83" s="37">
        <v>-702000</v>
      </c>
      <c r="P83" s="37">
        <v>-661000</v>
      </c>
      <c r="Q83" s="37">
        <v>-933000</v>
      </c>
      <c r="R83" s="37">
        <v>-912000</v>
      </c>
      <c r="S83" s="37">
        <v>-814000</v>
      </c>
      <c r="T83" s="37">
        <v>-434000</v>
      </c>
      <c r="U83" s="37">
        <v>-364000</v>
      </c>
      <c r="V83" s="37">
        <v>-327000</v>
      </c>
      <c r="W83" s="37">
        <v>-322000</v>
      </c>
      <c r="X83" s="37" t="s">
        <v>124</v>
      </c>
      <c r="Y83" s="37" t="s">
        <v>124</v>
      </c>
      <c r="Z83" s="37" t="s">
        <v>124</v>
      </c>
      <c r="AB83" s="30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 hidden="1" outlineLevel="6" x14ac:dyDescent="0.25">
      <c r="A84" s="29">
        <v>1</v>
      </c>
      <c r="C84" s="24" t="str">
        <f>"                        Accumulated Amortization of Other Intangible Assets"</f>
        <v xml:space="preserve">                        Accumulated Amortization of Other Intangible Assets</v>
      </c>
      <c r="D84" s="32">
        <f t="shared" si="16"/>
        <v>-306000</v>
      </c>
      <c r="E84" s="32">
        <f t="shared" si="17"/>
        <v>-289250</v>
      </c>
      <c r="F84" s="32">
        <f t="shared" si="18"/>
        <v>-331000</v>
      </c>
      <c r="G84" s="32">
        <f t="shared" si="19"/>
        <v>-214000</v>
      </c>
      <c r="H84" s="32">
        <f t="shared" si="20"/>
        <v>-327250</v>
      </c>
      <c r="I84" s="32">
        <f t="shared" si="21"/>
        <v>-268000</v>
      </c>
      <c r="J84" s="32">
        <f t="shared" si="22"/>
        <v>54057.839394485607</v>
      </c>
      <c r="K84" s="33">
        <f t="shared" si="23"/>
        <v>-0.18688967811403839</v>
      </c>
      <c r="L84" s="37"/>
      <c r="M84" s="37" t="s">
        <v>124</v>
      </c>
      <c r="N84" s="37" t="s">
        <v>124</v>
      </c>
      <c r="O84" s="37" t="s">
        <v>124</v>
      </c>
      <c r="P84" s="37" t="s">
        <v>124</v>
      </c>
      <c r="Q84" s="37" t="s">
        <v>124</v>
      </c>
      <c r="R84" s="37" t="s">
        <v>124</v>
      </c>
      <c r="S84" s="37" t="s">
        <v>124</v>
      </c>
      <c r="T84" s="37">
        <v>-331000</v>
      </c>
      <c r="U84" s="37">
        <v>-326000</v>
      </c>
      <c r="V84" s="37">
        <v>-286000</v>
      </c>
      <c r="W84" s="37">
        <v>-214000</v>
      </c>
      <c r="X84" s="37" t="s">
        <v>124</v>
      </c>
      <c r="Y84" s="37" t="s">
        <v>124</v>
      </c>
      <c r="Z84" s="37" t="s">
        <v>124</v>
      </c>
      <c r="AB84" s="30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 hidden="1" outlineLevel="6" x14ac:dyDescent="0.25">
      <c r="A85" s="29">
        <v>1</v>
      </c>
      <c r="C85" s="25" t="str">
        <f>"                        Total Accumulated Amortization of Intangibles other than Goodwill"</f>
        <v xml:space="preserve">                        Total Accumulated Amortization of Intangibles other than Goodwill</v>
      </c>
      <c r="D85" s="45">
        <f t="shared" si="16"/>
        <v>-7364000</v>
      </c>
      <c r="E85" s="45">
        <f t="shared" si="17"/>
        <v>-6402545.4545454541</v>
      </c>
      <c r="F85" s="45">
        <f t="shared" si="18"/>
        <v>-9773000</v>
      </c>
      <c r="G85" s="45">
        <f t="shared" si="19"/>
        <v>-2283000</v>
      </c>
      <c r="H85" s="45">
        <f t="shared" si="20"/>
        <v>-9326000</v>
      </c>
      <c r="I85" s="45">
        <f t="shared" si="21"/>
        <v>-2788000</v>
      </c>
      <c r="J85" s="45">
        <f t="shared" si="22"/>
        <v>3214966.8540635495</v>
      </c>
      <c r="K85" s="46">
        <f t="shared" si="23"/>
        <v>-0.50213885662945201</v>
      </c>
      <c r="L85" s="47"/>
      <c r="M85" s="47">
        <v>-2853000</v>
      </c>
      <c r="N85" s="47">
        <v>-2723000</v>
      </c>
      <c r="O85" s="47">
        <v>-2520000</v>
      </c>
      <c r="P85" s="47">
        <v>-2283000</v>
      </c>
      <c r="Q85" s="47">
        <v>-9712000</v>
      </c>
      <c r="R85" s="47">
        <v>-9773000</v>
      </c>
      <c r="S85" s="47">
        <v>-9460000</v>
      </c>
      <c r="T85" s="47">
        <v>-9192000</v>
      </c>
      <c r="U85" s="47">
        <v>-8557000</v>
      </c>
      <c r="V85" s="47">
        <v>-7364000</v>
      </c>
      <c r="W85" s="47">
        <v>-5991000</v>
      </c>
      <c r="X85" s="47" t="s">
        <v>124</v>
      </c>
      <c r="Y85" s="47" t="s">
        <v>124</v>
      </c>
      <c r="Z85" s="47" t="s">
        <v>124</v>
      </c>
      <c r="AB85" s="30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 hidden="1" outlineLevel="5" x14ac:dyDescent="0.25">
      <c r="A86" s="29">
        <v>1</v>
      </c>
      <c r="C86" s="25" t="str">
        <f>"                    Total Accumulated Amortization of Intangible Assets"</f>
        <v xml:space="preserve">                    Total Accumulated Amortization of Intangible Assets</v>
      </c>
      <c r="D86" s="45">
        <f t="shared" si="16"/>
        <v>-7364000</v>
      </c>
      <c r="E86" s="45">
        <f t="shared" si="17"/>
        <v>-6402545.4545454541</v>
      </c>
      <c r="F86" s="45">
        <f t="shared" si="18"/>
        <v>-9773000</v>
      </c>
      <c r="G86" s="45">
        <f t="shared" si="19"/>
        <v>-2283000</v>
      </c>
      <c r="H86" s="45">
        <f t="shared" si="20"/>
        <v>-9326000</v>
      </c>
      <c r="I86" s="45">
        <f t="shared" si="21"/>
        <v>-2788000</v>
      </c>
      <c r="J86" s="45">
        <f t="shared" si="22"/>
        <v>3214966.8540635495</v>
      </c>
      <c r="K86" s="46">
        <f t="shared" si="23"/>
        <v>-0.50213885662945201</v>
      </c>
      <c r="L86" s="47"/>
      <c r="M86" s="47">
        <v>-2853000</v>
      </c>
      <c r="N86" s="47">
        <v>-2723000</v>
      </c>
      <c r="O86" s="47">
        <v>-2520000</v>
      </c>
      <c r="P86" s="47">
        <v>-2283000</v>
      </c>
      <c r="Q86" s="47">
        <v>-9712000</v>
      </c>
      <c r="R86" s="47">
        <v>-9773000</v>
      </c>
      <c r="S86" s="47">
        <v>-9460000</v>
      </c>
      <c r="T86" s="47">
        <v>-9192000</v>
      </c>
      <c r="U86" s="47">
        <v>-8557000</v>
      </c>
      <c r="V86" s="47">
        <v>-7364000</v>
      </c>
      <c r="W86" s="47">
        <v>-5991000</v>
      </c>
      <c r="X86" s="47" t="s">
        <v>124</v>
      </c>
      <c r="Y86" s="47" t="s">
        <v>124</v>
      </c>
      <c r="Z86" s="47" t="s">
        <v>124</v>
      </c>
      <c r="AB86" s="30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 hidden="1" outlineLevel="4" x14ac:dyDescent="0.25">
      <c r="A87" s="29">
        <v>1</v>
      </c>
      <c r="C87" s="25" t="str">
        <f>"                Total Accumulated Amortization and Impairment"</f>
        <v xml:space="preserve">                Total Accumulated Amortization and Impairment</v>
      </c>
      <c r="D87" s="45">
        <f t="shared" si="16"/>
        <v>-7364000</v>
      </c>
      <c r="E87" s="45">
        <f t="shared" si="17"/>
        <v>-6402545.4545454541</v>
      </c>
      <c r="F87" s="45">
        <f t="shared" si="18"/>
        <v>-9773000</v>
      </c>
      <c r="G87" s="45">
        <f t="shared" si="19"/>
        <v>-2283000</v>
      </c>
      <c r="H87" s="45">
        <f t="shared" si="20"/>
        <v>-9326000</v>
      </c>
      <c r="I87" s="45">
        <f t="shared" si="21"/>
        <v>-2788000</v>
      </c>
      <c r="J87" s="45">
        <f t="shared" si="22"/>
        <v>3214966.8540635495</v>
      </c>
      <c r="K87" s="46">
        <f t="shared" si="23"/>
        <v>-0.50213885662945201</v>
      </c>
      <c r="L87" s="47"/>
      <c r="M87" s="47">
        <v>-2853000</v>
      </c>
      <c r="N87" s="47">
        <v>-2723000</v>
      </c>
      <c r="O87" s="47">
        <v>-2520000</v>
      </c>
      <c r="P87" s="47">
        <v>-2283000</v>
      </c>
      <c r="Q87" s="47">
        <v>-9712000</v>
      </c>
      <c r="R87" s="47">
        <v>-9773000</v>
      </c>
      <c r="S87" s="47">
        <v>-9460000</v>
      </c>
      <c r="T87" s="47">
        <v>-9192000</v>
      </c>
      <c r="U87" s="47">
        <v>-8557000</v>
      </c>
      <c r="V87" s="47">
        <v>-7364000</v>
      </c>
      <c r="W87" s="47">
        <v>-5991000</v>
      </c>
      <c r="X87" s="47" t="s">
        <v>124</v>
      </c>
      <c r="Y87" s="47" t="s">
        <v>124</v>
      </c>
      <c r="Z87" s="47" t="s">
        <v>124</v>
      </c>
      <c r="AB87" s="30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 outlineLevel="3" x14ac:dyDescent="0.25">
      <c r="A88" s="29">
        <v>1</v>
      </c>
      <c r="C88" s="25" t="str">
        <f>"            Total Net Intangible Assets"</f>
        <v xml:space="preserve">            Total Net Intangible Assets</v>
      </c>
      <c r="D88" s="45">
        <f t="shared" si="16"/>
        <v>6048000</v>
      </c>
      <c r="E88" s="45">
        <f t="shared" si="17"/>
        <v>13555357.142857144</v>
      </c>
      <c r="F88" s="45">
        <f t="shared" si="18"/>
        <v>265000</v>
      </c>
      <c r="G88" s="45">
        <f t="shared" si="19"/>
        <v>45219000</v>
      </c>
      <c r="H88" s="45">
        <f t="shared" si="20"/>
        <v>5397500</v>
      </c>
      <c r="I88" s="45">
        <f t="shared" si="21"/>
        <v>8393500</v>
      </c>
      <c r="J88" s="45">
        <f t="shared" si="22"/>
        <v>15915192.720296409</v>
      </c>
      <c r="K88" s="46">
        <f t="shared" si="23"/>
        <v>1.1740887792604384</v>
      </c>
      <c r="L88" s="47"/>
      <c r="M88" s="47">
        <v>5087000</v>
      </c>
      <c r="N88" s="47">
        <v>5230000</v>
      </c>
      <c r="O88" s="47">
        <v>5337000</v>
      </c>
      <c r="P88" s="47">
        <v>5579000</v>
      </c>
      <c r="Q88" s="47">
        <v>5849000</v>
      </c>
      <c r="R88" s="47">
        <v>6149000</v>
      </c>
      <c r="S88" s="47">
        <v>5947000</v>
      </c>
      <c r="T88" s="47">
        <v>6410000</v>
      </c>
      <c r="U88" s="47">
        <v>7228000</v>
      </c>
      <c r="V88" s="47">
        <v>8782000</v>
      </c>
      <c r="W88" s="47">
        <v>39033000</v>
      </c>
      <c r="X88" s="47">
        <v>43660000</v>
      </c>
      <c r="Y88" s="47">
        <v>45219000</v>
      </c>
      <c r="Z88" s="47">
        <v>265000</v>
      </c>
      <c r="AB88" s="30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 outlineLevel="2" x14ac:dyDescent="0.25">
      <c r="A89" s="29">
        <v>1</v>
      </c>
      <c r="C89" s="24" t="str">
        <f>IF(SUBTOTAL(109,A89)=A89,"        Long Term Investments","        Total Long Term Investments")</f>
        <v xml:space="preserve">        Long Term Investments</v>
      </c>
      <c r="D89" s="32" t="str">
        <f t="shared" si="16"/>
        <v/>
      </c>
      <c r="E89" s="32" t="str">
        <f t="shared" si="17"/>
        <v/>
      </c>
      <c r="F89" s="32" t="str">
        <f t="shared" si="18"/>
        <v/>
      </c>
      <c r="G89" s="32" t="str">
        <f t="shared" si="19"/>
        <v/>
      </c>
      <c r="H89" s="32" t="str">
        <f t="shared" si="20"/>
        <v/>
      </c>
      <c r="I89" s="32" t="str">
        <f t="shared" si="21"/>
        <v/>
      </c>
      <c r="J89" s="32" t="str">
        <f t="shared" si="22"/>
        <v/>
      </c>
      <c r="K89" s="33" t="str">
        <f t="shared" si="23"/>
        <v/>
      </c>
      <c r="L89" s="37"/>
      <c r="M89" s="37" t="str">
        <f>IF(SUBTOTAL(109,A89)=A89,"",9677000)</f>
        <v/>
      </c>
      <c r="N89" s="37" t="str">
        <f>IF(SUBTOTAL(109,A89)=A89,"",8406000)</f>
        <v/>
      </c>
      <c r="O89" s="37" t="str">
        <f>IF(SUBTOTAL(109,A89)=A89,"",8562000)</f>
        <v/>
      </c>
      <c r="P89" s="37" t="str">
        <f>IF(SUBTOTAL(109,A89)=A89,"",9215000)</f>
        <v/>
      </c>
      <c r="Q89" s="37" t="str">
        <f>IF(SUBTOTAL(109,A89)=A89,"",9073000)</f>
        <v/>
      </c>
      <c r="R89" s="37" t="str">
        <f>IF(SUBTOTAL(109,A89)=A89,"",8996000)</f>
        <v/>
      </c>
      <c r="S89" s="37" t="str">
        <f>IF(SUBTOTAL(109,A89)=A89,"",9201000)</f>
        <v/>
      </c>
      <c r="T89" s="37" t="str">
        <f>IF(SUBTOTAL(109,A89)=A89,"",8350000)</f>
        <v/>
      </c>
      <c r="U89" s="37" t="str">
        <f>IF(SUBTOTAL(109,A89)=A89,"",8094000)</f>
        <v/>
      </c>
      <c r="V89" s="37" t="str">
        <f>IF(SUBTOTAL(109,A89)=A89,"",6883000)</f>
        <v/>
      </c>
      <c r="W89" s="37" t="str">
        <f>IF(SUBTOTAL(109,A89)=A89,"",6790000)</f>
        <v/>
      </c>
      <c r="X89" s="37" t="str">
        <f>IF(SUBTOTAL(109,A89)=A89,"",8529000)</f>
        <v/>
      </c>
      <c r="Y89" s="37" t="str">
        <f>IF(SUBTOTAL(109,A89)=A89,"",7936000)</f>
        <v/>
      </c>
      <c r="Z89" s="37" t="str">
        <f>IF(SUBTOTAL(109,A89)=A89,"",4063000)</f>
        <v/>
      </c>
      <c r="AB89" s="30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 outlineLevel="3" collapsed="1" x14ac:dyDescent="0.25">
      <c r="A90" s="29">
        <v>1</v>
      </c>
      <c r="C90" s="24" t="str">
        <f>IF(SUBTOTAL(109,A90)=A90,"            Long Term Equity Investments","            Long Term Equity Investments")</f>
        <v xml:space="preserve">            Long Term Equity Investments</v>
      </c>
      <c r="D90" s="32" t="str">
        <f t="shared" si="16"/>
        <v/>
      </c>
      <c r="E90" s="32" t="str">
        <f t="shared" si="17"/>
        <v/>
      </c>
      <c r="F90" s="32" t="str">
        <f t="shared" si="18"/>
        <v/>
      </c>
      <c r="G90" s="32" t="str">
        <f t="shared" si="19"/>
        <v/>
      </c>
      <c r="H90" s="32" t="str">
        <f t="shared" si="20"/>
        <v/>
      </c>
      <c r="I90" s="32" t="str">
        <f t="shared" si="21"/>
        <v/>
      </c>
      <c r="J90" s="32" t="str">
        <f t="shared" si="22"/>
        <v/>
      </c>
      <c r="K90" s="33" t="str">
        <f t="shared" si="23"/>
        <v/>
      </c>
      <c r="L90" s="37"/>
      <c r="M90" s="37" t="str">
        <f>IF(SUBTOTAL(109,A90)=A90,"",9677000)</f>
        <v/>
      </c>
      <c r="N90" s="37" t="str">
        <f>IF(SUBTOTAL(109,A90)=A90,"",8406000)</f>
        <v/>
      </c>
      <c r="O90" s="37" t="str">
        <f>IF(SUBTOTAL(109,A90)=A90,"",8562000)</f>
        <v/>
      </c>
      <c r="P90" s="37" t="str">
        <f>IF(SUBTOTAL(109,A90)=A90,"",9215000)</f>
        <v/>
      </c>
      <c r="Q90" s="37" t="str">
        <f>IF(SUBTOTAL(109,A90)=A90,"",9073000)</f>
        <v/>
      </c>
      <c r="R90" s="37" t="str">
        <f>IF(SUBTOTAL(109,A90)=A90,"",8996000)</f>
        <v/>
      </c>
      <c r="S90" s="37" t="str">
        <f>IF(SUBTOTAL(109,A90)=A90,"",9201000)</f>
        <v/>
      </c>
      <c r="T90" s="37" t="str">
        <f>IF(SUBTOTAL(109,A90)=A90,"",8350000)</f>
        <v/>
      </c>
      <c r="U90" s="37" t="str">
        <f>IF(SUBTOTAL(109,A90)=A90,"",8094000)</f>
        <v/>
      </c>
      <c r="V90" s="37" t="str">
        <f>IF(SUBTOTAL(109,A90)=A90,"",6883000)</f>
        <v/>
      </c>
      <c r="W90" s="37" t="str">
        <f>IF(SUBTOTAL(109,A90)=A90,"",6790000)</f>
        <v/>
      </c>
      <c r="X90" s="37" t="str">
        <f>IF(SUBTOTAL(109,A90)=A90,"",8529000)</f>
        <v/>
      </c>
      <c r="Y90" s="37" t="str">
        <f>IF(SUBTOTAL(109,A90)=A90,"",7936000)</f>
        <v/>
      </c>
      <c r="Z90" s="37" t="str">
        <f>IF(SUBTOTAL(109,A90)=A90,"","")</f>
        <v/>
      </c>
      <c r="AB90" s="30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 hidden="1" outlineLevel="4" x14ac:dyDescent="0.25">
      <c r="A91" s="29">
        <v>1</v>
      </c>
      <c r="C91" s="24" t="str">
        <f>"                Investments in Associates"</f>
        <v xml:space="preserve">                Investments in Associates</v>
      </c>
      <c r="D91" s="32">
        <f t="shared" si="16"/>
        <v>8562000</v>
      </c>
      <c r="E91" s="32">
        <f t="shared" si="17"/>
        <v>8477000</v>
      </c>
      <c r="F91" s="32">
        <f t="shared" si="18"/>
        <v>6790000</v>
      </c>
      <c r="G91" s="32">
        <f t="shared" si="19"/>
        <v>9677000</v>
      </c>
      <c r="H91" s="32">
        <f t="shared" si="20"/>
        <v>8222000</v>
      </c>
      <c r="I91" s="32">
        <f t="shared" si="21"/>
        <v>9137000</v>
      </c>
      <c r="J91" s="32">
        <f t="shared" si="22"/>
        <v>932485.17414487619</v>
      </c>
      <c r="K91" s="33">
        <f t="shared" si="23"/>
        <v>0.11000179003714476</v>
      </c>
      <c r="L91" s="37"/>
      <c r="M91" s="37">
        <v>9677000</v>
      </c>
      <c r="N91" s="37">
        <v>8406000</v>
      </c>
      <c r="O91" s="37">
        <v>8562000</v>
      </c>
      <c r="P91" s="37">
        <v>9215000</v>
      </c>
      <c r="Q91" s="37">
        <v>9073000</v>
      </c>
      <c r="R91" s="37">
        <v>8996000</v>
      </c>
      <c r="S91" s="37">
        <v>9201000</v>
      </c>
      <c r="T91" s="37">
        <v>8350000</v>
      </c>
      <c r="U91" s="37">
        <v>8094000</v>
      </c>
      <c r="V91" s="37">
        <v>6883000</v>
      </c>
      <c r="W91" s="37">
        <v>6790000</v>
      </c>
      <c r="X91" s="37" t="s">
        <v>124</v>
      </c>
      <c r="Y91" s="37" t="s">
        <v>124</v>
      </c>
      <c r="Z91" s="37" t="s">
        <v>124</v>
      </c>
      <c r="AB91" s="30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 hidden="1" outlineLevel="4" x14ac:dyDescent="0.25">
      <c r="A92" s="29">
        <v>1</v>
      </c>
      <c r="C92" s="25" t="str">
        <f>"                Total Long Term Equity Investments"</f>
        <v xml:space="preserve">                Total Long Term Equity Investments</v>
      </c>
      <c r="D92" s="45">
        <f t="shared" si="16"/>
        <v>8529000</v>
      </c>
      <c r="E92" s="45">
        <f t="shared" si="17"/>
        <v>8439384.615384616</v>
      </c>
      <c r="F92" s="45">
        <f t="shared" si="18"/>
        <v>6790000</v>
      </c>
      <c r="G92" s="45">
        <f t="shared" si="19"/>
        <v>9677000</v>
      </c>
      <c r="H92" s="45">
        <f t="shared" si="20"/>
        <v>8094000</v>
      </c>
      <c r="I92" s="45">
        <f t="shared" si="21"/>
        <v>9073000</v>
      </c>
      <c r="J92" s="45">
        <f t="shared" si="22"/>
        <v>864690.55529146164</v>
      </c>
      <c r="K92" s="46">
        <f t="shared" si="23"/>
        <v>0.10245895817038246</v>
      </c>
      <c r="L92" s="47"/>
      <c r="M92" s="47">
        <v>9677000</v>
      </c>
      <c r="N92" s="47">
        <v>8406000</v>
      </c>
      <c r="O92" s="47">
        <v>8562000</v>
      </c>
      <c r="P92" s="47">
        <v>9215000</v>
      </c>
      <c r="Q92" s="47">
        <v>9073000</v>
      </c>
      <c r="R92" s="47">
        <v>8996000</v>
      </c>
      <c r="S92" s="47">
        <v>9201000</v>
      </c>
      <c r="T92" s="47">
        <v>8350000</v>
      </c>
      <c r="U92" s="47">
        <v>8094000</v>
      </c>
      <c r="V92" s="47">
        <v>6883000</v>
      </c>
      <c r="W92" s="47">
        <v>6790000</v>
      </c>
      <c r="X92" s="47">
        <v>8529000</v>
      </c>
      <c r="Y92" s="47">
        <v>7936000</v>
      </c>
      <c r="Z92" s="47" t="s">
        <v>124</v>
      </c>
      <c r="AB92" s="30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 outlineLevel="3" x14ac:dyDescent="0.25">
      <c r="A93" s="29">
        <v>1</v>
      </c>
      <c r="C93" s="25" t="str">
        <f>"            Total Long Term Investments"</f>
        <v xml:space="preserve">            Total Long Term Investments</v>
      </c>
      <c r="D93" s="45">
        <f t="shared" si="16"/>
        <v>8467500</v>
      </c>
      <c r="E93" s="45">
        <f t="shared" si="17"/>
        <v>8126785.7142857146</v>
      </c>
      <c r="F93" s="45">
        <f t="shared" si="18"/>
        <v>4063000</v>
      </c>
      <c r="G93" s="45">
        <f t="shared" si="19"/>
        <v>9677000</v>
      </c>
      <c r="H93" s="45">
        <f t="shared" si="20"/>
        <v>7975500</v>
      </c>
      <c r="I93" s="45">
        <f t="shared" si="21"/>
        <v>9053750</v>
      </c>
      <c r="J93" s="45">
        <f t="shared" si="22"/>
        <v>1434652.6343748451</v>
      </c>
      <c r="K93" s="46">
        <f t="shared" si="23"/>
        <v>0.17653383327838129</v>
      </c>
      <c r="L93" s="47"/>
      <c r="M93" s="47">
        <v>9677000</v>
      </c>
      <c r="N93" s="47">
        <v>8406000</v>
      </c>
      <c r="O93" s="47">
        <v>8562000</v>
      </c>
      <c r="P93" s="47">
        <v>9215000</v>
      </c>
      <c r="Q93" s="47">
        <v>9073000</v>
      </c>
      <c r="R93" s="47">
        <v>8996000</v>
      </c>
      <c r="S93" s="47">
        <v>9201000</v>
      </c>
      <c r="T93" s="47">
        <v>8350000</v>
      </c>
      <c r="U93" s="47">
        <v>8094000</v>
      </c>
      <c r="V93" s="47">
        <v>6883000</v>
      </c>
      <c r="W93" s="47">
        <v>6790000</v>
      </c>
      <c r="X93" s="47">
        <v>8529000</v>
      </c>
      <c r="Y93" s="47">
        <v>7936000</v>
      </c>
      <c r="Z93" s="47">
        <v>4063000</v>
      </c>
      <c r="AB93" s="30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 outlineLevel="2" x14ac:dyDescent="0.25">
      <c r="A94" s="29">
        <v>1</v>
      </c>
      <c r="C94" s="24" t="str">
        <f>IF(SUBTOTAL(109,A94)=A94,"        Trade and Other Receivables, Non-Current","        Trade and Other Receivables, Non-Current")</f>
        <v xml:space="preserve">        Trade and Other Receivables, Non-Current</v>
      </c>
      <c r="D94" s="32" t="str">
        <f t="shared" si="16"/>
        <v/>
      </c>
      <c r="E94" s="32" t="str">
        <f t="shared" si="17"/>
        <v/>
      </c>
      <c r="F94" s="32" t="str">
        <f t="shared" si="18"/>
        <v/>
      </c>
      <c r="G94" s="32" t="str">
        <f t="shared" si="19"/>
        <v/>
      </c>
      <c r="H94" s="32" t="str">
        <f t="shared" si="20"/>
        <v/>
      </c>
      <c r="I94" s="32" t="str">
        <f t="shared" si="21"/>
        <v/>
      </c>
      <c r="J94" s="32" t="str">
        <f t="shared" si="22"/>
        <v/>
      </c>
      <c r="K94" s="33" t="str">
        <f t="shared" si="23"/>
        <v/>
      </c>
      <c r="L94" s="37"/>
      <c r="M94" s="37" t="str">
        <f>IF(SUBTOTAL(109,A94)=A94,"",36167000)</f>
        <v/>
      </c>
      <c r="N94" s="37" t="str">
        <f>IF(SUBTOTAL(109,A94)=A94,"",31783000)</f>
        <v/>
      </c>
      <c r="O94" s="37" t="str">
        <f>IF(SUBTOTAL(109,A94)=A94,"",26355000)</f>
        <v/>
      </c>
      <c r="P94" s="37" t="str">
        <f>IF(SUBTOTAL(109,A94)=A94,"",25083000)</f>
        <v/>
      </c>
      <c r="Q94" s="37" t="str">
        <f>IF(SUBTOTAL(109,A94)=A94,"",21208000)</f>
        <v/>
      </c>
      <c r="R94" s="37" t="str">
        <f>IF(SUBTOTAL(109,A94)=A94,"",17001000)</f>
        <v/>
      </c>
      <c r="S94" s="37" t="str">
        <f>IF(SUBTOTAL(109,A94)=A94,"",18500000)</f>
        <v/>
      </c>
      <c r="T94" s="37" t="str">
        <f>IF(SUBTOTAL(109,A94)=A94,"",16006000)</f>
        <v/>
      </c>
      <c r="U94" s="37" t="str">
        <f>IF(SUBTOTAL(109,A94)=A94,"",14354000)</f>
        <v/>
      </c>
      <c r="V94" s="37" t="str">
        <f>IF(SUBTOTAL(109,A94)=A94,"",6954000)</f>
        <v/>
      </c>
      <c r="W94" s="37" t="str">
        <f>IF(SUBTOTAL(109,A94)=A94,"",5911000)</f>
        <v/>
      </c>
      <c r="X94" s="37" t="str">
        <f>IF(SUBTOTAL(109,A94)=A94,"",8197000)</f>
        <v/>
      </c>
      <c r="Y94" s="37" t="str">
        <f>IF(SUBTOTAL(109,A94)=A94,"",0)</f>
        <v/>
      </c>
      <c r="Z94" s="37" t="str">
        <f>IF(SUBTOTAL(109,A94)=A94,"","")</f>
        <v/>
      </c>
      <c r="AB94" s="30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 outlineLevel="3" x14ac:dyDescent="0.25">
      <c r="A95" s="29">
        <v>1</v>
      </c>
      <c r="C95" s="24" t="str">
        <f>"            Trade/Accounts Receivable, Non-Current"</f>
        <v xml:space="preserve">            Trade/Accounts Receivable, Non-Current</v>
      </c>
      <c r="D95" s="32">
        <f t="shared" si="16"/>
        <v>18500000</v>
      </c>
      <c r="E95" s="32">
        <f t="shared" si="17"/>
        <v>19938363.636363637</v>
      </c>
      <c r="F95" s="32">
        <f t="shared" si="18"/>
        <v>5911000</v>
      </c>
      <c r="G95" s="32">
        <f t="shared" si="19"/>
        <v>36167000</v>
      </c>
      <c r="H95" s="32">
        <f t="shared" si="20"/>
        <v>15180000</v>
      </c>
      <c r="I95" s="32">
        <f t="shared" si="21"/>
        <v>25719000</v>
      </c>
      <c r="J95" s="32">
        <f t="shared" si="22"/>
        <v>9463734.762478577</v>
      </c>
      <c r="K95" s="33">
        <f t="shared" si="23"/>
        <v>0.47464952164974034</v>
      </c>
      <c r="L95" s="37"/>
      <c r="M95" s="37">
        <v>36167000</v>
      </c>
      <c r="N95" s="37">
        <v>31783000</v>
      </c>
      <c r="O95" s="37">
        <v>26355000</v>
      </c>
      <c r="P95" s="37">
        <v>25083000</v>
      </c>
      <c r="Q95" s="37">
        <v>21208000</v>
      </c>
      <c r="R95" s="37">
        <v>17001000</v>
      </c>
      <c r="S95" s="37">
        <v>18500000</v>
      </c>
      <c r="T95" s="37">
        <v>16006000</v>
      </c>
      <c r="U95" s="37">
        <v>14354000</v>
      </c>
      <c r="V95" s="37">
        <v>6954000</v>
      </c>
      <c r="W95" s="37">
        <v>5911000</v>
      </c>
      <c r="X95" s="37" t="s">
        <v>124</v>
      </c>
      <c r="Y95" s="37" t="s">
        <v>124</v>
      </c>
      <c r="Z95" s="37" t="s">
        <v>124</v>
      </c>
      <c r="AB95" s="30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 outlineLevel="3" x14ac:dyDescent="0.25">
      <c r="A96" s="29">
        <v>1</v>
      </c>
      <c r="C96" s="25" t="str">
        <f>"            Total Trade and Other Receivables, Non-Current"</f>
        <v xml:space="preserve">            Total Trade and Other Receivables, Non-Current</v>
      </c>
      <c r="D96" s="45">
        <f t="shared" si="16"/>
        <v>17001000</v>
      </c>
      <c r="E96" s="45">
        <f t="shared" si="17"/>
        <v>17501461.53846154</v>
      </c>
      <c r="F96" s="45">
        <f t="shared" si="18"/>
        <v>0</v>
      </c>
      <c r="G96" s="45">
        <f t="shared" si="19"/>
        <v>36167000</v>
      </c>
      <c r="H96" s="45">
        <f t="shared" si="20"/>
        <v>8197000</v>
      </c>
      <c r="I96" s="45">
        <f t="shared" si="21"/>
        <v>25083000</v>
      </c>
      <c r="J96" s="45">
        <f t="shared" si="22"/>
        <v>10621598.77808252</v>
      </c>
      <c r="K96" s="46">
        <f t="shared" si="23"/>
        <v>0.60689781563329981</v>
      </c>
      <c r="L96" s="47"/>
      <c r="M96" s="47">
        <v>36167000</v>
      </c>
      <c r="N96" s="47">
        <v>31783000</v>
      </c>
      <c r="O96" s="47">
        <v>26355000</v>
      </c>
      <c r="P96" s="47">
        <v>25083000</v>
      </c>
      <c r="Q96" s="47">
        <v>21208000</v>
      </c>
      <c r="R96" s="47">
        <v>17001000</v>
      </c>
      <c r="S96" s="47">
        <v>18500000</v>
      </c>
      <c r="T96" s="47">
        <v>16006000</v>
      </c>
      <c r="U96" s="47">
        <v>14354000</v>
      </c>
      <c r="V96" s="47">
        <v>6954000</v>
      </c>
      <c r="W96" s="47">
        <v>5911000</v>
      </c>
      <c r="X96" s="47">
        <v>8197000</v>
      </c>
      <c r="Y96" s="47">
        <v>0</v>
      </c>
      <c r="Z96" s="47" t="s">
        <v>124</v>
      </c>
      <c r="AB96" s="30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 outlineLevel="2" x14ac:dyDescent="0.25">
      <c r="A97" s="29">
        <v>1</v>
      </c>
      <c r="C97" s="24" t="str">
        <f>"        Cash Restricted or Pledged, Non-Current"</f>
        <v xml:space="preserve">        Cash Restricted or Pledged, Non-Current</v>
      </c>
      <c r="D97" s="32">
        <f t="shared" si="16"/>
        <v>1081500</v>
      </c>
      <c r="E97" s="32">
        <f t="shared" si="17"/>
        <v>1235500</v>
      </c>
      <c r="F97" s="32">
        <f t="shared" si="18"/>
        <v>682000</v>
      </c>
      <c r="G97" s="32">
        <f t="shared" si="19"/>
        <v>2250000</v>
      </c>
      <c r="H97" s="32">
        <f t="shared" si="20"/>
        <v>855500</v>
      </c>
      <c r="I97" s="32">
        <f t="shared" si="21"/>
        <v>1423750</v>
      </c>
      <c r="J97" s="32">
        <f t="shared" si="22"/>
        <v>575401.33819795726</v>
      </c>
      <c r="K97" s="33">
        <f t="shared" si="23"/>
        <v>0.46572346272598725</v>
      </c>
      <c r="L97" s="37"/>
      <c r="M97" s="37" t="s">
        <v>124</v>
      </c>
      <c r="N97" s="37" t="s">
        <v>124</v>
      </c>
      <c r="O97" s="37" t="s">
        <v>124</v>
      </c>
      <c r="P97" s="37" t="s">
        <v>124</v>
      </c>
      <c r="Q97" s="37" t="s">
        <v>124</v>
      </c>
      <c r="R97" s="37" t="s">
        <v>124</v>
      </c>
      <c r="S97" s="37" t="s">
        <v>124</v>
      </c>
      <c r="T97" s="37">
        <v>935000</v>
      </c>
      <c r="U97" s="37">
        <v>829000</v>
      </c>
      <c r="V97" s="37">
        <v>682000</v>
      </c>
      <c r="W97" s="37">
        <v>1228000</v>
      </c>
      <c r="X97" s="37">
        <v>2250000</v>
      </c>
      <c r="Y97" s="37">
        <v>1489000</v>
      </c>
      <c r="Z97" s="37" t="s">
        <v>124</v>
      </c>
      <c r="AB97" s="30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 outlineLevel="2" x14ac:dyDescent="0.25">
      <c r="A98" s="29">
        <v>1</v>
      </c>
      <c r="C98" s="24" t="str">
        <f>"        Deferred Tax Assets, Non-Current"</f>
        <v xml:space="preserve">        Deferred Tax Assets, Non-Current</v>
      </c>
      <c r="D98" s="32">
        <f t="shared" si="16"/>
        <v>23813000</v>
      </c>
      <c r="E98" s="32">
        <f t="shared" si="17"/>
        <v>18938571.428571429</v>
      </c>
      <c r="F98" s="32">
        <f t="shared" si="18"/>
        <v>98000</v>
      </c>
      <c r="G98" s="32">
        <f t="shared" si="19"/>
        <v>36860000</v>
      </c>
      <c r="H98" s="32">
        <f t="shared" si="20"/>
        <v>5711000</v>
      </c>
      <c r="I98" s="32">
        <f t="shared" si="21"/>
        <v>25220500</v>
      </c>
      <c r="J98" s="32">
        <f t="shared" si="22"/>
        <v>12866575.957849892</v>
      </c>
      <c r="K98" s="33">
        <f t="shared" si="23"/>
        <v>0.67938471528210942</v>
      </c>
      <c r="L98" s="37"/>
      <c r="M98" s="37">
        <v>21152000</v>
      </c>
      <c r="N98" s="37">
        <v>24136000</v>
      </c>
      <c r="O98" s="37">
        <v>24640000</v>
      </c>
      <c r="P98" s="37">
        <v>24082000</v>
      </c>
      <c r="Q98" s="37">
        <v>23544000</v>
      </c>
      <c r="R98" s="37">
        <v>33172000</v>
      </c>
      <c r="S98" s="37">
        <v>36860000</v>
      </c>
      <c r="T98" s="37">
        <v>25414000</v>
      </c>
      <c r="U98" s="37">
        <v>22736000</v>
      </c>
      <c r="V98" s="37">
        <v>27922000</v>
      </c>
      <c r="W98" s="37">
        <v>512000</v>
      </c>
      <c r="X98" s="37">
        <v>308000</v>
      </c>
      <c r="Y98" s="37">
        <v>564000</v>
      </c>
      <c r="Z98" s="37">
        <v>98000</v>
      </c>
      <c r="AB98" s="3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 outlineLevel="2" x14ac:dyDescent="0.25">
      <c r="A99" s="29">
        <v>1</v>
      </c>
      <c r="C99" s="24" t="str">
        <f>"        Deferred Costs/Assets, Non-Current"</f>
        <v xml:space="preserve">        Deferred Costs/Assets, Non-Current</v>
      </c>
      <c r="D99" s="32">
        <f t="shared" si="16"/>
        <v>0</v>
      </c>
      <c r="E99" s="32">
        <f t="shared" si="17"/>
        <v>0</v>
      </c>
      <c r="F99" s="32">
        <f t="shared" si="18"/>
        <v>0</v>
      </c>
      <c r="G99" s="32">
        <f t="shared" si="19"/>
        <v>0</v>
      </c>
      <c r="H99" s="32">
        <f t="shared" si="20"/>
        <v>0</v>
      </c>
      <c r="I99" s="32">
        <f t="shared" si="21"/>
        <v>0</v>
      </c>
      <c r="J99" s="32">
        <f t="shared" si="22"/>
        <v>0</v>
      </c>
      <c r="K99" s="33" t="e">
        <f t="shared" si="23"/>
        <v>#DIV/0!</v>
      </c>
      <c r="L99" s="37"/>
      <c r="M99" s="37" t="s">
        <v>124</v>
      </c>
      <c r="N99" s="37" t="s">
        <v>124</v>
      </c>
      <c r="O99" s="37" t="s">
        <v>124</v>
      </c>
      <c r="P99" s="37" t="s">
        <v>124</v>
      </c>
      <c r="Q99" s="37" t="s">
        <v>124</v>
      </c>
      <c r="R99" s="37" t="s">
        <v>124</v>
      </c>
      <c r="S99" s="37" t="s">
        <v>124</v>
      </c>
      <c r="T99" s="37" t="s">
        <v>124</v>
      </c>
      <c r="U99" s="37" t="s">
        <v>124</v>
      </c>
      <c r="V99" s="37" t="s">
        <v>124</v>
      </c>
      <c r="W99" s="37" t="s">
        <v>124</v>
      </c>
      <c r="X99" s="37">
        <v>0</v>
      </c>
      <c r="Y99" s="37">
        <v>0</v>
      </c>
      <c r="Z99" s="37">
        <v>0</v>
      </c>
      <c r="AB99" s="30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 outlineLevel="2" x14ac:dyDescent="0.25">
      <c r="A100" s="29">
        <v>1</v>
      </c>
      <c r="C100" s="24" t="str">
        <f>"        Pension and Other Employee Benefits, Non-Current"</f>
        <v xml:space="preserve">        Pension and Other Employee Benefits, Non-Current</v>
      </c>
      <c r="D100" s="32">
        <f t="shared" si="16"/>
        <v>109000</v>
      </c>
      <c r="E100" s="32">
        <f t="shared" si="17"/>
        <v>109000</v>
      </c>
      <c r="F100" s="32">
        <f t="shared" si="18"/>
        <v>109000</v>
      </c>
      <c r="G100" s="32">
        <f t="shared" si="19"/>
        <v>109000</v>
      </c>
      <c r="H100" s="32">
        <f t="shared" si="20"/>
        <v>109000</v>
      </c>
      <c r="I100" s="32">
        <f t="shared" si="21"/>
        <v>109000</v>
      </c>
      <c r="J100" s="32" t="str">
        <f t="shared" si="22"/>
        <v/>
      </c>
      <c r="K100" s="33" t="str">
        <f t="shared" si="23"/>
        <v/>
      </c>
      <c r="L100" s="37"/>
      <c r="M100" s="37" t="s">
        <v>124</v>
      </c>
      <c r="N100" s="37" t="s">
        <v>124</v>
      </c>
      <c r="O100" s="37" t="s">
        <v>124</v>
      </c>
      <c r="P100" s="37" t="s">
        <v>124</v>
      </c>
      <c r="Q100" s="37" t="s">
        <v>124</v>
      </c>
      <c r="R100" s="37" t="s">
        <v>124</v>
      </c>
      <c r="S100" s="37" t="s">
        <v>124</v>
      </c>
      <c r="T100" s="37" t="s">
        <v>124</v>
      </c>
      <c r="U100" s="37" t="s">
        <v>124</v>
      </c>
      <c r="V100" s="37" t="s">
        <v>124</v>
      </c>
      <c r="W100" s="37" t="s">
        <v>124</v>
      </c>
      <c r="X100" s="37" t="s">
        <v>124</v>
      </c>
      <c r="Y100" s="37" t="s">
        <v>124</v>
      </c>
      <c r="Z100" s="37">
        <v>109000</v>
      </c>
      <c r="AB100" s="30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 outlineLevel="2" x14ac:dyDescent="0.25">
      <c r="A101" s="29">
        <v>1</v>
      </c>
      <c r="C101" s="24" t="str">
        <f>"        Assets Held for Sale/Discontinued Operations, Non-Current"</f>
        <v xml:space="preserve">        Assets Held for Sale/Discontinued Operations, Non-Current</v>
      </c>
      <c r="D101" s="32">
        <f t="shared" si="16"/>
        <v>530000</v>
      </c>
      <c r="E101" s="32">
        <f t="shared" si="17"/>
        <v>3301666.6666666665</v>
      </c>
      <c r="F101" s="32">
        <f t="shared" si="18"/>
        <v>0</v>
      </c>
      <c r="G101" s="32">
        <f t="shared" si="19"/>
        <v>9375000</v>
      </c>
      <c r="H101" s="32">
        <f t="shared" si="20"/>
        <v>265000</v>
      </c>
      <c r="I101" s="32">
        <f t="shared" si="21"/>
        <v>4952500</v>
      </c>
      <c r="J101" s="32">
        <f t="shared" si="22"/>
        <v>5266332.5315947663</v>
      </c>
      <c r="K101" s="33">
        <f t="shared" si="23"/>
        <v>1.5950527607051286</v>
      </c>
      <c r="L101" s="37"/>
      <c r="M101" s="37" t="s">
        <v>124</v>
      </c>
      <c r="N101" s="37" t="s">
        <v>124</v>
      </c>
      <c r="O101" s="37" t="s">
        <v>124</v>
      </c>
      <c r="P101" s="37" t="s">
        <v>124</v>
      </c>
      <c r="Q101" s="37" t="s">
        <v>124</v>
      </c>
      <c r="R101" s="37">
        <v>9375000</v>
      </c>
      <c r="S101" s="37" t="s">
        <v>124</v>
      </c>
      <c r="T101" s="37" t="s">
        <v>124</v>
      </c>
      <c r="U101" s="37" t="s">
        <v>124</v>
      </c>
      <c r="V101" s="37" t="s">
        <v>124</v>
      </c>
      <c r="W101" s="37" t="s">
        <v>124</v>
      </c>
      <c r="X101" s="37">
        <v>0</v>
      </c>
      <c r="Y101" s="37">
        <v>530000</v>
      </c>
      <c r="Z101" s="37" t="s">
        <v>124</v>
      </c>
      <c r="AB101" s="30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 outlineLevel="2" x14ac:dyDescent="0.25">
      <c r="A102" s="29">
        <v>1</v>
      </c>
      <c r="C102" s="24" t="str">
        <f>"        Other Non-Current Assets"</f>
        <v xml:space="preserve">        Other Non-Current Assets</v>
      </c>
      <c r="D102" s="32">
        <f t="shared" si="16"/>
        <v>3343500</v>
      </c>
      <c r="E102" s="32">
        <f t="shared" si="17"/>
        <v>4400785.7142857146</v>
      </c>
      <c r="F102" s="32">
        <f t="shared" si="18"/>
        <v>1957000</v>
      </c>
      <c r="G102" s="32">
        <f t="shared" si="19"/>
        <v>11488000</v>
      </c>
      <c r="H102" s="32">
        <f t="shared" si="20"/>
        <v>2455000</v>
      </c>
      <c r="I102" s="32">
        <f t="shared" si="21"/>
        <v>5559750</v>
      </c>
      <c r="J102" s="32">
        <f t="shared" si="22"/>
        <v>2728619.9999991944</v>
      </c>
      <c r="K102" s="33">
        <f t="shared" si="23"/>
        <v>0.62003018941404486</v>
      </c>
      <c r="L102" s="37"/>
      <c r="M102" s="37">
        <v>11488000</v>
      </c>
      <c r="N102" s="37">
        <v>7264000</v>
      </c>
      <c r="O102" s="37">
        <v>7346000</v>
      </c>
      <c r="P102" s="37">
        <v>5770000</v>
      </c>
      <c r="Q102" s="37">
        <v>4929000</v>
      </c>
      <c r="R102" s="37">
        <v>3849000</v>
      </c>
      <c r="S102" s="37">
        <v>3021000</v>
      </c>
      <c r="T102" s="37">
        <v>1957000</v>
      </c>
      <c r="U102" s="37">
        <v>2352000</v>
      </c>
      <c r="V102" s="37">
        <v>2358000</v>
      </c>
      <c r="W102" s="37">
        <v>2416000</v>
      </c>
      <c r="X102" s="37">
        <v>3666000</v>
      </c>
      <c r="Y102" s="37">
        <v>2623000</v>
      </c>
      <c r="Z102" s="37">
        <v>2572000</v>
      </c>
      <c r="AB102" s="30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 outlineLevel="2" x14ac:dyDescent="0.25">
      <c r="A103" s="29">
        <v>1</v>
      </c>
      <c r="C103" s="25" t="str">
        <f>"        Total Non-Current Assets"</f>
        <v xml:space="preserve">        Total Non-Current Assets</v>
      </c>
      <c r="D103" s="45">
        <f t="shared" si="16"/>
        <v>109402500</v>
      </c>
      <c r="E103" s="45">
        <f t="shared" si="17"/>
        <v>113115714.28571428</v>
      </c>
      <c r="F103" s="45">
        <f t="shared" si="18"/>
        <v>46772000</v>
      </c>
      <c r="G103" s="45">
        <f t="shared" si="19"/>
        <v>162615000</v>
      </c>
      <c r="H103" s="45">
        <f t="shared" si="20"/>
        <v>80970750</v>
      </c>
      <c r="I103" s="45">
        <f t="shared" si="21"/>
        <v>150406250</v>
      </c>
      <c r="J103" s="45">
        <f t="shared" si="22"/>
        <v>38478292.566525944</v>
      </c>
      <c r="K103" s="46">
        <f t="shared" si="23"/>
        <v>0.34016752499423042</v>
      </c>
      <c r="L103" s="47"/>
      <c r="M103" s="47">
        <v>162615000</v>
      </c>
      <c r="N103" s="47">
        <v>154270000</v>
      </c>
      <c r="O103" s="47">
        <v>153045000</v>
      </c>
      <c r="P103" s="47">
        <v>152046000</v>
      </c>
      <c r="Q103" s="47">
        <v>143738000</v>
      </c>
      <c r="R103" s="47">
        <v>145487000</v>
      </c>
      <c r="S103" s="47">
        <v>124930000</v>
      </c>
      <c r="T103" s="47">
        <v>93875000</v>
      </c>
      <c r="U103" s="47">
        <v>84843000</v>
      </c>
      <c r="V103" s="47">
        <v>79426000</v>
      </c>
      <c r="W103" s="47">
        <v>79680000</v>
      </c>
      <c r="X103" s="47">
        <v>85845000</v>
      </c>
      <c r="Y103" s="47">
        <v>77048000</v>
      </c>
      <c r="Z103" s="47">
        <v>46772000</v>
      </c>
      <c r="AB103" s="30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 outlineLevel="1" x14ac:dyDescent="0.25">
      <c r="A104" s="29">
        <v>1</v>
      </c>
      <c r="C104" s="116" t="str">
        <f>"    Total Assets"</f>
        <v xml:space="preserve">    Total Assets</v>
      </c>
      <c r="D104" s="119">
        <f t="shared" si="16"/>
        <v>185919500</v>
      </c>
      <c r="E104" s="119">
        <f t="shared" si="17"/>
        <v>183421428.57142857</v>
      </c>
      <c r="F104" s="119">
        <f t="shared" si="18"/>
        <v>91039000</v>
      </c>
      <c r="G104" s="119">
        <f t="shared" si="19"/>
        <v>244718000</v>
      </c>
      <c r="H104" s="119">
        <f t="shared" si="20"/>
        <v>145807750</v>
      </c>
      <c r="I104" s="119">
        <f t="shared" si="21"/>
        <v>225926750</v>
      </c>
      <c r="J104" s="119">
        <f t="shared" si="22"/>
        <v>46832281.494243279</v>
      </c>
      <c r="K104" s="120">
        <f t="shared" si="23"/>
        <v>0.25532611897636431</v>
      </c>
      <c r="L104" s="119"/>
      <c r="M104" s="119">
        <v>244718000</v>
      </c>
      <c r="N104" s="119">
        <v>235194000</v>
      </c>
      <c r="O104" s="119">
        <v>228037000</v>
      </c>
      <c r="P104" s="119">
        <v>227339000</v>
      </c>
      <c r="Q104" s="119">
        <v>212482000</v>
      </c>
      <c r="R104" s="45">
        <v>221690000</v>
      </c>
      <c r="S104" s="45">
        <v>194338000</v>
      </c>
      <c r="T104" s="45">
        <v>177501000</v>
      </c>
      <c r="U104" s="45">
        <v>166344000</v>
      </c>
      <c r="V104" s="45">
        <v>149422000</v>
      </c>
      <c r="W104" s="45">
        <v>144603000</v>
      </c>
      <c r="X104" s="45">
        <v>138898000</v>
      </c>
      <c r="Y104" s="45">
        <v>136295000</v>
      </c>
      <c r="Z104" s="45">
        <v>91039000</v>
      </c>
      <c r="AB104" s="30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 x14ac:dyDescent="0.25">
      <c r="A105" s="29">
        <v>1</v>
      </c>
      <c r="C105" s="26" t="str">
        <f>IF(SUBTOTAL(109,A105)=A105,"Liabilities","Total Liabilities")</f>
        <v>Liabilities</v>
      </c>
      <c r="D105" s="43" t="str">
        <f t="shared" si="16"/>
        <v/>
      </c>
      <c r="E105" s="43" t="str">
        <f t="shared" si="17"/>
        <v/>
      </c>
      <c r="F105" s="43" t="str">
        <f t="shared" si="18"/>
        <v/>
      </c>
      <c r="G105" s="43" t="str">
        <f t="shared" si="19"/>
        <v/>
      </c>
      <c r="H105" s="43" t="str">
        <f t="shared" si="20"/>
        <v/>
      </c>
      <c r="I105" s="43" t="str">
        <f t="shared" si="21"/>
        <v/>
      </c>
      <c r="J105" s="43" t="str">
        <f t="shared" si="22"/>
        <v/>
      </c>
      <c r="K105" s="44" t="str">
        <f t="shared" si="23"/>
        <v/>
      </c>
      <c r="L105" s="43"/>
      <c r="M105" s="43" t="str">
        <f>IF(SUBTOTAL(109,A105)=A105,"",178903000)</f>
        <v/>
      </c>
      <c r="N105" s="43" t="str">
        <f>IF(SUBTOTAL(109,A105)=A105,"",185517000)</f>
        <v/>
      </c>
      <c r="O105" s="43" t="str">
        <f>IF(SUBTOTAL(109,A105)=A105,"",182080000)</f>
        <v/>
      </c>
      <c r="P105" s="43" t="str">
        <f>IF(SUBTOTAL(109,A105)=A105,"",184562000)</f>
        <v/>
      </c>
      <c r="Q105" s="43" t="str">
        <f>IF(SUBTOTAL(109,A105)=A105,"",176282000)</f>
        <v/>
      </c>
      <c r="R105" s="43" t="str">
        <f>IF(SUBTOTAL(109,A105)=A105,"",177615000)</f>
        <v/>
      </c>
      <c r="S105" s="43" t="str">
        <f>IF(SUBTOTAL(109,A105)=A105,"",154015000)</f>
        <v/>
      </c>
      <c r="T105" s="43" t="str">
        <f>IF(SUBTOTAL(109,A105)=A105,"",141477000)</f>
        <v/>
      </c>
      <c r="U105" s="43" t="str">
        <f>IF(SUBTOTAL(109,A105)=A105,"",123170000)</f>
        <v/>
      </c>
      <c r="V105" s="43" t="str">
        <f>IF(SUBTOTAL(109,A105)=A105,"",112422000)</f>
        <v/>
      </c>
      <c r="W105" s="43" t="str">
        <f>IF(SUBTOTAL(109,A105)=A105,"",105612000)</f>
        <v/>
      </c>
      <c r="X105" s="43" t="str">
        <f>IF(SUBTOTAL(109,A105)=A105,"",101739000)</f>
        <v/>
      </c>
      <c r="Y105" s="43" t="str">
        <f>IF(SUBTOTAL(109,A105)=A105,"",114338000)</f>
        <v/>
      </c>
      <c r="Z105" s="43" t="str">
        <f>IF(SUBTOTAL(109,A105)=A105,"",176115000)</f>
        <v/>
      </c>
      <c r="AB105" s="30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 outlineLevel="1" x14ac:dyDescent="0.25">
      <c r="A106" s="29">
        <v>1</v>
      </c>
      <c r="C106" s="24" t="str">
        <f>IF(SUBTOTAL(109,A106)=A106,"    Current Liabilities","    Total Current Liabilities")</f>
        <v xml:space="preserve">    Current Liabilities</v>
      </c>
      <c r="D106" s="32" t="str">
        <f t="shared" si="16"/>
        <v/>
      </c>
      <c r="E106" s="32" t="str">
        <f t="shared" si="17"/>
        <v/>
      </c>
      <c r="F106" s="32" t="str">
        <f t="shared" si="18"/>
        <v/>
      </c>
      <c r="G106" s="32" t="str">
        <f t="shared" si="19"/>
        <v/>
      </c>
      <c r="H106" s="32" t="str">
        <f t="shared" si="20"/>
        <v/>
      </c>
      <c r="I106" s="32" t="str">
        <f t="shared" si="21"/>
        <v/>
      </c>
      <c r="J106" s="32" t="str">
        <f t="shared" si="22"/>
        <v/>
      </c>
      <c r="K106" s="33" t="str">
        <f t="shared" si="23"/>
        <v/>
      </c>
      <c r="L106" s="37"/>
      <c r="M106" s="37" t="str">
        <f>IF(SUBTOTAL(109,A106)=A106,"",74408000)</f>
        <v/>
      </c>
      <c r="N106" s="37" t="str">
        <f>IF(SUBTOTAL(109,A106)=A106,"",79910000)</f>
        <v/>
      </c>
      <c r="O106" s="37" t="str">
        <f>IF(SUBTOTAL(109,A106)=A106,"",84905000)</f>
        <v/>
      </c>
      <c r="P106" s="37" t="str">
        <f>IF(SUBTOTAL(109,A106)=A106,"",82237000)</f>
        <v/>
      </c>
      <c r="Q106" s="37" t="str">
        <f>IF(SUBTOTAL(109,A106)=A106,"",76890000)</f>
        <v/>
      </c>
      <c r="R106" s="37" t="str">
        <f>IF(SUBTOTAL(109,A106)=A106,"",85181000)</f>
        <v/>
      </c>
      <c r="S106" s="37" t="str">
        <f>IF(SUBTOTAL(109,A106)=A106,"",71217000)</f>
        <v/>
      </c>
      <c r="T106" s="37" t="str">
        <f>IF(SUBTOTAL(109,A106)=A106,"",65657000)</f>
        <v/>
      </c>
      <c r="U106" s="37" t="str">
        <f>IF(SUBTOTAL(109,A106)=A106,"",62412000)</f>
        <v/>
      </c>
      <c r="V106" s="37" t="str">
        <f>IF(SUBTOTAL(109,A106)=A106,"",53992000)</f>
        <v/>
      </c>
      <c r="W106" s="37" t="str">
        <f>IF(SUBTOTAL(109,A106)=A106,"",53226000)</f>
        <v/>
      </c>
      <c r="X106" s="37" t="str">
        <f>IF(SUBTOTAL(109,A106)=A106,"",47157000)</f>
        <v/>
      </c>
      <c r="Y106" s="37" t="str">
        <f>IF(SUBTOTAL(109,A106)=A106,"",52435000)</f>
        <v/>
      </c>
      <c r="Z106" s="37" t="str">
        <f>IF(SUBTOTAL(109,A106)=A106,"",75608000)</f>
        <v/>
      </c>
      <c r="AB106" s="30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 outlineLevel="2" x14ac:dyDescent="0.25">
      <c r="A107" s="29">
        <v>1</v>
      </c>
      <c r="C107" s="24" t="str">
        <f>IF(SUBTOTAL(109,A107)=A107,"        Payables and Accrued Expenses, Current","        Payables and Accrued Expenses, Current")</f>
        <v xml:space="preserve">        Payables and Accrued Expenses, Current</v>
      </c>
      <c r="D107" s="32" t="str">
        <f t="shared" ref="D107:D138" si="24">IF(COUNT(M107:Z107)&gt;0,MEDIAN(M107:Z107),"")</f>
        <v/>
      </c>
      <c r="E107" s="32" t="str">
        <f t="shared" ref="E107:E138" si="25">IF(COUNT(M107:Z107)&gt;0,AVERAGE(M107:Z107),"")</f>
        <v/>
      </c>
      <c r="F107" s="32" t="str">
        <f t="shared" ref="F107:F138" si="26">IF(COUNT(M107:Z107)&gt;0,MIN(M107:Z107),"")</f>
        <v/>
      </c>
      <c r="G107" s="32" t="str">
        <f t="shared" ref="G107:G138" si="27">IF(COUNT(M107:Z107)&gt;0,MAX(M107:Z107),"")</f>
        <v/>
      </c>
      <c r="H107" s="32" t="str">
        <f t="shared" ref="H107:H138" si="28">IF(COUNT(M107:Z107)&gt;0,QUARTILE(M107:Z107,1),"")</f>
        <v/>
      </c>
      <c r="I107" s="32" t="str">
        <f t="shared" ref="I107:I138" si="29">IF(COUNT(M107:Z107)&gt;0,QUARTILE(M107:Z107,3),"")</f>
        <v/>
      </c>
      <c r="J107" s="32" t="str">
        <f t="shared" ref="J107:J138" si="30">IF(COUNT(M107:Z107)&gt;1,STDEV(M107:Z107),"")</f>
        <v/>
      </c>
      <c r="K107" s="33" t="str">
        <f t="shared" ref="K107:K138" si="31">IF(COUNT(M107:Z107)&gt;1,STDEV(M107:Z107)/AVERAGE(M107:Z107),"")</f>
        <v/>
      </c>
      <c r="L107" s="37"/>
      <c r="M107" s="37" t="str">
        <f>IF(SUBTOTAL(109,A107)=A107,"",38227000)</f>
        <v/>
      </c>
      <c r="N107" s="37" t="str">
        <f>IF(SUBTOTAL(109,A107)=A107,"",39865000)</f>
        <v/>
      </c>
      <c r="O107" s="37" t="str">
        <f>IF(SUBTOTAL(109,A107)=A107,"",44271000)</f>
        <v/>
      </c>
      <c r="P107" s="37" t="str">
        <f>IF(SUBTOTAL(109,A107)=A107,"",46842000)</f>
        <v/>
      </c>
      <c r="Q107" s="37" t="str">
        <f>IF(SUBTOTAL(109,A107)=A107,"",46525000)</f>
        <v/>
      </c>
      <c r="R107" s="37" t="str">
        <f>IF(SUBTOTAL(109,A107)=A107,"",46531000)</f>
        <v/>
      </c>
      <c r="S107" s="37" t="str">
        <f>IF(SUBTOTAL(109,A107)=A107,"",49428000)</f>
        <v/>
      </c>
      <c r="T107" s="37" t="str">
        <f>IF(SUBTOTAL(109,A107)=A107,"",49091000)</f>
        <v/>
      </c>
      <c r="U107" s="37" t="str">
        <f>IF(SUBTOTAL(109,A107)=A107,"",46978000)</f>
        <v/>
      </c>
      <c r="V107" s="37" t="str">
        <f>IF(SUBTOTAL(109,A107)=A107,"",47148000)</f>
        <v/>
      </c>
      <c r="W107" s="37" t="str">
        <f>IF(SUBTOTAL(109,A107)=A107,"",46289000)</f>
        <v/>
      </c>
      <c r="X107" s="37" t="str">
        <f>IF(SUBTOTAL(109,A107)=A107,"",44916000)</f>
        <v/>
      </c>
      <c r="Y107" s="37" t="str">
        <f>IF(SUBTOTAL(109,A107)=A107,"",41013000)</f>
        <v/>
      </c>
      <c r="Z107" s="37" t="str">
        <f>IF(SUBTOTAL(109,A107)=A107,"",54686000)</f>
        <v/>
      </c>
      <c r="AB107" s="30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 outlineLevel="3" collapsed="1" x14ac:dyDescent="0.25">
      <c r="A108" s="29">
        <v>1</v>
      </c>
      <c r="C108" s="24" t="str">
        <f>IF(SUBTOTAL(109,A108)=A108,"            Trade and Other Payables, Current","            Trade and Other Payables, Current")</f>
        <v xml:space="preserve">            Trade and Other Payables, Current</v>
      </c>
      <c r="D108" s="32" t="str">
        <f t="shared" si="24"/>
        <v/>
      </c>
      <c r="E108" s="32" t="str">
        <f t="shared" si="25"/>
        <v/>
      </c>
      <c r="F108" s="32" t="str">
        <f t="shared" si="26"/>
        <v/>
      </c>
      <c r="G108" s="32" t="str">
        <f t="shared" si="27"/>
        <v/>
      </c>
      <c r="H108" s="32" t="str">
        <f t="shared" si="28"/>
        <v/>
      </c>
      <c r="I108" s="32" t="str">
        <f t="shared" si="29"/>
        <v/>
      </c>
      <c r="J108" s="32" t="str">
        <f t="shared" si="30"/>
        <v/>
      </c>
      <c r="K108" s="33" t="str">
        <f t="shared" si="31"/>
        <v/>
      </c>
      <c r="L108" s="37"/>
      <c r="M108" s="37" t="str">
        <f>IF(SUBTOTAL(109,A108)=A108,"",20391000)</f>
        <v/>
      </c>
      <c r="N108" s="37" t="str">
        <f>IF(SUBTOTAL(109,A108)=A108,"",19928000)</f>
        <v/>
      </c>
      <c r="O108" s="37" t="str">
        <f>IF(SUBTOTAL(109,A108)=A108,"",21018000)</f>
        <v/>
      </c>
      <c r="P108" s="37" t="str">
        <f>IF(SUBTOTAL(109,A108)=A108,"",22297000)</f>
        <v/>
      </c>
      <c r="Q108" s="37" t="str">
        <f>IF(SUBTOTAL(109,A108)=A108,"",23929000)</f>
        <v/>
      </c>
      <c r="R108" s="37" t="str">
        <f>IF(SUBTOTAL(109,A108)=A108,"",23333000)</f>
        <v/>
      </c>
      <c r="S108" s="37" t="str">
        <f>IF(SUBTOTAL(109,A108)=A108,"",24062000)</f>
        <v/>
      </c>
      <c r="T108" s="37" t="str">
        <f>IF(SUBTOTAL(109,A108)=A108,"",22529000)</f>
        <v/>
      </c>
      <c r="U108" s="37" t="str">
        <f>IF(SUBTOTAL(109,A108)=A108,"",23621000)</f>
        <v/>
      </c>
      <c r="V108" s="37" t="str">
        <f>IF(SUBTOTAL(109,A108)=A108,"",25166000)</f>
        <v/>
      </c>
      <c r="W108" s="37" t="str">
        <f>IF(SUBTOTAL(109,A108)=A108,"",24551000)</f>
        <v/>
      </c>
      <c r="X108" s="37" t="str">
        <f>IF(SUBTOTAL(109,A108)=A108,"",21497000)</f>
        <v/>
      </c>
      <c r="Y108" s="37" t="str">
        <f>IF(SUBTOTAL(109,A108)=A108,"",18725000)</f>
        <v/>
      </c>
      <c r="Z108" s="37" t="str">
        <f>IF(SUBTOTAL(109,A108)=A108,"",22259000)</f>
        <v/>
      </c>
      <c r="AB108" s="30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 hidden="1" outlineLevel="4" x14ac:dyDescent="0.25">
      <c r="A109" s="29">
        <v>1</v>
      </c>
      <c r="C109" s="24" t="str">
        <f>"                Trade/Accounts Payable, Current"</f>
        <v xml:space="preserve">                Trade/Accounts Payable, Current</v>
      </c>
      <c r="D109" s="32">
        <f t="shared" si="24"/>
        <v>22413000</v>
      </c>
      <c r="E109" s="32">
        <f t="shared" si="25"/>
        <v>22379000</v>
      </c>
      <c r="F109" s="32">
        <f t="shared" si="26"/>
        <v>18725000</v>
      </c>
      <c r="G109" s="32">
        <f t="shared" si="27"/>
        <v>25166000</v>
      </c>
      <c r="H109" s="32">
        <f t="shared" si="28"/>
        <v>21137750</v>
      </c>
      <c r="I109" s="32">
        <f t="shared" si="29"/>
        <v>23852000</v>
      </c>
      <c r="J109" s="32">
        <f t="shared" si="30"/>
        <v>1884302.6051280373</v>
      </c>
      <c r="K109" s="33">
        <f t="shared" si="31"/>
        <v>8.4199589129453384E-2</v>
      </c>
      <c r="L109" s="37"/>
      <c r="M109" s="37">
        <v>20391000</v>
      </c>
      <c r="N109" s="37">
        <v>19928000</v>
      </c>
      <c r="O109" s="37">
        <v>21018000</v>
      </c>
      <c r="P109" s="37">
        <v>22297000</v>
      </c>
      <c r="Q109" s="37">
        <v>23929000</v>
      </c>
      <c r="R109" s="37">
        <v>23333000</v>
      </c>
      <c r="S109" s="37">
        <v>24062000</v>
      </c>
      <c r="T109" s="37">
        <v>22529000</v>
      </c>
      <c r="U109" s="37">
        <v>23621000</v>
      </c>
      <c r="V109" s="37">
        <v>25166000</v>
      </c>
      <c r="W109" s="37">
        <v>24551000</v>
      </c>
      <c r="X109" s="37">
        <v>21497000</v>
      </c>
      <c r="Y109" s="37">
        <v>18725000</v>
      </c>
      <c r="Z109" s="37">
        <v>22259000</v>
      </c>
      <c r="AB109" s="30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 hidden="1" outlineLevel="4" x14ac:dyDescent="0.25">
      <c r="A110" s="29">
        <v>1</v>
      </c>
      <c r="C110" s="25" t="str">
        <f>"                Total Trade and Other Payables, Current"</f>
        <v xml:space="preserve">                Total Trade and Other Payables, Current</v>
      </c>
      <c r="D110" s="45">
        <f t="shared" si="24"/>
        <v>22413000</v>
      </c>
      <c r="E110" s="45">
        <f t="shared" si="25"/>
        <v>22379000</v>
      </c>
      <c r="F110" s="45">
        <f t="shared" si="26"/>
        <v>18725000</v>
      </c>
      <c r="G110" s="45">
        <f t="shared" si="27"/>
        <v>25166000</v>
      </c>
      <c r="H110" s="45">
        <f t="shared" si="28"/>
        <v>21137750</v>
      </c>
      <c r="I110" s="45">
        <f t="shared" si="29"/>
        <v>23852000</v>
      </c>
      <c r="J110" s="45">
        <f t="shared" si="30"/>
        <v>1884302.6051280373</v>
      </c>
      <c r="K110" s="46">
        <f t="shared" si="31"/>
        <v>8.4199589129453384E-2</v>
      </c>
      <c r="L110" s="47"/>
      <c r="M110" s="47">
        <v>20391000</v>
      </c>
      <c r="N110" s="47">
        <v>19928000</v>
      </c>
      <c r="O110" s="47">
        <v>21018000</v>
      </c>
      <c r="P110" s="47">
        <v>22297000</v>
      </c>
      <c r="Q110" s="47">
        <v>23929000</v>
      </c>
      <c r="R110" s="47">
        <v>23333000</v>
      </c>
      <c r="S110" s="47">
        <v>24062000</v>
      </c>
      <c r="T110" s="47">
        <v>22529000</v>
      </c>
      <c r="U110" s="47">
        <v>23621000</v>
      </c>
      <c r="V110" s="47">
        <v>25166000</v>
      </c>
      <c r="W110" s="47">
        <v>24551000</v>
      </c>
      <c r="X110" s="47">
        <v>21497000</v>
      </c>
      <c r="Y110" s="47">
        <v>18725000</v>
      </c>
      <c r="Z110" s="47">
        <v>22259000</v>
      </c>
      <c r="AB110" s="30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 outlineLevel="3" x14ac:dyDescent="0.25">
      <c r="A111" s="29">
        <v>1</v>
      </c>
      <c r="C111" s="24" t="str">
        <f>"            Accrued Expenses, Current"</f>
        <v xml:space="preserve">            Accrued Expenses, Current</v>
      </c>
      <c r="D111" s="32">
        <f t="shared" si="24"/>
        <v>23225500</v>
      </c>
      <c r="E111" s="32">
        <f t="shared" si="25"/>
        <v>23464571.428571429</v>
      </c>
      <c r="F111" s="32">
        <f t="shared" si="26"/>
        <v>17836000</v>
      </c>
      <c r="G111" s="32">
        <f t="shared" si="27"/>
        <v>32427000</v>
      </c>
      <c r="H111" s="32">
        <f t="shared" si="28"/>
        <v>22058500</v>
      </c>
      <c r="I111" s="32">
        <f t="shared" si="29"/>
        <v>24263500</v>
      </c>
      <c r="J111" s="32">
        <f t="shared" si="30"/>
        <v>3354374.8406265718</v>
      </c>
      <c r="K111" s="33">
        <f t="shared" si="31"/>
        <v>0.14295487351378372</v>
      </c>
      <c r="L111" s="37"/>
      <c r="M111" s="37">
        <v>17836000</v>
      </c>
      <c r="N111" s="37">
        <v>19937000</v>
      </c>
      <c r="O111" s="37">
        <v>23253000</v>
      </c>
      <c r="P111" s="37">
        <v>24545000</v>
      </c>
      <c r="Q111" s="37">
        <v>22596000</v>
      </c>
      <c r="R111" s="37">
        <v>23198000</v>
      </c>
      <c r="S111" s="37">
        <v>25366000</v>
      </c>
      <c r="T111" s="37">
        <v>26562000</v>
      </c>
      <c r="U111" s="37">
        <v>23357000</v>
      </c>
      <c r="V111" s="37">
        <v>21982000</v>
      </c>
      <c r="W111" s="37">
        <v>21738000</v>
      </c>
      <c r="X111" s="37">
        <v>23419000</v>
      </c>
      <c r="Y111" s="37">
        <v>22288000</v>
      </c>
      <c r="Z111" s="37">
        <v>32427000</v>
      </c>
      <c r="AB111" s="30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 outlineLevel="3" x14ac:dyDescent="0.25">
      <c r="A112" s="29">
        <v>1</v>
      </c>
      <c r="C112" s="25" t="str">
        <f>"            Total Payables and Accrued Expenses, Current"</f>
        <v xml:space="preserve">            Total Payables and Accrued Expenses, Current</v>
      </c>
      <c r="D112" s="45">
        <f t="shared" si="24"/>
        <v>46528000</v>
      </c>
      <c r="E112" s="45">
        <f t="shared" si="25"/>
        <v>45843571.428571425</v>
      </c>
      <c r="F112" s="45">
        <f t="shared" si="26"/>
        <v>38227000</v>
      </c>
      <c r="G112" s="45">
        <f t="shared" si="27"/>
        <v>54686000</v>
      </c>
      <c r="H112" s="45">
        <f t="shared" si="28"/>
        <v>44432250</v>
      </c>
      <c r="I112" s="45">
        <f t="shared" si="29"/>
        <v>47105500</v>
      </c>
      <c r="J112" s="45">
        <f t="shared" si="30"/>
        <v>4179863.4632519484</v>
      </c>
      <c r="K112" s="46">
        <f t="shared" si="31"/>
        <v>9.1176654283241579E-2</v>
      </c>
      <c r="L112" s="47"/>
      <c r="M112" s="47">
        <v>38227000</v>
      </c>
      <c r="N112" s="47">
        <v>39865000</v>
      </c>
      <c r="O112" s="47">
        <v>44271000</v>
      </c>
      <c r="P112" s="47">
        <v>46842000</v>
      </c>
      <c r="Q112" s="47">
        <v>46525000</v>
      </c>
      <c r="R112" s="47">
        <v>46531000</v>
      </c>
      <c r="S112" s="47">
        <v>49428000</v>
      </c>
      <c r="T112" s="47">
        <v>49091000</v>
      </c>
      <c r="U112" s="47">
        <v>46978000</v>
      </c>
      <c r="V112" s="47">
        <v>47148000</v>
      </c>
      <c r="W112" s="47">
        <v>46289000</v>
      </c>
      <c r="X112" s="47">
        <v>44916000</v>
      </c>
      <c r="Y112" s="47">
        <v>41013000</v>
      </c>
      <c r="Z112" s="47">
        <v>54686000</v>
      </c>
      <c r="AB112" s="30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 outlineLevel="2" x14ac:dyDescent="0.25">
      <c r="A113" s="29">
        <v>1</v>
      </c>
      <c r="C113" s="24" t="str">
        <f>IF(SUBTOTAL(109,A113)=A113,"        Financial Liabilities, Current","        Financial Liabilities, Current")</f>
        <v xml:space="preserve">        Financial Liabilities, Current</v>
      </c>
      <c r="D113" s="32" t="str">
        <f t="shared" si="24"/>
        <v/>
      </c>
      <c r="E113" s="32" t="str">
        <f t="shared" si="25"/>
        <v/>
      </c>
      <c r="F113" s="32" t="str">
        <f t="shared" si="26"/>
        <v/>
      </c>
      <c r="G113" s="32" t="str">
        <f t="shared" si="27"/>
        <v/>
      </c>
      <c r="H113" s="32" t="str">
        <f t="shared" si="28"/>
        <v/>
      </c>
      <c r="I113" s="32" t="str">
        <f t="shared" si="29"/>
        <v/>
      </c>
      <c r="J113" s="32" t="str">
        <f t="shared" si="30"/>
        <v/>
      </c>
      <c r="K113" s="33" t="str">
        <f t="shared" si="31"/>
        <v/>
      </c>
      <c r="L113" s="37"/>
      <c r="M113" s="37" t="str">
        <f>IF(SUBTOTAL(109,A113)=A113,"",33720000)</f>
        <v/>
      </c>
      <c r="N113" s="37" t="str">
        <f>IF(SUBTOTAL(109,A113)=A113,"",36913000)</f>
        <v/>
      </c>
      <c r="O113" s="37" t="str">
        <f>IF(SUBTOTAL(109,A113)=A113,"",37400000)</f>
        <v/>
      </c>
      <c r="P113" s="37" t="str">
        <f>IF(SUBTOTAL(109,A113)=A113,"",31891000)</f>
        <v/>
      </c>
      <c r="Q113" s="37" t="str">
        <f>IF(SUBTOTAL(109,A113)=A113,"",26965000)</f>
        <v/>
      </c>
      <c r="R113" s="37" t="str">
        <f>IF(SUBTOTAL(109,A113)=A113,"",23797000)</f>
        <v/>
      </c>
      <c r="S113" s="37" t="str">
        <f>IF(SUBTOTAL(109,A113)=A113,"",19562000)</f>
        <v/>
      </c>
      <c r="T113" s="37" t="str">
        <f>IF(SUBTOTAL(109,A113)=A113,"",14944000)</f>
        <v/>
      </c>
      <c r="U113" s="37" t="str">
        <f>IF(SUBTOTAL(109,A113)=A113,"",14158000)</f>
        <v/>
      </c>
      <c r="V113" s="37" t="str">
        <f>IF(SUBTOTAL(109,A113)=A113,"",5518000)</f>
        <v/>
      </c>
      <c r="W113" s="37" t="str">
        <f>IF(SUBTOTAL(109,A113)=A113,"",5488000)</f>
        <v/>
      </c>
      <c r="X113" s="37" t="str">
        <f>IF(SUBTOTAL(109,A113)=A113,"",1616000)</f>
        <v/>
      </c>
      <c r="Y113" s="37" t="str">
        <f>IF(SUBTOTAL(109,A113)=A113,"",10221000)</f>
        <v/>
      </c>
      <c r="Z113" s="37" t="str">
        <f>IF(SUBTOTAL(109,A113)=A113,"",16920000)</f>
        <v/>
      </c>
      <c r="AB113" s="30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 outlineLevel="3" collapsed="1" x14ac:dyDescent="0.25">
      <c r="A114" s="29">
        <v>1</v>
      </c>
      <c r="C114" s="24" t="str">
        <f>IF(SUBTOTAL(109,A114)=A114,"            Current Debt and Capital Lease Obligation","            Current Debt and Capital Lease Obligation")</f>
        <v xml:space="preserve">            Current Debt and Capital Lease Obligation</v>
      </c>
      <c r="D114" s="32" t="str">
        <f t="shared" si="24"/>
        <v/>
      </c>
      <c r="E114" s="32" t="str">
        <f t="shared" si="25"/>
        <v/>
      </c>
      <c r="F114" s="32" t="str">
        <f t="shared" si="26"/>
        <v/>
      </c>
      <c r="G114" s="32" t="str">
        <f t="shared" si="27"/>
        <v/>
      </c>
      <c r="H114" s="32" t="str">
        <f t="shared" si="28"/>
        <v/>
      </c>
      <c r="I114" s="32" t="str">
        <f t="shared" si="29"/>
        <v/>
      </c>
      <c r="J114" s="32" t="str">
        <f t="shared" si="30"/>
        <v/>
      </c>
      <c r="K114" s="33" t="str">
        <f t="shared" si="31"/>
        <v/>
      </c>
      <c r="L114" s="37"/>
      <c r="M114" s="37" t="str">
        <f>IF(SUBTOTAL(109,A114)=A114,"",33720000)</f>
        <v/>
      </c>
      <c r="N114" s="37" t="str">
        <f>IF(SUBTOTAL(109,A114)=A114,"",36913000)</f>
        <v/>
      </c>
      <c r="O114" s="37" t="str">
        <f>IF(SUBTOTAL(109,A114)=A114,"",37400000)</f>
        <v/>
      </c>
      <c r="P114" s="37" t="str">
        <f>IF(SUBTOTAL(109,A114)=A114,"",31891000)</f>
        <v/>
      </c>
      <c r="Q114" s="37" t="str">
        <f>IF(SUBTOTAL(109,A114)=A114,"",26965000)</f>
        <v/>
      </c>
      <c r="R114" s="37" t="str">
        <f>IF(SUBTOTAL(109,A114)=A114,"",23797000)</f>
        <v/>
      </c>
      <c r="S114" s="37" t="str">
        <f>IF(SUBTOTAL(109,A114)=A114,"",19562000)</f>
        <v/>
      </c>
      <c r="T114" s="37" t="str">
        <f>IF(SUBTOTAL(109,A114)=A114,"",14944000)</f>
        <v/>
      </c>
      <c r="U114" s="37" t="str">
        <f>IF(SUBTOTAL(109,A114)=A114,"",14158000)</f>
        <v/>
      </c>
      <c r="V114" s="37" t="str">
        <f>IF(SUBTOTAL(109,A114)=A114,"",5518000)</f>
        <v/>
      </c>
      <c r="W114" s="37" t="str">
        <f>IF(SUBTOTAL(109,A114)=A114,"",5488000)</f>
        <v/>
      </c>
      <c r="X114" s="37" t="str">
        <f>IF(SUBTOTAL(109,A114)=A114,"",1616000)</f>
        <v/>
      </c>
      <c r="Y114" s="37" t="str">
        <f>IF(SUBTOTAL(109,A114)=A114,"",10221000)</f>
        <v/>
      </c>
      <c r="Z114" s="37" t="str">
        <f>IF(SUBTOTAL(109,A114)=A114,"",16920000)</f>
        <v/>
      </c>
      <c r="AB114" s="30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 hidden="1" outlineLevel="4" collapsed="1" x14ac:dyDescent="0.25">
      <c r="A115" s="29">
        <v>1</v>
      </c>
      <c r="C115" s="24" t="str">
        <f>IF(SUBTOTAL(109,A115)=A115,"                Current Debt","                Current Debt")</f>
        <v xml:space="preserve">                Current Debt</v>
      </c>
      <c r="D115" s="32">
        <f t="shared" si="24"/>
        <v>5918500</v>
      </c>
      <c r="E115" s="32">
        <f t="shared" si="25"/>
        <v>7497000</v>
      </c>
      <c r="F115" s="32">
        <f t="shared" si="26"/>
        <v>1231000</v>
      </c>
      <c r="G115" s="32">
        <f t="shared" si="27"/>
        <v>16920000</v>
      </c>
      <c r="H115" s="32">
        <f t="shared" si="28"/>
        <v>1519750</v>
      </c>
      <c r="I115" s="32">
        <f t="shared" si="29"/>
        <v>11895750</v>
      </c>
      <c r="J115" s="32">
        <f t="shared" si="30"/>
        <v>7529099.5920273671</v>
      </c>
      <c r="K115" s="33">
        <f t="shared" si="31"/>
        <v>1.0042816582669558</v>
      </c>
      <c r="L115" s="37"/>
      <c r="M115" s="37" t="str">
        <f>IF(SUBTOTAL(109,A115)=A115,"","")</f>
        <v/>
      </c>
      <c r="N115" s="37" t="str">
        <f>IF(SUBTOTAL(109,A115)=A115,"","")</f>
        <v/>
      </c>
      <c r="O115" s="37" t="str">
        <f>IF(SUBTOTAL(109,A115)=A115,"","")</f>
        <v/>
      </c>
      <c r="P115" s="37" t="str">
        <f>IF(SUBTOTAL(109,A115)=A115,"","")</f>
        <v/>
      </c>
      <c r="Q115" s="37" t="str">
        <f>IF(SUBTOTAL(109,A115)=A115,"","")</f>
        <v/>
      </c>
      <c r="R115" s="37" t="str">
        <f>IF(SUBTOTAL(109,A115)=A115,"","")</f>
        <v/>
      </c>
      <c r="S115" s="37" t="str">
        <f>IF(SUBTOTAL(109,A115)=A115,"","")</f>
        <v/>
      </c>
      <c r="T115" s="37" t="str">
        <f>IF(SUBTOTAL(109,A115)=A115,"","")</f>
        <v/>
      </c>
      <c r="U115" s="37" t="str">
        <f>IF(SUBTOTAL(109,A115)=A115,"","")</f>
        <v/>
      </c>
      <c r="V115" s="37" t="str">
        <f>IF(SUBTOTAL(109,A115)=A115,"","")</f>
        <v/>
      </c>
      <c r="W115" s="37">
        <f>IF(SUBTOTAL(109,A115)=A115,"",1231000)</f>
        <v>1231000</v>
      </c>
      <c r="X115" s="37">
        <f>IF(SUBTOTAL(109,A115)=A115,"",1616000)</f>
        <v>1616000</v>
      </c>
      <c r="Y115" s="37">
        <f>IF(SUBTOTAL(109,A115)=A115,"",10221000)</f>
        <v>10221000</v>
      </c>
      <c r="Z115" s="37">
        <f>IF(SUBTOTAL(109,A115)=A115,"",16920000)</f>
        <v>16920000</v>
      </c>
      <c r="AB115" s="30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 hidden="1" outlineLevel="5" x14ac:dyDescent="0.25">
      <c r="A116" s="29">
        <v>1</v>
      </c>
      <c r="C116" s="24" t="str">
        <f>"                    Other Loans, Current Debt"</f>
        <v xml:space="preserve">                    Other Loans, Current Debt</v>
      </c>
      <c r="D116" s="32">
        <f t="shared" si="24"/>
        <v>1231000</v>
      </c>
      <c r="E116" s="32">
        <f t="shared" si="25"/>
        <v>1231000</v>
      </c>
      <c r="F116" s="32">
        <f t="shared" si="26"/>
        <v>1231000</v>
      </c>
      <c r="G116" s="32">
        <f t="shared" si="27"/>
        <v>1231000</v>
      </c>
      <c r="H116" s="32">
        <f t="shared" si="28"/>
        <v>1231000</v>
      </c>
      <c r="I116" s="32">
        <f t="shared" si="29"/>
        <v>1231000</v>
      </c>
      <c r="J116" s="32" t="str">
        <f t="shared" si="30"/>
        <v/>
      </c>
      <c r="K116" s="33" t="str">
        <f t="shared" si="31"/>
        <v/>
      </c>
      <c r="L116" s="37"/>
      <c r="M116" s="37" t="s">
        <v>124</v>
      </c>
      <c r="N116" s="37" t="s">
        <v>124</v>
      </c>
      <c r="O116" s="37" t="s">
        <v>124</v>
      </c>
      <c r="P116" s="37" t="s">
        <v>124</v>
      </c>
      <c r="Q116" s="37" t="s">
        <v>124</v>
      </c>
      <c r="R116" s="37" t="s">
        <v>124</v>
      </c>
      <c r="S116" s="37" t="s">
        <v>124</v>
      </c>
      <c r="T116" s="37" t="s">
        <v>124</v>
      </c>
      <c r="U116" s="37" t="s">
        <v>124</v>
      </c>
      <c r="V116" s="37" t="s">
        <v>124</v>
      </c>
      <c r="W116" s="37">
        <v>1231000</v>
      </c>
      <c r="X116" s="37" t="s">
        <v>124</v>
      </c>
      <c r="Y116" s="37" t="s">
        <v>124</v>
      </c>
      <c r="Z116" s="37" t="s">
        <v>124</v>
      </c>
      <c r="AB116" s="30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 hidden="1" outlineLevel="5" x14ac:dyDescent="0.25">
      <c r="A117" s="29">
        <v>1</v>
      </c>
      <c r="C117" s="25" t="str">
        <f>"                    Total Current Debt"</f>
        <v xml:space="preserve">                    Total Current Debt</v>
      </c>
      <c r="D117" s="45">
        <f t="shared" si="24"/>
        <v>5918500</v>
      </c>
      <c r="E117" s="45">
        <f t="shared" si="25"/>
        <v>7497000</v>
      </c>
      <c r="F117" s="45">
        <f t="shared" si="26"/>
        <v>1231000</v>
      </c>
      <c r="G117" s="45">
        <f t="shared" si="27"/>
        <v>16920000</v>
      </c>
      <c r="H117" s="45">
        <f t="shared" si="28"/>
        <v>1519750</v>
      </c>
      <c r="I117" s="45">
        <f t="shared" si="29"/>
        <v>11895750</v>
      </c>
      <c r="J117" s="45">
        <f t="shared" si="30"/>
        <v>7529099.5920273671</v>
      </c>
      <c r="K117" s="46">
        <f t="shared" si="31"/>
        <v>1.0042816582669558</v>
      </c>
      <c r="L117" s="47"/>
      <c r="M117" s="47" t="s">
        <v>124</v>
      </c>
      <c r="N117" s="47" t="s">
        <v>124</v>
      </c>
      <c r="O117" s="47" t="s">
        <v>124</v>
      </c>
      <c r="P117" s="47" t="s">
        <v>124</v>
      </c>
      <c r="Q117" s="47" t="s">
        <v>124</v>
      </c>
      <c r="R117" s="47" t="s">
        <v>124</v>
      </c>
      <c r="S117" s="47" t="s">
        <v>124</v>
      </c>
      <c r="T117" s="47" t="s">
        <v>124</v>
      </c>
      <c r="U117" s="47" t="s">
        <v>124</v>
      </c>
      <c r="V117" s="47" t="s">
        <v>124</v>
      </c>
      <c r="W117" s="47">
        <v>1231000</v>
      </c>
      <c r="X117" s="47">
        <v>1616000</v>
      </c>
      <c r="Y117" s="47">
        <v>10221000</v>
      </c>
      <c r="Z117" s="47">
        <v>16920000</v>
      </c>
      <c r="AB117" s="30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 hidden="1" outlineLevel="4" collapsed="1" x14ac:dyDescent="0.25">
      <c r="A118" s="29">
        <v>1</v>
      </c>
      <c r="C118" s="24" t="str">
        <f>IF(SUBTOTAL(109,A118)=A118,"                Current Portion of Long Term Debt and Capital Lease","                Current Portion of Long Term Debt and Capital Lease")</f>
        <v xml:space="preserve">                Current Portion of Long Term Debt and Capital Lease</v>
      </c>
      <c r="D118" s="32">
        <f t="shared" si="24"/>
        <v>23797000</v>
      </c>
      <c r="E118" s="32">
        <f t="shared" si="25"/>
        <v>22647727.272727273</v>
      </c>
      <c r="F118" s="32">
        <f t="shared" si="26"/>
        <v>4257000</v>
      </c>
      <c r="G118" s="32">
        <f t="shared" si="27"/>
        <v>37400000</v>
      </c>
      <c r="H118" s="32">
        <f t="shared" si="28"/>
        <v>14551000</v>
      </c>
      <c r="I118" s="32">
        <f t="shared" si="29"/>
        <v>32805500</v>
      </c>
      <c r="J118" s="32">
        <f t="shared" si="30"/>
        <v>11923554.604990151</v>
      </c>
      <c r="K118" s="33">
        <f t="shared" si="31"/>
        <v>0.52647907939745775</v>
      </c>
      <c r="L118" s="37"/>
      <c r="M118" s="37">
        <f>IF(SUBTOTAL(109,A118)=A118,"",33720000)</f>
        <v>33720000</v>
      </c>
      <c r="N118" s="37">
        <f>IF(SUBTOTAL(109,A118)=A118,"",36913000)</f>
        <v>36913000</v>
      </c>
      <c r="O118" s="37">
        <f>IF(SUBTOTAL(109,A118)=A118,"",37400000)</f>
        <v>37400000</v>
      </c>
      <c r="P118" s="37">
        <f>IF(SUBTOTAL(109,A118)=A118,"",31891000)</f>
        <v>31891000</v>
      </c>
      <c r="Q118" s="37">
        <f>IF(SUBTOTAL(109,A118)=A118,"",26965000)</f>
        <v>26965000</v>
      </c>
      <c r="R118" s="37">
        <f>IF(SUBTOTAL(109,A118)=A118,"",23797000)</f>
        <v>23797000</v>
      </c>
      <c r="S118" s="37">
        <f>IF(SUBTOTAL(109,A118)=A118,"",19562000)</f>
        <v>19562000</v>
      </c>
      <c r="T118" s="37">
        <f>IF(SUBTOTAL(109,A118)=A118,"",14944000)</f>
        <v>14944000</v>
      </c>
      <c r="U118" s="37">
        <f>IF(SUBTOTAL(109,A118)=A118,"",14158000)</f>
        <v>14158000</v>
      </c>
      <c r="V118" s="37">
        <f>IF(SUBTOTAL(109,A118)=A118,"",5518000)</f>
        <v>5518000</v>
      </c>
      <c r="W118" s="37">
        <f>IF(SUBTOTAL(109,A118)=A118,"",4257000)</f>
        <v>4257000</v>
      </c>
      <c r="X118" s="37" t="str">
        <f>IF(SUBTOTAL(109,A118)=A118,"","")</f>
        <v/>
      </c>
      <c r="Y118" s="37" t="str">
        <f>IF(SUBTOTAL(109,A118)=A118,"","")</f>
        <v/>
      </c>
      <c r="Z118" s="37" t="str">
        <f>IF(SUBTOTAL(109,A118)=A118,"","")</f>
        <v/>
      </c>
      <c r="AB118" s="30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 hidden="1" outlineLevel="5" collapsed="1" x14ac:dyDescent="0.25">
      <c r="A119" s="29">
        <v>1</v>
      </c>
      <c r="C119" s="24" t="str">
        <f>IF(SUBTOTAL(109,A119)=A119,"                    Current Portion of Long Term Debt","                    Current Portion of Long Term Debt")</f>
        <v xml:space="preserve">                    Current Portion of Long Term Debt</v>
      </c>
      <c r="D119" s="32">
        <f t="shared" si="24"/>
        <v>23797000</v>
      </c>
      <c r="E119" s="32">
        <f t="shared" si="25"/>
        <v>22635090.90909091</v>
      </c>
      <c r="F119" s="32">
        <f t="shared" si="26"/>
        <v>4118000</v>
      </c>
      <c r="G119" s="32">
        <f t="shared" si="27"/>
        <v>37400000</v>
      </c>
      <c r="H119" s="32">
        <f t="shared" si="28"/>
        <v>14551000</v>
      </c>
      <c r="I119" s="32">
        <f t="shared" si="29"/>
        <v>32805500</v>
      </c>
      <c r="J119" s="32">
        <f t="shared" si="30"/>
        <v>11945048.057287551</v>
      </c>
      <c r="K119" s="33">
        <f t="shared" si="31"/>
        <v>0.527722557212707</v>
      </c>
      <c r="L119" s="37"/>
      <c r="M119" s="37">
        <f>IF(SUBTOTAL(109,A119)=A119,"",33720000)</f>
        <v>33720000</v>
      </c>
      <c r="N119" s="37">
        <f>IF(SUBTOTAL(109,A119)=A119,"",36913000)</f>
        <v>36913000</v>
      </c>
      <c r="O119" s="37">
        <f>IF(SUBTOTAL(109,A119)=A119,"",37400000)</f>
        <v>37400000</v>
      </c>
      <c r="P119" s="37">
        <f>IF(SUBTOTAL(109,A119)=A119,"",31891000)</f>
        <v>31891000</v>
      </c>
      <c r="Q119" s="37">
        <f>IF(SUBTOTAL(109,A119)=A119,"",26965000)</f>
        <v>26965000</v>
      </c>
      <c r="R119" s="37">
        <f>IF(SUBTOTAL(109,A119)=A119,"",23797000)</f>
        <v>23797000</v>
      </c>
      <c r="S119" s="37">
        <f>IF(SUBTOTAL(109,A119)=A119,"",19562000)</f>
        <v>19562000</v>
      </c>
      <c r="T119" s="37">
        <f>IF(SUBTOTAL(109,A119)=A119,"",14944000)</f>
        <v>14944000</v>
      </c>
      <c r="U119" s="37">
        <f>IF(SUBTOTAL(109,A119)=A119,"",14158000)</f>
        <v>14158000</v>
      </c>
      <c r="V119" s="37">
        <f>IF(SUBTOTAL(109,A119)=A119,"",5518000)</f>
        <v>5518000</v>
      </c>
      <c r="W119" s="37">
        <f>IF(SUBTOTAL(109,A119)=A119,"",4118000)</f>
        <v>4118000</v>
      </c>
      <c r="X119" s="37" t="str">
        <f>IF(SUBTOTAL(109,A119)=A119,"","")</f>
        <v/>
      </c>
      <c r="Y119" s="37" t="str">
        <f>IF(SUBTOTAL(109,A119)=A119,"","")</f>
        <v/>
      </c>
      <c r="Z119" s="37" t="str">
        <f>IF(SUBTOTAL(109,A119)=A119,"","")</f>
        <v/>
      </c>
      <c r="AB119" s="30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 hidden="1" outlineLevel="6" x14ac:dyDescent="0.25">
      <c r="A120" s="29">
        <v>1</v>
      </c>
      <c r="C120" s="24" t="str">
        <f>"                        Other Current Portion of LT Debt"</f>
        <v xml:space="preserve">                        Other Current Portion of LT Debt</v>
      </c>
      <c r="D120" s="32">
        <f t="shared" si="24"/>
        <v>23797000</v>
      </c>
      <c r="E120" s="32">
        <f t="shared" si="25"/>
        <v>22635090.90909091</v>
      </c>
      <c r="F120" s="32">
        <f t="shared" si="26"/>
        <v>4118000</v>
      </c>
      <c r="G120" s="32">
        <f t="shared" si="27"/>
        <v>37400000</v>
      </c>
      <c r="H120" s="32">
        <f t="shared" si="28"/>
        <v>14551000</v>
      </c>
      <c r="I120" s="32">
        <f t="shared" si="29"/>
        <v>32805500</v>
      </c>
      <c r="J120" s="32">
        <f t="shared" si="30"/>
        <v>11945048.057287551</v>
      </c>
      <c r="K120" s="33">
        <f t="shared" si="31"/>
        <v>0.527722557212707</v>
      </c>
      <c r="L120" s="37"/>
      <c r="M120" s="37">
        <v>33720000</v>
      </c>
      <c r="N120" s="37">
        <v>36913000</v>
      </c>
      <c r="O120" s="37">
        <v>37400000</v>
      </c>
      <c r="P120" s="37">
        <v>31891000</v>
      </c>
      <c r="Q120" s="37">
        <v>26965000</v>
      </c>
      <c r="R120" s="37">
        <v>23797000</v>
      </c>
      <c r="S120" s="37">
        <v>19562000</v>
      </c>
      <c r="T120" s="37">
        <v>14944000</v>
      </c>
      <c r="U120" s="37">
        <v>14158000</v>
      </c>
      <c r="V120" s="37">
        <v>5518000</v>
      </c>
      <c r="W120" s="37">
        <v>4118000</v>
      </c>
      <c r="X120" s="37" t="s">
        <v>124</v>
      </c>
      <c r="Y120" s="37" t="s">
        <v>124</v>
      </c>
      <c r="Z120" s="37" t="s">
        <v>124</v>
      </c>
      <c r="AB120" s="30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 hidden="1" outlineLevel="6" x14ac:dyDescent="0.25">
      <c r="A121" s="29">
        <v>1</v>
      </c>
      <c r="C121" s="25" t="str">
        <f>"                        Total Current Portion of Long Term Debt"</f>
        <v xml:space="preserve">                        Total Current Portion of Long Term Debt</v>
      </c>
      <c r="D121" s="45">
        <f t="shared" si="24"/>
        <v>23797000</v>
      </c>
      <c r="E121" s="45">
        <f t="shared" si="25"/>
        <v>22635090.90909091</v>
      </c>
      <c r="F121" s="45">
        <f t="shared" si="26"/>
        <v>4118000</v>
      </c>
      <c r="G121" s="45">
        <f t="shared" si="27"/>
        <v>37400000</v>
      </c>
      <c r="H121" s="45">
        <f t="shared" si="28"/>
        <v>14551000</v>
      </c>
      <c r="I121" s="45">
        <f t="shared" si="29"/>
        <v>32805500</v>
      </c>
      <c r="J121" s="45">
        <f t="shared" si="30"/>
        <v>11945048.057287551</v>
      </c>
      <c r="K121" s="46">
        <f t="shared" si="31"/>
        <v>0.527722557212707</v>
      </c>
      <c r="L121" s="47"/>
      <c r="M121" s="47">
        <v>33720000</v>
      </c>
      <c r="N121" s="47">
        <v>36913000</v>
      </c>
      <c r="O121" s="47">
        <v>37400000</v>
      </c>
      <c r="P121" s="47">
        <v>31891000</v>
      </c>
      <c r="Q121" s="47">
        <v>26965000</v>
      </c>
      <c r="R121" s="47">
        <v>23797000</v>
      </c>
      <c r="S121" s="47">
        <v>19562000</v>
      </c>
      <c r="T121" s="47">
        <v>14944000</v>
      </c>
      <c r="U121" s="47">
        <v>14158000</v>
      </c>
      <c r="V121" s="47">
        <v>5518000</v>
      </c>
      <c r="W121" s="47">
        <v>4118000</v>
      </c>
      <c r="X121" s="47" t="s">
        <v>124</v>
      </c>
      <c r="Y121" s="47" t="s">
        <v>124</v>
      </c>
      <c r="Z121" s="47" t="s">
        <v>124</v>
      </c>
      <c r="AB121" s="30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 hidden="1" outlineLevel="5" x14ac:dyDescent="0.25">
      <c r="A122" s="29">
        <v>1</v>
      </c>
      <c r="C122" s="24" t="str">
        <f>"                    Capital Lease Obligations, Current"</f>
        <v xml:space="preserve">                    Capital Lease Obligations, Current</v>
      </c>
      <c r="D122" s="32">
        <f t="shared" si="24"/>
        <v>139000</v>
      </c>
      <c r="E122" s="32">
        <f t="shared" si="25"/>
        <v>139000</v>
      </c>
      <c r="F122" s="32">
        <f t="shared" si="26"/>
        <v>139000</v>
      </c>
      <c r="G122" s="32">
        <f t="shared" si="27"/>
        <v>139000</v>
      </c>
      <c r="H122" s="32">
        <f t="shared" si="28"/>
        <v>139000</v>
      </c>
      <c r="I122" s="32">
        <f t="shared" si="29"/>
        <v>139000</v>
      </c>
      <c r="J122" s="32" t="str">
        <f t="shared" si="30"/>
        <v/>
      </c>
      <c r="K122" s="33" t="str">
        <f t="shared" si="31"/>
        <v/>
      </c>
      <c r="L122" s="37"/>
      <c r="M122" s="37" t="s">
        <v>124</v>
      </c>
      <c r="N122" s="37" t="s">
        <v>124</v>
      </c>
      <c r="O122" s="37" t="s">
        <v>124</v>
      </c>
      <c r="P122" s="37" t="s">
        <v>124</v>
      </c>
      <c r="Q122" s="37" t="s">
        <v>124</v>
      </c>
      <c r="R122" s="37" t="s">
        <v>124</v>
      </c>
      <c r="S122" s="37" t="s">
        <v>124</v>
      </c>
      <c r="T122" s="37" t="s">
        <v>124</v>
      </c>
      <c r="U122" s="37" t="s">
        <v>124</v>
      </c>
      <c r="V122" s="37" t="s">
        <v>124</v>
      </c>
      <c r="W122" s="37">
        <v>139000</v>
      </c>
      <c r="X122" s="37" t="s">
        <v>124</v>
      </c>
      <c r="Y122" s="37" t="s">
        <v>124</v>
      </c>
      <c r="Z122" s="37" t="s">
        <v>124</v>
      </c>
      <c r="AB122" s="30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 hidden="1" outlineLevel="5" x14ac:dyDescent="0.25">
      <c r="A123" s="29">
        <v>1</v>
      </c>
      <c r="C123" s="25" t="str">
        <f>"                    Total Current Portion of Long Term Debt and Capital Lease"</f>
        <v xml:space="preserve">                    Total Current Portion of Long Term Debt and Capital Lease</v>
      </c>
      <c r="D123" s="45">
        <f t="shared" si="24"/>
        <v>23797000</v>
      </c>
      <c r="E123" s="45">
        <f t="shared" si="25"/>
        <v>22647727.272727273</v>
      </c>
      <c r="F123" s="45">
        <f t="shared" si="26"/>
        <v>4257000</v>
      </c>
      <c r="G123" s="45">
        <f t="shared" si="27"/>
        <v>37400000</v>
      </c>
      <c r="H123" s="45">
        <f t="shared" si="28"/>
        <v>14551000</v>
      </c>
      <c r="I123" s="45">
        <f t="shared" si="29"/>
        <v>32805500</v>
      </c>
      <c r="J123" s="45">
        <f t="shared" si="30"/>
        <v>11923554.604990151</v>
      </c>
      <c r="K123" s="46">
        <f t="shared" si="31"/>
        <v>0.52647907939745775</v>
      </c>
      <c r="L123" s="47"/>
      <c r="M123" s="47">
        <v>33720000</v>
      </c>
      <c r="N123" s="47">
        <v>36913000</v>
      </c>
      <c r="O123" s="47">
        <v>37400000</v>
      </c>
      <c r="P123" s="47">
        <v>31891000</v>
      </c>
      <c r="Q123" s="47">
        <v>26965000</v>
      </c>
      <c r="R123" s="47">
        <v>23797000</v>
      </c>
      <c r="S123" s="47">
        <v>19562000</v>
      </c>
      <c r="T123" s="47">
        <v>14944000</v>
      </c>
      <c r="U123" s="47">
        <v>14158000</v>
      </c>
      <c r="V123" s="47">
        <v>5518000</v>
      </c>
      <c r="W123" s="47">
        <v>4257000</v>
      </c>
      <c r="X123" s="47" t="s">
        <v>124</v>
      </c>
      <c r="Y123" s="47" t="s">
        <v>124</v>
      </c>
      <c r="Z123" s="47" t="s">
        <v>124</v>
      </c>
      <c r="AB123" s="30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 hidden="1" outlineLevel="4" x14ac:dyDescent="0.25">
      <c r="A124" s="29">
        <v>1</v>
      </c>
      <c r="C124" s="25" t="str">
        <f>"                Total Current Debt and Capital Lease Obligation"</f>
        <v xml:space="preserve">                Total Current Debt and Capital Lease Obligation</v>
      </c>
      <c r="D124" s="45">
        <f t="shared" si="24"/>
        <v>18241000</v>
      </c>
      <c r="E124" s="45">
        <f t="shared" si="25"/>
        <v>19936642.857142858</v>
      </c>
      <c r="F124" s="45">
        <f t="shared" si="26"/>
        <v>1616000</v>
      </c>
      <c r="G124" s="45">
        <f t="shared" si="27"/>
        <v>37400000</v>
      </c>
      <c r="H124" s="45">
        <f t="shared" si="28"/>
        <v>11205250</v>
      </c>
      <c r="I124" s="45">
        <f t="shared" si="29"/>
        <v>30659500</v>
      </c>
      <c r="J124" s="45">
        <f t="shared" si="30"/>
        <v>12104078.127811959</v>
      </c>
      <c r="K124" s="46">
        <f t="shared" si="31"/>
        <v>0.60712719862337983</v>
      </c>
      <c r="L124" s="47"/>
      <c r="M124" s="47">
        <v>33720000</v>
      </c>
      <c r="N124" s="47">
        <v>36913000</v>
      </c>
      <c r="O124" s="47">
        <v>37400000</v>
      </c>
      <c r="P124" s="47">
        <v>31891000</v>
      </c>
      <c r="Q124" s="47">
        <v>26965000</v>
      </c>
      <c r="R124" s="47">
        <v>23797000</v>
      </c>
      <c r="S124" s="47">
        <v>19562000</v>
      </c>
      <c r="T124" s="47">
        <v>14944000</v>
      </c>
      <c r="U124" s="47">
        <v>14158000</v>
      </c>
      <c r="V124" s="47">
        <v>5518000</v>
      </c>
      <c r="W124" s="47">
        <v>5488000</v>
      </c>
      <c r="X124" s="47">
        <v>1616000</v>
      </c>
      <c r="Y124" s="47">
        <v>10221000</v>
      </c>
      <c r="Z124" s="47">
        <v>16920000</v>
      </c>
      <c r="AB124" s="30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 outlineLevel="3" x14ac:dyDescent="0.25">
      <c r="A125" s="29">
        <v>1</v>
      </c>
      <c r="C125" s="25" t="str">
        <f>"            Total Financial Liabilities, Current"</f>
        <v xml:space="preserve">            Total Financial Liabilities, Current</v>
      </c>
      <c r="D125" s="45">
        <f t="shared" si="24"/>
        <v>18241000</v>
      </c>
      <c r="E125" s="45">
        <f t="shared" si="25"/>
        <v>19936642.857142858</v>
      </c>
      <c r="F125" s="45">
        <f t="shared" si="26"/>
        <v>1616000</v>
      </c>
      <c r="G125" s="45">
        <f t="shared" si="27"/>
        <v>37400000</v>
      </c>
      <c r="H125" s="45">
        <f t="shared" si="28"/>
        <v>11205250</v>
      </c>
      <c r="I125" s="45">
        <f t="shared" si="29"/>
        <v>30659500</v>
      </c>
      <c r="J125" s="45">
        <f t="shared" si="30"/>
        <v>12104078.127811959</v>
      </c>
      <c r="K125" s="46">
        <f t="shared" si="31"/>
        <v>0.60712719862337983</v>
      </c>
      <c r="L125" s="47"/>
      <c r="M125" s="47">
        <v>33720000</v>
      </c>
      <c r="N125" s="47">
        <v>36913000</v>
      </c>
      <c r="O125" s="47">
        <v>37400000</v>
      </c>
      <c r="P125" s="47">
        <v>31891000</v>
      </c>
      <c r="Q125" s="47">
        <v>26965000</v>
      </c>
      <c r="R125" s="47">
        <v>23797000</v>
      </c>
      <c r="S125" s="47">
        <v>19562000</v>
      </c>
      <c r="T125" s="47">
        <v>14944000</v>
      </c>
      <c r="U125" s="47">
        <v>14158000</v>
      </c>
      <c r="V125" s="47">
        <v>5518000</v>
      </c>
      <c r="W125" s="47">
        <v>5488000</v>
      </c>
      <c r="X125" s="47">
        <v>1616000</v>
      </c>
      <c r="Y125" s="47">
        <v>10221000</v>
      </c>
      <c r="Z125" s="47">
        <v>16920000</v>
      </c>
      <c r="AB125" s="30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 outlineLevel="2" x14ac:dyDescent="0.25">
      <c r="A126" s="29">
        <v>1</v>
      </c>
      <c r="C126" s="24" t="str">
        <f>IF(SUBTOTAL(109,A126)=A126,"        Provisions, Current","        Provisions, Current")</f>
        <v xml:space="preserve">        Provisions, Current</v>
      </c>
      <c r="D126" s="32" t="str">
        <f t="shared" si="24"/>
        <v/>
      </c>
      <c r="E126" s="32" t="str">
        <f t="shared" si="25"/>
        <v/>
      </c>
      <c r="F126" s="32" t="str">
        <f t="shared" si="26"/>
        <v/>
      </c>
      <c r="G126" s="32" t="str">
        <f t="shared" si="27"/>
        <v/>
      </c>
      <c r="H126" s="32" t="str">
        <f t="shared" si="28"/>
        <v/>
      </c>
      <c r="I126" s="32" t="str">
        <f t="shared" si="29"/>
        <v/>
      </c>
      <c r="J126" s="32" t="str">
        <f t="shared" si="30"/>
        <v/>
      </c>
      <c r="K126" s="33" t="str">
        <f t="shared" si="31"/>
        <v/>
      </c>
      <c r="L126" s="37"/>
      <c r="M126" s="37" t="str">
        <f>IF(SUBTOTAL(109,A126)=A126,"","")</f>
        <v/>
      </c>
      <c r="N126" s="37" t="str">
        <f>IF(SUBTOTAL(109,A126)=A126,"","")</f>
        <v/>
      </c>
      <c r="O126" s="37" t="str">
        <f>IF(SUBTOTAL(109,A126)=A126,"","")</f>
        <v/>
      </c>
      <c r="P126" s="37" t="str">
        <f>IF(SUBTOTAL(109,A126)=A126,"","")</f>
        <v/>
      </c>
      <c r="Q126" s="37" t="str">
        <f>IF(SUBTOTAL(109,A126)=A126,"","")</f>
        <v/>
      </c>
      <c r="R126" s="37" t="str">
        <f>IF(SUBTOTAL(109,A126)=A126,"","")</f>
        <v/>
      </c>
      <c r="S126" s="37" t="str">
        <f>IF(SUBTOTAL(109,A126)=A126,"","")</f>
        <v/>
      </c>
      <c r="T126" s="37" t="str">
        <f>IF(SUBTOTAL(109,A126)=A126,"","")</f>
        <v/>
      </c>
      <c r="U126" s="37" t="str">
        <f>IF(SUBTOTAL(109,A126)=A126,"","")</f>
        <v/>
      </c>
      <c r="V126" s="37" t="str">
        <f>IF(SUBTOTAL(109,A126)=A126,"","")</f>
        <v/>
      </c>
      <c r="W126" s="37" t="str">
        <f>IF(SUBTOTAL(109,A126)=A126,"","")</f>
        <v/>
      </c>
      <c r="X126" s="37" t="str">
        <f>IF(SUBTOTAL(109,A126)=A126,"",625000)</f>
        <v/>
      </c>
      <c r="Y126" s="37" t="str">
        <f>IF(SUBTOTAL(109,A126)=A126,"",846000)</f>
        <v/>
      </c>
      <c r="Z126" s="37" t="str">
        <f>IF(SUBTOTAL(109,A126)=A126,"","")</f>
        <v/>
      </c>
      <c r="AB126" s="30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 outlineLevel="3" x14ac:dyDescent="0.25">
      <c r="A127" s="29">
        <v>1</v>
      </c>
      <c r="C127" s="24" t="str">
        <f>"            Provision for Employee Entitlements, Current"</f>
        <v xml:space="preserve">            Provision for Employee Entitlements, Current</v>
      </c>
      <c r="D127" s="32">
        <f t="shared" si="24"/>
        <v>735500</v>
      </c>
      <c r="E127" s="32">
        <f t="shared" si="25"/>
        <v>735500</v>
      </c>
      <c r="F127" s="32">
        <f t="shared" si="26"/>
        <v>625000</v>
      </c>
      <c r="G127" s="32">
        <f t="shared" si="27"/>
        <v>846000</v>
      </c>
      <c r="H127" s="32">
        <f t="shared" si="28"/>
        <v>680250</v>
      </c>
      <c r="I127" s="32">
        <f t="shared" si="29"/>
        <v>790750</v>
      </c>
      <c r="J127" s="32">
        <f t="shared" si="30"/>
        <v>156270.59864222701</v>
      </c>
      <c r="K127" s="33">
        <f t="shared" si="31"/>
        <v>0.21246852296699797</v>
      </c>
      <c r="L127" s="37"/>
      <c r="M127" s="37" t="s">
        <v>124</v>
      </c>
      <c r="N127" s="37" t="s">
        <v>124</v>
      </c>
      <c r="O127" s="37" t="s">
        <v>124</v>
      </c>
      <c r="P127" s="37" t="s">
        <v>124</v>
      </c>
      <c r="Q127" s="37" t="s">
        <v>124</v>
      </c>
      <c r="R127" s="37" t="s">
        <v>124</v>
      </c>
      <c r="S127" s="37" t="s">
        <v>124</v>
      </c>
      <c r="T127" s="37" t="s">
        <v>124</v>
      </c>
      <c r="U127" s="37" t="s">
        <v>124</v>
      </c>
      <c r="V127" s="37" t="s">
        <v>124</v>
      </c>
      <c r="W127" s="37" t="s">
        <v>124</v>
      </c>
      <c r="X127" s="37">
        <v>625000</v>
      </c>
      <c r="Y127" s="37">
        <v>846000</v>
      </c>
      <c r="Z127" s="37" t="s">
        <v>124</v>
      </c>
      <c r="AB127" s="30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 outlineLevel="3" x14ac:dyDescent="0.25">
      <c r="A128" s="29">
        <v>1</v>
      </c>
      <c r="C128" s="25" t="str">
        <f>"            Total Provisions, Current"</f>
        <v xml:space="preserve">            Total Provisions, Current</v>
      </c>
      <c r="D128" s="45">
        <f t="shared" si="24"/>
        <v>735500</v>
      </c>
      <c r="E128" s="45">
        <f t="shared" si="25"/>
        <v>735500</v>
      </c>
      <c r="F128" s="45">
        <f t="shared" si="26"/>
        <v>625000</v>
      </c>
      <c r="G128" s="45">
        <f t="shared" si="27"/>
        <v>846000</v>
      </c>
      <c r="H128" s="45">
        <f t="shared" si="28"/>
        <v>680250</v>
      </c>
      <c r="I128" s="45">
        <f t="shared" si="29"/>
        <v>790750</v>
      </c>
      <c r="J128" s="45">
        <f t="shared" si="30"/>
        <v>156270.59864222701</v>
      </c>
      <c r="K128" s="46">
        <f t="shared" si="31"/>
        <v>0.21246852296699797</v>
      </c>
      <c r="L128" s="47"/>
      <c r="M128" s="47" t="s">
        <v>124</v>
      </c>
      <c r="N128" s="47" t="s">
        <v>124</v>
      </c>
      <c r="O128" s="47" t="s">
        <v>124</v>
      </c>
      <c r="P128" s="47" t="s">
        <v>124</v>
      </c>
      <c r="Q128" s="47" t="s">
        <v>124</v>
      </c>
      <c r="R128" s="47" t="s">
        <v>124</v>
      </c>
      <c r="S128" s="47" t="s">
        <v>124</v>
      </c>
      <c r="T128" s="47" t="s">
        <v>124</v>
      </c>
      <c r="U128" s="47" t="s">
        <v>124</v>
      </c>
      <c r="V128" s="47" t="s">
        <v>124</v>
      </c>
      <c r="W128" s="47" t="s">
        <v>124</v>
      </c>
      <c r="X128" s="47">
        <v>625000</v>
      </c>
      <c r="Y128" s="47">
        <v>846000</v>
      </c>
      <c r="Z128" s="47" t="s">
        <v>124</v>
      </c>
      <c r="AB128" s="3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 outlineLevel="2" x14ac:dyDescent="0.25">
      <c r="A129" s="29">
        <v>1</v>
      </c>
      <c r="C129" s="24" t="str">
        <f>IF(SUBTOTAL(109,A129)=A129,"        Deferred Liabilities, Current","        Deferred Liabilities, Current")</f>
        <v xml:space="preserve">        Deferred Liabilities, Current</v>
      </c>
      <c r="D129" s="32" t="str">
        <f t="shared" si="24"/>
        <v/>
      </c>
      <c r="E129" s="32" t="str">
        <f t="shared" si="25"/>
        <v/>
      </c>
      <c r="F129" s="32" t="str">
        <f t="shared" si="26"/>
        <v/>
      </c>
      <c r="G129" s="32" t="str">
        <f t="shared" si="27"/>
        <v/>
      </c>
      <c r="H129" s="32" t="str">
        <f t="shared" si="28"/>
        <v/>
      </c>
      <c r="I129" s="32" t="str">
        <f t="shared" si="29"/>
        <v/>
      </c>
      <c r="J129" s="32" t="str">
        <f t="shared" si="30"/>
        <v/>
      </c>
      <c r="K129" s="33" t="str">
        <f t="shared" si="31"/>
        <v/>
      </c>
      <c r="L129" s="37"/>
      <c r="M129" s="37" t="str">
        <f>IF(SUBTOTAL(109,A129)=A129,"",2461000)</f>
        <v/>
      </c>
      <c r="N129" s="37" t="str">
        <f>IF(SUBTOTAL(109,A129)=A129,"",3132000)</f>
        <v/>
      </c>
      <c r="O129" s="37" t="str">
        <f>IF(SUBTOTAL(109,A129)=A129,"",3234000)</f>
        <v/>
      </c>
      <c r="P129" s="37" t="str">
        <f>IF(SUBTOTAL(109,A129)=A129,"",3504000)</f>
        <v/>
      </c>
      <c r="Q129" s="37" t="str">
        <f>IF(SUBTOTAL(109,A129)=A129,"",3400000)</f>
        <v/>
      </c>
      <c r="R129" s="37" t="str">
        <f>IF(SUBTOTAL(109,A129)=A129,"",2695000)</f>
        <v/>
      </c>
      <c r="S129" s="37" t="str">
        <f>IF(SUBTOTAL(109,A129)=A129,"",2227000)</f>
        <v/>
      </c>
      <c r="T129" s="37" t="str">
        <f>IF(SUBTOTAL(109,A129)=A129,"",1622000)</f>
        <v/>
      </c>
      <c r="U129" s="37" t="str">
        <f>IF(SUBTOTAL(109,A129)=A129,"",1276000)</f>
        <v/>
      </c>
      <c r="V129" s="37" t="str">
        <f>IF(SUBTOTAL(109,A129)=A129,"",1326000)</f>
        <v/>
      </c>
      <c r="W129" s="37" t="str">
        <f>IF(SUBTOTAL(109,A129)=A129,"",1137000)</f>
        <v/>
      </c>
      <c r="X129" s="37" t="str">
        <f>IF(SUBTOTAL(109,A129)=A129,"","")</f>
        <v/>
      </c>
      <c r="Y129" s="37" t="str">
        <f>IF(SUBTOTAL(109,A129)=A129,"","")</f>
        <v/>
      </c>
      <c r="Z129" s="37" t="str">
        <f>IF(SUBTOTAL(109,A129)=A129,"","")</f>
        <v/>
      </c>
      <c r="AB129" s="30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 outlineLevel="3" x14ac:dyDescent="0.25">
      <c r="A130" s="29">
        <v>1</v>
      </c>
      <c r="C130" s="24" t="str">
        <f>"            Deferred Income/Customer Advances/Billings in Excess of Cost, Current"</f>
        <v xml:space="preserve">            Deferred Income/Customer Advances/Billings in Excess of Cost, Current</v>
      </c>
      <c r="D130" s="32">
        <f t="shared" si="24"/>
        <v>2461000</v>
      </c>
      <c r="E130" s="32">
        <f t="shared" si="25"/>
        <v>2364909.0909090908</v>
      </c>
      <c r="F130" s="32">
        <f t="shared" si="26"/>
        <v>1137000</v>
      </c>
      <c r="G130" s="32">
        <f t="shared" si="27"/>
        <v>3504000</v>
      </c>
      <c r="H130" s="32">
        <f t="shared" si="28"/>
        <v>1474000</v>
      </c>
      <c r="I130" s="32">
        <f t="shared" si="29"/>
        <v>3183000</v>
      </c>
      <c r="J130" s="32">
        <f t="shared" si="30"/>
        <v>904136.65499695926</v>
      </c>
      <c r="K130" s="33">
        <f t="shared" si="31"/>
        <v>0.38231349292559974</v>
      </c>
      <c r="L130" s="37"/>
      <c r="M130" s="37">
        <v>2461000</v>
      </c>
      <c r="N130" s="37">
        <v>3132000</v>
      </c>
      <c r="O130" s="37">
        <v>3234000</v>
      </c>
      <c r="P130" s="37">
        <v>3504000</v>
      </c>
      <c r="Q130" s="37">
        <v>3400000</v>
      </c>
      <c r="R130" s="37">
        <v>2695000</v>
      </c>
      <c r="S130" s="37">
        <v>2227000</v>
      </c>
      <c r="T130" s="37">
        <v>1622000</v>
      </c>
      <c r="U130" s="37">
        <v>1276000</v>
      </c>
      <c r="V130" s="37">
        <v>1326000</v>
      </c>
      <c r="W130" s="37">
        <v>1137000</v>
      </c>
      <c r="X130" s="37" t="s">
        <v>124</v>
      </c>
      <c r="Y130" s="37" t="s">
        <v>124</v>
      </c>
      <c r="Z130" s="37" t="s">
        <v>124</v>
      </c>
      <c r="AB130" s="30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 outlineLevel="3" x14ac:dyDescent="0.25">
      <c r="A131" s="29">
        <v>1</v>
      </c>
      <c r="C131" s="25" t="str">
        <f>"            Total Deferred Liabilities, Current"</f>
        <v xml:space="preserve">            Total Deferred Liabilities, Current</v>
      </c>
      <c r="D131" s="45">
        <f t="shared" si="24"/>
        <v>2461000</v>
      </c>
      <c r="E131" s="45">
        <f t="shared" si="25"/>
        <v>2364909.0909090908</v>
      </c>
      <c r="F131" s="45">
        <f t="shared" si="26"/>
        <v>1137000</v>
      </c>
      <c r="G131" s="45">
        <f t="shared" si="27"/>
        <v>3504000</v>
      </c>
      <c r="H131" s="45">
        <f t="shared" si="28"/>
        <v>1474000</v>
      </c>
      <c r="I131" s="45">
        <f t="shared" si="29"/>
        <v>3183000</v>
      </c>
      <c r="J131" s="45">
        <f t="shared" si="30"/>
        <v>904136.65499695926</v>
      </c>
      <c r="K131" s="46">
        <f t="shared" si="31"/>
        <v>0.38231349292559974</v>
      </c>
      <c r="L131" s="47"/>
      <c r="M131" s="47">
        <v>2461000</v>
      </c>
      <c r="N131" s="47">
        <v>3132000</v>
      </c>
      <c r="O131" s="47">
        <v>3234000</v>
      </c>
      <c r="P131" s="47">
        <v>3504000</v>
      </c>
      <c r="Q131" s="47">
        <v>3400000</v>
      </c>
      <c r="R131" s="47">
        <v>2695000</v>
      </c>
      <c r="S131" s="47">
        <v>2227000</v>
      </c>
      <c r="T131" s="47">
        <v>1622000</v>
      </c>
      <c r="U131" s="47">
        <v>1276000</v>
      </c>
      <c r="V131" s="47">
        <v>1326000</v>
      </c>
      <c r="W131" s="47">
        <v>1137000</v>
      </c>
      <c r="X131" s="47" t="s">
        <v>124</v>
      </c>
      <c r="Y131" s="47" t="s">
        <v>124</v>
      </c>
      <c r="Z131" s="47" t="s">
        <v>124</v>
      </c>
      <c r="AB131" s="30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 outlineLevel="2" x14ac:dyDescent="0.25">
      <c r="A132" s="29">
        <v>1</v>
      </c>
      <c r="C132" s="24" t="str">
        <f>"        Liabilities Held for Sale/Discontinued Operations, Current"</f>
        <v xml:space="preserve">        Liabilities Held for Sale/Discontinued Operations, Current</v>
      </c>
      <c r="D132" s="32">
        <f t="shared" si="24"/>
        <v>12158000</v>
      </c>
      <c r="E132" s="32">
        <f t="shared" si="25"/>
        <v>12158000</v>
      </c>
      <c r="F132" s="32">
        <f t="shared" si="26"/>
        <v>12158000</v>
      </c>
      <c r="G132" s="32">
        <f t="shared" si="27"/>
        <v>12158000</v>
      </c>
      <c r="H132" s="32">
        <f t="shared" si="28"/>
        <v>12158000</v>
      </c>
      <c r="I132" s="32">
        <f t="shared" si="29"/>
        <v>12158000</v>
      </c>
      <c r="J132" s="32" t="str">
        <f t="shared" si="30"/>
        <v/>
      </c>
      <c r="K132" s="33" t="str">
        <f t="shared" si="31"/>
        <v/>
      </c>
      <c r="L132" s="37"/>
      <c r="M132" s="37" t="s">
        <v>124</v>
      </c>
      <c r="N132" s="37" t="s">
        <v>124</v>
      </c>
      <c r="O132" s="37" t="s">
        <v>124</v>
      </c>
      <c r="P132" s="37" t="s">
        <v>124</v>
      </c>
      <c r="Q132" s="37" t="s">
        <v>124</v>
      </c>
      <c r="R132" s="37">
        <v>12158000</v>
      </c>
      <c r="S132" s="37" t="s">
        <v>124</v>
      </c>
      <c r="T132" s="37" t="s">
        <v>124</v>
      </c>
      <c r="U132" s="37" t="s">
        <v>124</v>
      </c>
      <c r="V132" s="37" t="s">
        <v>124</v>
      </c>
      <c r="W132" s="37" t="s">
        <v>124</v>
      </c>
      <c r="X132" s="37" t="s">
        <v>124</v>
      </c>
      <c r="Y132" s="37" t="s">
        <v>124</v>
      </c>
      <c r="Z132" s="37" t="s">
        <v>124</v>
      </c>
      <c r="AB132" s="30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 outlineLevel="2" x14ac:dyDescent="0.25">
      <c r="A133" s="29">
        <v>1</v>
      </c>
      <c r="C133" s="24" t="str">
        <f>"        Other Current Liabilities"</f>
        <v xml:space="preserve">        Other Current Liabilities</v>
      </c>
      <c r="D133" s="32">
        <f t="shared" si="24"/>
        <v>355000</v>
      </c>
      <c r="E133" s="32">
        <f t="shared" si="25"/>
        <v>1556333.3333333333</v>
      </c>
      <c r="F133" s="32">
        <f t="shared" si="26"/>
        <v>312000</v>
      </c>
      <c r="G133" s="32">
        <f t="shared" si="27"/>
        <v>4002000</v>
      </c>
      <c r="H133" s="32">
        <f t="shared" si="28"/>
        <v>333500</v>
      </c>
      <c r="I133" s="32">
        <f t="shared" si="29"/>
        <v>2178500</v>
      </c>
      <c r="J133" s="32">
        <f t="shared" si="30"/>
        <v>2118118.5833973824</v>
      </c>
      <c r="K133" s="33">
        <f t="shared" si="31"/>
        <v>1.3609671771668768</v>
      </c>
      <c r="L133" s="37"/>
      <c r="M133" s="37" t="s">
        <v>124</v>
      </c>
      <c r="N133" s="37" t="s">
        <v>124</v>
      </c>
      <c r="O133" s="37" t="s">
        <v>124</v>
      </c>
      <c r="P133" s="37" t="s">
        <v>124</v>
      </c>
      <c r="Q133" s="37" t="s">
        <v>124</v>
      </c>
      <c r="R133" s="37" t="s">
        <v>124</v>
      </c>
      <c r="S133" s="37" t="s">
        <v>124</v>
      </c>
      <c r="T133" s="37" t="s">
        <v>124</v>
      </c>
      <c r="U133" s="37" t="s">
        <v>124</v>
      </c>
      <c r="V133" s="37" t="s">
        <v>124</v>
      </c>
      <c r="W133" s="37">
        <v>312000</v>
      </c>
      <c r="X133" s="37" t="s">
        <v>124</v>
      </c>
      <c r="Y133" s="37">
        <v>355000</v>
      </c>
      <c r="Z133" s="37">
        <v>4002000</v>
      </c>
      <c r="AB133" s="30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 outlineLevel="2" x14ac:dyDescent="0.25">
      <c r="A134" s="29">
        <v>1</v>
      </c>
      <c r="C134" s="140" t="str">
        <f>"        Total Current Liabilities"</f>
        <v xml:space="preserve">        Total Current Liabilities</v>
      </c>
      <c r="D134" s="119">
        <f t="shared" si="24"/>
        <v>72812500</v>
      </c>
      <c r="E134" s="119">
        <f t="shared" si="25"/>
        <v>68945357.142857149</v>
      </c>
      <c r="F134" s="119">
        <f t="shared" si="26"/>
        <v>47157000</v>
      </c>
      <c r="G134" s="119">
        <f t="shared" si="27"/>
        <v>85181000</v>
      </c>
      <c r="H134" s="119">
        <f t="shared" si="28"/>
        <v>56097000</v>
      </c>
      <c r="I134" s="119">
        <f t="shared" si="29"/>
        <v>79155000</v>
      </c>
      <c r="J134" s="119">
        <f t="shared" si="30"/>
        <v>13095007.789859602</v>
      </c>
      <c r="K134" s="120">
        <f t="shared" si="31"/>
        <v>0.18993313447816793</v>
      </c>
      <c r="L134" s="122"/>
      <c r="M134" s="122">
        <v>74408000</v>
      </c>
      <c r="N134" s="122">
        <v>79910000</v>
      </c>
      <c r="O134" s="122">
        <v>84905000</v>
      </c>
      <c r="P134" s="122">
        <v>82237000</v>
      </c>
      <c r="Q134" s="122">
        <v>76890000</v>
      </c>
      <c r="R134" s="47">
        <v>85181000</v>
      </c>
      <c r="S134" s="47">
        <v>71217000</v>
      </c>
      <c r="T134" s="47">
        <v>65657000</v>
      </c>
      <c r="U134" s="47">
        <v>62412000</v>
      </c>
      <c r="V134" s="47">
        <v>53992000</v>
      </c>
      <c r="W134" s="47">
        <v>53226000</v>
      </c>
      <c r="X134" s="47">
        <v>47157000</v>
      </c>
      <c r="Y134" s="47">
        <v>52435000</v>
      </c>
      <c r="Z134" s="47">
        <v>75608000</v>
      </c>
      <c r="AB134" s="3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 outlineLevel="1" x14ac:dyDescent="0.25">
      <c r="A135" s="29">
        <v>1</v>
      </c>
      <c r="C135" s="24" t="str">
        <f>IF(SUBTOTAL(109,A135)=A135,"    Non-Current Liabilities","    Total Non-Current Liabilities")</f>
        <v xml:space="preserve">    Non-Current Liabilities</v>
      </c>
      <c r="D135" s="32" t="str">
        <f t="shared" si="24"/>
        <v/>
      </c>
      <c r="E135" s="32" t="str">
        <f t="shared" si="25"/>
        <v/>
      </c>
      <c r="F135" s="32" t="str">
        <f t="shared" si="26"/>
        <v/>
      </c>
      <c r="G135" s="32" t="str">
        <f t="shared" si="27"/>
        <v/>
      </c>
      <c r="H135" s="32" t="str">
        <f t="shared" si="28"/>
        <v/>
      </c>
      <c r="I135" s="32" t="str">
        <f t="shared" si="29"/>
        <v/>
      </c>
      <c r="J135" s="32" t="str">
        <f t="shared" si="30"/>
        <v/>
      </c>
      <c r="K135" s="33" t="str">
        <f t="shared" si="31"/>
        <v/>
      </c>
      <c r="L135" s="37"/>
      <c r="M135" s="37" t="str">
        <f>IF(SUBTOTAL(109,A135)=A135,"",104495000)</f>
        <v/>
      </c>
      <c r="N135" s="37" t="str">
        <f>IF(SUBTOTAL(109,A135)=A135,"",105607000)</f>
        <v/>
      </c>
      <c r="O135" s="37" t="str">
        <f>IF(SUBTOTAL(109,A135)=A135,"",97175000)</f>
        <v/>
      </c>
      <c r="P135" s="37" t="str">
        <f>IF(SUBTOTAL(109,A135)=A135,"",102325000)</f>
        <v/>
      </c>
      <c r="Q135" s="37" t="str">
        <f>IF(SUBTOTAL(109,A135)=A135,"",99392000)</f>
        <v/>
      </c>
      <c r="R135" s="37" t="str">
        <f>IF(SUBTOTAL(109,A135)=A135,"",92434000)</f>
        <v/>
      </c>
      <c r="S135" s="37" t="str">
        <f>IF(SUBTOTAL(109,A135)=A135,"",82798000)</f>
        <v/>
      </c>
      <c r="T135" s="37" t="str">
        <f>IF(SUBTOTAL(109,A135)=A135,"",75820000)</f>
        <v/>
      </c>
      <c r="U135" s="37" t="str">
        <f>IF(SUBTOTAL(109,A135)=A135,"",60758000)</f>
        <v/>
      </c>
      <c r="V135" s="37" t="str">
        <f>IF(SUBTOTAL(109,A135)=A135,"",58430000)</f>
        <v/>
      </c>
      <c r="W135" s="37" t="str">
        <f>IF(SUBTOTAL(109,A135)=A135,"",52386000)</f>
        <v/>
      </c>
      <c r="X135" s="37" t="str">
        <f>IF(SUBTOTAL(109,A135)=A135,"",54582000)</f>
        <v/>
      </c>
      <c r="Y135" s="37" t="str">
        <f>IF(SUBTOTAL(109,A135)=A135,"",61903000)</f>
        <v/>
      </c>
      <c r="Z135" s="37" t="str">
        <f>IF(SUBTOTAL(109,A135)=A135,"",100507000)</f>
        <v/>
      </c>
      <c r="AB135" s="30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 outlineLevel="2" x14ac:dyDescent="0.25">
      <c r="A136" s="29">
        <v>1</v>
      </c>
      <c r="C136" s="24" t="str">
        <f>IF(SUBTOTAL(109,A136)=A136,"        Financial Liabilities, Non-Current","        Financial Liabilities, Non-Current")</f>
        <v xml:space="preserve">        Financial Liabilities, Non-Current</v>
      </c>
      <c r="D136" s="32" t="str">
        <f t="shared" si="24"/>
        <v/>
      </c>
      <c r="E136" s="32" t="str">
        <f t="shared" si="25"/>
        <v/>
      </c>
      <c r="F136" s="32" t="str">
        <f t="shared" si="26"/>
        <v/>
      </c>
      <c r="G136" s="32" t="str">
        <f t="shared" si="27"/>
        <v/>
      </c>
      <c r="H136" s="32" t="str">
        <f t="shared" si="28"/>
        <v/>
      </c>
      <c r="I136" s="32" t="str">
        <f t="shared" si="29"/>
        <v/>
      </c>
      <c r="J136" s="32" t="str">
        <f t="shared" si="30"/>
        <v/>
      </c>
      <c r="K136" s="33" t="str">
        <f t="shared" si="31"/>
        <v/>
      </c>
      <c r="L136" s="37"/>
      <c r="M136" s="37" t="str">
        <f>IF(SUBTOTAL(109,A136)=A136,"",76671000)</f>
        <v/>
      </c>
      <c r="N136" s="37" t="str">
        <f>IF(SUBTOTAL(109,A136)=A136,"",73950000)</f>
        <v/>
      </c>
      <c r="O136" s="37" t="str">
        <f>IF(SUBTOTAL(109,A136)=A136,"",66934000)</f>
        <v/>
      </c>
      <c r="P136" s="37" t="str">
        <f>IF(SUBTOTAL(109,A136)=A136,"",73060000)</f>
        <v/>
      </c>
      <c r="Q136" s="37" t="str">
        <f>IF(SUBTOTAL(109,A136)=A136,"",67254000)</f>
        <v/>
      </c>
      <c r="R136" s="37" t="str">
        <f>IF(SUBTOTAL(109,A136)=A136,"",51326000)</f>
        <v/>
      </c>
      <c r="S136" s="37" t="str">
        <f>IF(SUBTOTAL(109,A136)=A136,"",43549000)</f>
        <v/>
      </c>
      <c r="T136" s="37" t="str">
        <f>IF(SUBTOTAL(109,A136)=A136,"",31721000)</f>
        <v/>
      </c>
      <c r="U136" s="37" t="str">
        <f>IF(SUBTOTAL(109,A136)=A136,"",22025000)</f>
        <v/>
      </c>
      <c r="V136" s="37" t="str">
        <f>IF(SUBTOTAL(109,A136)=A136,"",10532000)</f>
        <v/>
      </c>
      <c r="W136" s="37" t="str">
        <f>IF(SUBTOTAL(109,A136)=A136,"",7367000)</f>
        <v/>
      </c>
      <c r="X136" s="37" t="str">
        <f>IF(SUBTOTAL(109,A136)=A136,"",9142000)</f>
        <v/>
      </c>
      <c r="Y136" s="37" t="str">
        <f>IF(SUBTOTAL(109,A136)=A136,"",5562000)</f>
        <v/>
      </c>
      <c r="Z136" s="37" t="str">
        <f>IF(SUBTOTAL(109,A136)=A136,"",29018000)</f>
        <v/>
      </c>
      <c r="AB136" s="30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 outlineLevel="3" collapsed="1" x14ac:dyDescent="0.25">
      <c r="A137" s="29">
        <v>1</v>
      </c>
      <c r="C137" s="24" t="str">
        <f>IF(SUBTOTAL(109,A137)=A137,"            Long Term Debt and Capital Lease Obligation","            Long Term Debt and Capital Lease Obligation")</f>
        <v xml:space="preserve">            Long Term Debt and Capital Lease Obligation</v>
      </c>
      <c r="D137" s="32" t="str">
        <f t="shared" si="24"/>
        <v/>
      </c>
      <c r="E137" s="32" t="str">
        <f t="shared" si="25"/>
        <v/>
      </c>
      <c r="F137" s="32" t="str">
        <f t="shared" si="26"/>
        <v/>
      </c>
      <c r="G137" s="32" t="str">
        <f t="shared" si="27"/>
        <v/>
      </c>
      <c r="H137" s="32" t="str">
        <f t="shared" si="28"/>
        <v/>
      </c>
      <c r="I137" s="32" t="str">
        <f t="shared" si="29"/>
        <v/>
      </c>
      <c r="J137" s="32" t="str">
        <f t="shared" si="30"/>
        <v/>
      </c>
      <c r="K137" s="33" t="str">
        <f t="shared" si="31"/>
        <v/>
      </c>
      <c r="L137" s="37"/>
      <c r="M137" s="37" t="str">
        <f>IF(SUBTOTAL(109,A137)=A137,"",76671000)</f>
        <v/>
      </c>
      <c r="N137" s="37" t="str">
        <f>IF(SUBTOTAL(109,A137)=A137,"",73950000)</f>
        <v/>
      </c>
      <c r="O137" s="37" t="str">
        <f>IF(SUBTOTAL(109,A137)=A137,"",66934000)</f>
        <v/>
      </c>
      <c r="P137" s="37" t="str">
        <f>IF(SUBTOTAL(109,A137)=A137,"",73060000)</f>
        <v/>
      </c>
      <c r="Q137" s="37" t="str">
        <f>IF(SUBTOTAL(109,A137)=A137,"",67254000)</f>
        <v/>
      </c>
      <c r="R137" s="37" t="str">
        <f>IF(SUBTOTAL(109,A137)=A137,"",51326000)</f>
        <v/>
      </c>
      <c r="S137" s="37" t="str">
        <f>IF(SUBTOTAL(109,A137)=A137,"",43549000)</f>
        <v/>
      </c>
      <c r="T137" s="37" t="str">
        <f>IF(SUBTOTAL(109,A137)=A137,"",31721000)</f>
        <v/>
      </c>
      <c r="U137" s="37" t="str">
        <f>IF(SUBTOTAL(109,A137)=A137,"",22025000)</f>
        <v/>
      </c>
      <c r="V137" s="37" t="str">
        <f>IF(SUBTOTAL(109,A137)=A137,"",10532000)</f>
        <v/>
      </c>
      <c r="W137" s="37" t="str">
        <f>IF(SUBTOTAL(109,A137)=A137,"",7367000)</f>
        <v/>
      </c>
      <c r="X137" s="37" t="str">
        <f>IF(SUBTOTAL(109,A137)=A137,"",9142000)</f>
        <v/>
      </c>
      <c r="Y137" s="37" t="str">
        <f>IF(SUBTOTAL(109,A137)=A137,"",5562000)</f>
        <v/>
      </c>
      <c r="Z137" s="37" t="str">
        <f>IF(SUBTOTAL(109,A137)=A137,"",29018000)</f>
        <v/>
      </c>
      <c r="AB137" s="30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 hidden="1" outlineLevel="4" collapsed="1" x14ac:dyDescent="0.25">
      <c r="A138" s="29">
        <v>1</v>
      </c>
      <c r="C138" s="24" t="str">
        <f>IF(SUBTOTAL(109,A138)=A138,"                Long Term Debt","                Long Term Debt")</f>
        <v xml:space="preserve">                Long Term Debt</v>
      </c>
      <c r="D138" s="32">
        <f t="shared" si="24"/>
        <v>37635000</v>
      </c>
      <c r="E138" s="32">
        <f t="shared" si="25"/>
        <v>40304785.714285716</v>
      </c>
      <c r="F138" s="32">
        <f t="shared" si="26"/>
        <v>5562000</v>
      </c>
      <c r="G138" s="32">
        <f t="shared" si="27"/>
        <v>75659000</v>
      </c>
      <c r="H138" s="32">
        <f t="shared" si="28"/>
        <v>13405250</v>
      </c>
      <c r="I138" s="32">
        <f t="shared" si="29"/>
        <v>66921500</v>
      </c>
      <c r="J138" s="32">
        <f t="shared" si="30"/>
        <v>27240800.434920501</v>
      </c>
      <c r="K138" s="33">
        <f t="shared" si="31"/>
        <v>0.67587012192612184</v>
      </c>
      <c r="L138" s="37"/>
      <c r="M138" s="37">
        <f>IF(SUBTOTAL(109,A138)=A138,"",75659000)</f>
        <v>75659000</v>
      </c>
      <c r="N138" s="37">
        <f>IF(SUBTOTAL(109,A138)=A138,"",72981000)</f>
        <v>72981000</v>
      </c>
      <c r="O138" s="37">
        <f>IF(SUBTOTAL(109,A138)=A138,"",65924000)</f>
        <v>65924000</v>
      </c>
      <c r="P138" s="37">
        <f>IF(SUBTOTAL(109,A138)=A138,"",73060000)</f>
        <v>73060000</v>
      </c>
      <c r="Q138" s="37">
        <f>IF(SUBTOTAL(109,A138)=A138,"",67254000)</f>
        <v>67254000</v>
      </c>
      <c r="R138" s="37">
        <f>IF(SUBTOTAL(109,A138)=A138,"",51326000)</f>
        <v>51326000</v>
      </c>
      <c r="S138" s="37">
        <f>IF(SUBTOTAL(109,A138)=A138,"",43549000)</f>
        <v>43549000</v>
      </c>
      <c r="T138" s="37">
        <f>IF(SUBTOTAL(109,A138)=A138,"",31721000)</f>
        <v>31721000</v>
      </c>
      <c r="U138" s="37">
        <f>IF(SUBTOTAL(109,A138)=A138,"",22025000)</f>
        <v>22025000</v>
      </c>
      <c r="V138" s="37">
        <f>IF(SUBTOTAL(109,A138)=A138,"",10532000)</f>
        <v>10532000</v>
      </c>
      <c r="W138" s="37">
        <f>IF(SUBTOTAL(109,A138)=A138,"",6514000)</f>
        <v>6514000</v>
      </c>
      <c r="X138" s="37">
        <f>IF(SUBTOTAL(109,A138)=A138,"",9142000)</f>
        <v>9142000</v>
      </c>
      <c r="Y138" s="37">
        <f>IF(SUBTOTAL(109,A138)=A138,"",5562000)</f>
        <v>5562000</v>
      </c>
      <c r="Z138" s="37">
        <f>IF(SUBTOTAL(109,A138)=A138,"",29018000)</f>
        <v>29018000</v>
      </c>
      <c r="AB138" s="30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 hidden="1" outlineLevel="5" x14ac:dyDescent="0.25">
      <c r="A139" s="29">
        <v>1</v>
      </c>
      <c r="C139" s="24" t="str">
        <f>"                    Notes Payables, Non-Current"</f>
        <v xml:space="preserve">                    Notes Payables, Non-Current</v>
      </c>
      <c r="D139" s="32">
        <f t="shared" ref="D139:D170" si="32">IF(COUNT(M139:Z139)&gt;0,MEDIAN(M139:Z139),"")</f>
        <v>1141000</v>
      </c>
      <c r="E139" s="32">
        <f t="shared" ref="E139:E170" si="33">IF(COUNT(M139:Z139)&gt;0,AVERAGE(M139:Z139),"")</f>
        <v>2423000</v>
      </c>
      <c r="F139" s="32">
        <f t="shared" ref="F139:F170" si="34">IF(COUNT(M139:Z139)&gt;0,MIN(M139:Z139),"")</f>
        <v>0</v>
      </c>
      <c r="G139" s="32">
        <f t="shared" ref="G139:G170" si="35">IF(COUNT(M139:Z139)&gt;0,MAX(M139:Z139),"")</f>
        <v>6128000</v>
      </c>
      <c r="H139" s="32">
        <f t="shared" ref="H139:H170" si="36">IF(COUNT(M139:Z139)&gt;0,QUARTILE(M139:Z139,1),"")</f>
        <v>570500</v>
      </c>
      <c r="I139" s="32">
        <f t="shared" ref="I139:I170" si="37">IF(COUNT(M139:Z139)&gt;0,QUARTILE(M139:Z139,3),"")</f>
        <v>3634500</v>
      </c>
      <c r="J139" s="32">
        <f t="shared" ref="J139:J170" si="38">IF(COUNT(M139:Z139)&gt;1,STDEV(M139:Z139),"")</f>
        <v>3258947.5294947601</v>
      </c>
      <c r="K139" s="33">
        <f t="shared" ref="K139:K170" si="39">IF(COUNT(M139:Z139)&gt;1,STDEV(M139:Z139)/AVERAGE(M139:Z139),"")</f>
        <v>1.3450051710667603</v>
      </c>
      <c r="L139" s="37"/>
      <c r="M139" s="37" t="s">
        <v>124</v>
      </c>
      <c r="N139" s="37" t="s">
        <v>124</v>
      </c>
      <c r="O139" s="37" t="s">
        <v>124</v>
      </c>
      <c r="P139" s="37" t="s">
        <v>124</v>
      </c>
      <c r="Q139" s="37" t="s">
        <v>124</v>
      </c>
      <c r="R139" s="37" t="s">
        <v>124</v>
      </c>
      <c r="S139" s="37" t="s">
        <v>124</v>
      </c>
      <c r="T139" s="37" t="s">
        <v>124</v>
      </c>
      <c r="U139" s="37" t="s">
        <v>124</v>
      </c>
      <c r="V139" s="37" t="s">
        <v>124</v>
      </c>
      <c r="W139" s="37">
        <v>1141000</v>
      </c>
      <c r="X139" s="37">
        <v>6128000</v>
      </c>
      <c r="Y139" s="37">
        <v>0</v>
      </c>
      <c r="Z139" s="37" t="s">
        <v>124</v>
      </c>
      <c r="AB139" s="30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 hidden="1" outlineLevel="5" x14ac:dyDescent="0.25">
      <c r="A140" s="29">
        <v>1</v>
      </c>
      <c r="C140" s="24" t="str">
        <f>"                    Other Loans, Non-Current"</f>
        <v xml:space="preserve">                    Other Loans, Non-Current</v>
      </c>
      <c r="D140" s="32">
        <f t="shared" si="32"/>
        <v>43549000</v>
      </c>
      <c r="E140" s="32">
        <f t="shared" si="33"/>
        <v>40613846.153846152</v>
      </c>
      <c r="F140" s="32">
        <f t="shared" si="34"/>
        <v>3014000</v>
      </c>
      <c r="G140" s="32">
        <f t="shared" si="35"/>
        <v>75659000</v>
      </c>
      <c r="H140" s="32">
        <f t="shared" si="36"/>
        <v>10532000</v>
      </c>
      <c r="I140" s="32">
        <f t="shared" si="37"/>
        <v>67254000</v>
      </c>
      <c r="J140" s="32">
        <f t="shared" si="38"/>
        <v>28890682.433517542</v>
      </c>
      <c r="K140" s="33">
        <f t="shared" si="39"/>
        <v>0.7113505656193948</v>
      </c>
      <c r="L140" s="37"/>
      <c r="M140" s="37">
        <v>75659000</v>
      </c>
      <c r="N140" s="37">
        <v>72981000</v>
      </c>
      <c r="O140" s="37">
        <v>65924000</v>
      </c>
      <c r="P140" s="37">
        <v>73060000</v>
      </c>
      <c r="Q140" s="37">
        <v>67254000</v>
      </c>
      <c r="R140" s="37">
        <v>51326000</v>
      </c>
      <c r="S140" s="37">
        <v>43549000</v>
      </c>
      <c r="T140" s="37">
        <v>31721000</v>
      </c>
      <c r="U140" s="37">
        <v>22025000</v>
      </c>
      <c r="V140" s="37">
        <v>10532000</v>
      </c>
      <c r="W140" s="37">
        <v>5373000</v>
      </c>
      <c r="X140" s="37">
        <v>3014000</v>
      </c>
      <c r="Y140" s="37">
        <v>5562000</v>
      </c>
      <c r="Z140" s="37" t="s">
        <v>124</v>
      </c>
      <c r="AB140" s="3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 hidden="1" outlineLevel="5" x14ac:dyDescent="0.25">
      <c r="A141" s="29">
        <v>1</v>
      </c>
      <c r="C141" s="25" t="str">
        <f>"                    Total Long Term Debt"</f>
        <v xml:space="preserve">                    Total Long Term Debt</v>
      </c>
      <c r="D141" s="45">
        <f t="shared" si="32"/>
        <v>37635000</v>
      </c>
      <c r="E141" s="45">
        <f t="shared" si="33"/>
        <v>40304785.714285716</v>
      </c>
      <c r="F141" s="45">
        <f t="shared" si="34"/>
        <v>5562000</v>
      </c>
      <c r="G141" s="45">
        <f t="shared" si="35"/>
        <v>75659000</v>
      </c>
      <c r="H141" s="45">
        <f t="shared" si="36"/>
        <v>13405250</v>
      </c>
      <c r="I141" s="45">
        <f t="shared" si="37"/>
        <v>66921500</v>
      </c>
      <c r="J141" s="45">
        <f t="shared" si="38"/>
        <v>27240800.434920501</v>
      </c>
      <c r="K141" s="46">
        <f t="shared" si="39"/>
        <v>0.67587012192612184</v>
      </c>
      <c r="L141" s="47"/>
      <c r="M141" s="47">
        <v>75659000</v>
      </c>
      <c r="N141" s="47">
        <v>72981000</v>
      </c>
      <c r="O141" s="47">
        <v>65924000</v>
      </c>
      <c r="P141" s="47">
        <v>73060000</v>
      </c>
      <c r="Q141" s="47">
        <v>67254000</v>
      </c>
      <c r="R141" s="47">
        <v>51326000</v>
      </c>
      <c r="S141" s="47">
        <v>43549000</v>
      </c>
      <c r="T141" s="47">
        <v>31721000</v>
      </c>
      <c r="U141" s="47">
        <v>22025000</v>
      </c>
      <c r="V141" s="47">
        <v>10532000</v>
      </c>
      <c r="W141" s="47">
        <v>6514000</v>
      </c>
      <c r="X141" s="47">
        <v>9142000</v>
      </c>
      <c r="Y141" s="47">
        <v>5562000</v>
      </c>
      <c r="Z141" s="47">
        <v>29018000</v>
      </c>
      <c r="AB141" s="30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 hidden="1" outlineLevel="4" x14ac:dyDescent="0.25">
      <c r="A142" s="29">
        <v>1</v>
      </c>
      <c r="C142" s="24" t="str">
        <f>"                Capital Lease Obligations, Non-Current"</f>
        <v xml:space="preserve">                Capital Lease Obligations, Non-Current</v>
      </c>
      <c r="D142" s="32">
        <f t="shared" si="32"/>
        <v>969000</v>
      </c>
      <c r="E142" s="32">
        <f t="shared" si="33"/>
        <v>768800</v>
      </c>
      <c r="F142" s="32">
        <f t="shared" si="34"/>
        <v>0</v>
      </c>
      <c r="G142" s="32">
        <f t="shared" si="35"/>
        <v>1012000</v>
      </c>
      <c r="H142" s="32">
        <f t="shared" si="36"/>
        <v>853000</v>
      </c>
      <c r="I142" s="32">
        <f t="shared" si="37"/>
        <v>1010000</v>
      </c>
      <c r="J142" s="32">
        <f t="shared" si="38"/>
        <v>434610.97547116777</v>
      </c>
      <c r="K142" s="33">
        <f t="shared" si="39"/>
        <v>0.56531084218414118</v>
      </c>
      <c r="L142" s="37"/>
      <c r="M142" s="37">
        <v>1012000</v>
      </c>
      <c r="N142" s="37">
        <v>969000</v>
      </c>
      <c r="O142" s="37">
        <v>1010000</v>
      </c>
      <c r="P142" s="37">
        <v>0</v>
      </c>
      <c r="Q142" s="37" t="s">
        <v>124</v>
      </c>
      <c r="R142" s="37" t="s">
        <v>124</v>
      </c>
      <c r="S142" s="37" t="s">
        <v>124</v>
      </c>
      <c r="T142" s="37" t="s">
        <v>124</v>
      </c>
      <c r="U142" s="37" t="s">
        <v>124</v>
      </c>
      <c r="V142" s="37" t="s">
        <v>124</v>
      </c>
      <c r="W142" s="37">
        <v>853000</v>
      </c>
      <c r="X142" s="37" t="s">
        <v>124</v>
      </c>
      <c r="Y142" s="37" t="s">
        <v>124</v>
      </c>
      <c r="Z142" s="37" t="s">
        <v>124</v>
      </c>
      <c r="AB142" s="30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 hidden="1" outlineLevel="4" x14ac:dyDescent="0.25">
      <c r="A143" s="29">
        <v>1</v>
      </c>
      <c r="C143" s="25" t="str">
        <f>"                Total Long Term Debt and Capital Lease Obligation"</f>
        <v xml:space="preserve">                Total Long Term Debt and Capital Lease Obligation</v>
      </c>
      <c r="D143" s="45">
        <f t="shared" si="32"/>
        <v>37635000</v>
      </c>
      <c r="E143" s="45">
        <f t="shared" si="33"/>
        <v>40579357.142857142</v>
      </c>
      <c r="F143" s="45">
        <f t="shared" si="34"/>
        <v>5562000</v>
      </c>
      <c r="G143" s="45">
        <f t="shared" si="35"/>
        <v>76671000</v>
      </c>
      <c r="H143" s="45">
        <f t="shared" si="36"/>
        <v>13405250</v>
      </c>
      <c r="I143" s="45">
        <f t="shared" si="37"/>
        <v>67174000</v>
      </c>
      <c r="J143" s="45">
        <f t="shared" si="38"/>
        <v>27426037.930312589</v>
      </c>
      <c r="K143" s="46">
        <f t="shared" si="39"/>
        <v>0.6758618140194016</v>
      </c>
      <c r="L143" s="47"/>
      <c r="M143" s="47">
        <v>76671000</v>
      </c>
      <c r="N143" s="47">
        <v>73950000</v>
      </c>
      <c r="O143" s="47">
        <v>66934000</v>
      </c>
      <c r="P143" s="47">
        <v>73060000</v>
      </c>
      <c r="Q143" s="47">
        <v>67254000</v>
      </c>
      <c r="R143" s="47">
        <v>51326000</v>
      </c>
      <c r="S143" s="47">
        <v>43549000</v>
      </c>
      <c r="T143" s="47">
        <v>31721000</v>
      </c>
      <c r="U143" s="47">
        <v>22025000</v>
      </c>
      <c r="V143" s="47">
        <v>10532000</v>
      </c>
      <c r="W143" s="47">
        <v>7367000</v>
      </c>
      <c r="X143" s="47">
        <v>9142000</v>
      </c>
      <c r="Y143" s="47">
        <v>5562000</v>
      </c>
      <c r="Z143" s="47">
        <v>29018000</v>
      </c>
      <c r="AB143" s="30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 outlineLevel="3" x14ac:dyDescent="0.25">
      <c r="A144" s="29">
        <v>1</v>
      </c>
      <c r="C144" s="25" t="str">
        <f>"            Total Financial Liabilities, Non-Current"</f>
        <v xml:space="preserve">            Total Financial Liabilities, Non-Current</v>
      </c>
      <c r="D144" s="45">
        <f t="shared" si="32"/>
        <v>37635000</v>
      </c>
      <c r="E144" s="45">
        <f t="shared" si="33"/>
        <v>40579357.142857142</v>
      </c>
      <c r="F144" s="45">
        <f t="shared" si="34"/>
        <v>5562000</v>
      </c>
      <c r="G144" s="45">
        <f t="shared" si="35"/>
        <v>76671000</v>
      </c>
      <c r="H144" s="45">
        <f t="shared" si="36"/>
        <v>13405250</v>
      </c>
      <c r="I144" s="45">
        <f t="shared" si="37"/>
        <v>67174000</v>
      </c>
      <c r="J144" s="45">
        <f t="shared" si="38"/>
        <v>27426037.930312589</v>
      </c>
      <c r="K144" s="46">
        <f t="shared" si="39"/>
        <v>0.6758618140194016</v>
      </c>
      <c r="L144" s="47"/>
      <c r="M144" s="47">
        <v>76671000</v>
      </c>
      <c r="N144" s="47">
        <v>73950000</v>
      </c>
      <c r="O144" s="47">
        <v>66934000</v>
      </c>
      <c r="P144" s="47">
        <v>73060000</v>
      </c>
      <c r="Q144" s="47">
        <v>67254000</v>
      </c>
      <c r="R144" s="47">
        <v>51326000</v>
      </c>
      <c r="S144" s="47">
        <v>43549000</v>
      </c>
      <c r="T144" s="47">
        <v>31721000</v>
      </c>
      <c r="U144" s="47">
        <v>22025000</v>
      </c>
      <c r="V144" s="47">
        <v>10532000</v>
      </c>
      <c r="W144" s="47">
        <v>7367000</v>
      </c>
      <c r="X144" s="47">
        <v>9142000</v>
      </c>
      <c r="Y144" s="47">
        <v>5562000</v>
      </c>
      <c r="Z144" s="47">
        <v>29018000</v>
      </c>
      <c r="AB144" s="30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 outlineLevel="2" x14ac:dyDescent="0.25">
      <c r="A145" s="29">
        <v>1</v>
      </c>
      <c r="C145" s="24" t="str">
        <f>IF(SUBTOTAL(109,A145)=A145,"        Provisions, Non-Current","        Provisions, Non-Current")</f>
        <v xml:space="preserve">        Provisions, Non-Current</v>
      </c>
      <c r="D145" s="32" t="str">
        <f t="shared" si="32"/>
        <v/>
      </c>
      <c r="E145" s="32" t="str">
        <f t="shared" si="33"/>
        <v/>
      </c>
      <c r="F145" s="32" t="str">
        <f t="shared" si="34"/>
        <v/>
      </c>
      <c r="G145" s="32" t="str">
        <f t="shared" si="35"/>
        <v/>
      </c>
      <c r="H145" s="32" t="str">
        <f t="shared" si="36"/>
        <v/>
      </c>
      <c r="I145" s="32" t="str">
        <f t="shared" si="37"/>
        <v/>
      </c>
      <c r="J145" s="32" t="str">
        <f t="shared" si="38"/>
        <v/>
      </c>
      <c r="K145" s="33" t="str">
        <f t="shared" si="39"/>
        <v/>
      </c>
      <c r="L145" s="37"/>
      <c r="M145" s="37" t="str">
        <f>IF(SUBTOTAL(109,A145)=A145,"",15148000)</f>
        <v/>
      </c>
      <c r="N145" s="37" t="str">
        <f>IF(SUBTOTAL(109,A145)=A145,"",20740000)</f>
        <v/>
      </c>
      <c r="O145" s="37" t="str">
        <f>IF(SUBTOTAL(109,A145)=A145,"",19442000)</f>
        <v/>
      </c>
      <c r="P145" s="37" t="str">
        <f>IF(SUBTOTAL(109,A145)=A145,"",18441000)</f>
        <v/>
      </c>
      <c r="Q145" s="37" t="str">
        <f>IF(SUBTOTAL(109,A145)=A145,"",20998000)</f>
        <v/>
      </c>
      <c r="R145" s="37" t="str">
        <f>IF(SUBTOTAL(109,A145)=A145,"",22723000)</f>
        <v/>
      </c>
      <c r="S145" s="37" t="str">
        <f>IF(SUBTOTAL(109,A145)=A145,"",28325000)</f>
        <v/>
      </c>
      <c r="T145" s="37" t="str">
        <f>IF(SUBTOTAL(109,A145)=A145,"",32325000)</f>
        <v/>
      </c>
      <c r="U145" s="37" t="str">
        <f>IF(SUBTOTAL(109,A145)=A145,"",27788000)</f>
        <v/>
      </c>
      <c r="V145" s="37" t="str">
        <f>IF(SUBTOTAL(109,A145)=A145,"",37606000)</f>
        <v/>
      </c>
      <c r="W145" s="37" t="str">
        <f>IF(SUBTOTAL(109,A145)=A145,"",34965000)</f>
        <v/>
      </c>
      <c r="X145" s="37" t="str">
        <f>IF(SUBTOTAL(109,A145)=A145,"",31188000)</f>
        <v/>
      </c>
      <c r="Y145" s="37" t="str">
        <f>IF(SUBTOTAL(109,A145)=A145,"",35794000)</f>
        <v/>
      </c>
      <c r="Z145" s="37" t="str">
        <f>IF(SUBTOTAL(109,A145)=A145,"",54097000)</f>
        <v/>
      </c>
      <c r="AB145" s="30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 outlineLevel="3" collapsed="1" x14ac:dyDescent="0.25">
      <c r="A146" s="29">
        <v>1</v>
      </c>
      <c r="C146" s="24" t="str">
        <f>IF(SUBTOTAL(109,A146)=A146,"            Provision for Employee Entitlements, Non-Current","            Provision for Employee Entitlements, Non-Current")</f>
        <v xml:space="preserve">            Provision for Employee Entitlements, Non-Current</v>
      </c>
      <c r="D146" s="32" t="str">
        <f t="shared" si="32"/>
        <v/>
      </c>
      <c r="E146" s="32" t="str">
        <f t="shared" si="33"/>
        <v/>
      </c>
      <c r="F146" s="32" t="str">
        <f t="shared" si="34"/>
        <v/>
      </c>
      <c r="G146" s="32" t="str">
        <f t="shared" si="35"/>
        <v/>
      </c>
      <c r="H146" s="32" t="str">
        <f t="shared" si="36"/>
        <v/>
      </c>
      <c r="I146" s="32" t="str">
        <f t="shared" si="37"/>
        <v/>
      </c>
      <c r="J146" s="32" t="str">
        <f t="shared" si="38"/>
        <v/>
      </c>
      <c r="K146" s="33" t="str">
        <f t="shared" si="39"/>
        <v/>
      </c>
      <c r="L146" s="37"/>
      <c r="M146" s="37" t="str">
        <f>IF(SUBTOTAL(109,A146)=A146,"",15148000)</f>
        <v/>
      </c>
      <c r="N146" s="37" t="str">
        <f>IF(SUBTOTAL(109,A146)=A146,"",20740000)</f>
        <v/>
      </c>
      <c r="O146" s="37" t="str">
        <f>IF(SUBTOTAL(109,A146)=A146,"",19442000)</f>
        <v/>
      </c>
      <c r="P146" s="37" t="str">
        <f>IF(SUBTOTAL(109,A146)=A146,"",18441000)</f>
        <v/>
      </c>
      <c r="Q146" s="37" t="str">
        <f>IF(SUBTOTAL(109,A146)=A146,"",20998000)</f>
        <v/>
      </c>
      <c r="R146" s="37" t="str">
        <f>IF(SUBTOTAL(109,A146)=A146,"",22723000)</f>
        <v/>
      </c>
      <c r="S146" s="37" t="str">
        <f>IF(SUBTOTAL(109,A146)=A146,"",28325000)</f>
        <v/>
      </c>
      <c r="T146" s="37" t="str">
        <f>IF(SUBTOTAL(109,A146)=A146,"",32325000)</f>
        <v/>
      </c>
      <c r="U146" s="37" t="str">
        <f>IF(SUBTOTAL(109,A146)=A146,"",27788000)</f>
        <v/>
      </c>
      <c r="V146" s="37" t="str">
        <f>IF(SUBTOTAL(109,A146)=A146,"",37606000)</f>
        <v/>
      </c>
      <c r="W146" s="37" t="str">
        <f>IF(SUBTOTAL(109,A146)=A146,"",34965000)</f>
        <v/>
      </c>
      <c r="X146" s="37" t="str">
        <f>IF(SUBTOTAL(109,A146)=A146,"",31188000)</f>
        <v/>
      </c>
      <c r="Y146" s="37" t="str">
        <f>IF(SUBTOTAL(109,A146)=A146,"",35794000)</f>
        <v/>
      </c>
      <c r="Z146" s="37" t="str">
        <f>IF(SUBTOTAL(109,A146)=A146,"",54097000)</f>
        <v/>
      </c>
      <c r="AB146" s="30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 hidden="1" outlineLevel="4" x14ac:dyDescent="0.25">
      <c r="A147" s="29">
        <v>1</v>
      </c>
      <c r="C147" s="24" t="str">
        <f>"                Pension and Other Post-Retirement Benefit Plans, Non-Current"</f>
        <v xml:space="preserve">                Pension and Other Post-Retirement Benefit Plans, Non-Current</v>
      </c>
      <c r="D147" s="32">
        <f t="shared" si="32"/>
        <v>27012500</v>
      </c>
      <c r="E147" s="32">
        <f t="shared" si="33"/>
        <v>27808500</v>
      </c>
      <c r="F147" s="32">
        <f t="shared" si="34"/>
        <v>14526000</v>
      </c>
      <c r="G147" s="32">
        <f t="shared" si="35"/>
        <v>54097000</v>
      </c>
      <c r="H147" s="32">
        <f t="shared" si="36"/>
        <v>20018000</v>
      </c>
      <c r="I147" s="32">
        <f t="shared" si="37"/>
        <v>33007750</v>
      </c>
      <c r="J147" s="32">
        <f t="shared" si="38"/>
        <v>10369629.017546311</v>
      </c>
      <c r="K147" s="33">
        <f t="shared" si="39"/>
        <v>0.37289422362034308</v>
      </c>
      <c r="L147" s="37"/>
      <c r="M147" s="37">
        <v>14526000</v>
      </c>
      <c r="N147" s="37">
        <v>19918000</v>
      </c>
      <c r="O147" s="37">
        <v>18738000</v>
      </c>
      <c r="P147" s="37">
        <v>17783000</v>
      </c>
      <c r="Q147" s="37">
        <v>20318000</v>
      </c>
      <c r="R147" s="37">
        <v>21824000</v>
      </c>
      <c r="S147" s="37">
        <v>27429000</v>
      </c>
      <c r="T147" s="37">
        <v>31276000</v>
      </c>
      <c r="U147" s="37">
        <v>26596000</v>
      </c>
      <c r="V147" s="37">
        <v>36247000</v>
      </c>
      <c r="W147" s="37">
        <v>33585000</v>
      </c>
      <c r="X147" s="37">
        <v>31188000</v>
      </c>
      <c r="Y147" s="37">
        <v>35794000</v>
      </c>
      <c r="Z147" s="37">
        <v>54097000</v>
      </c>
      <c r="AB147" s="30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 hidden="1" outlineLevel="4" x14ac:dyDescent="0.25">
      <c r="A148" s="29">
        <v>1</v>
      </c>
      <c r="C148" s="24" t="str">
        <f>"                Other Employee-Related Liabilities, Non-Current"</f>
        <v xml:space="preserve">                Other Employee-Related Liabilities, Non-Current</v>
      </c>
      <c r="D148" s="32">
        <f t="shared" si="32"/>
        <v>896000</v>
      </c>
      <c r="E148" s="32">
        <f t="shared" si="33"/>
        <v>932818.18181818177</v>
      </c>
      <c r="F148" s="32">
        <f t="shared" si="34"/>
        <v>622000</v>
      </c>
      <c r="G148" s="32">
        <f t="shared" si="35"/>
        <v>1380000</v>
      </c>
      <c r="H148" s="32">
        <f t="shared" si="36"/>
        <v>692000</v>
      </c>
      <c r="I148" s="32">
        <f t="shared" si="37"/>
        <v>1120500</v>
      </c>
      <c r="J148" s="32">
        <f t="shared" si="38"/>
        <v>276670.13506405725</v>
      </c>
      <c r="K148" s="33">
        <f t="shared" si="39"/>
        <v>0.2965959931492671</v>
      </c>
      <c r="L148" s="37"/>
      <c r="M148" s="37">
        <v>622000</v>
      </c>
      <c r="N148" s="37">
        <v>822000</v>
      </c>
      <c r="O148" s="37">
        <v>704000</v>
      </c>
      <c r="P148" s="37">
        <v>658000</v>
      </c>
      <c r="Q148" s="37">
        <v>680000</v>
      </c>
      <c r="R148" s="37">
        <v>899000</v>
      </c>
      <c r="S148" s="37">
        <v>896000</v>
      </c>
      <c r="T148" s="37">
        <v>1049000</v>
      </c>
      <c r="U148" s="37">
        <v>1192000</v>
      </c>
      <c r="V148" s="37">
        <v>1359000</v>
      </c>
      <c r="W148" s="37">
        <v>1380000</v>
      </c>
      <c r="X148" s="37" t="s">
        <v>124</v>
      </c>
      <c r="Y148" s="37" t="s">
        <v>124</v>
      </c>
      <c r="Z148" s="37" t="s">
        <v>124</v>
      </c>
      <c r="AB148" s="30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 hidden="1" outlineLevel="4" x14ac:dyDescent="0.25">
      <c r="A149" s="29">
        <v>1</v>
      </c>
      <c r="C149" s="25" t="str">
        <f>"                Total Provision for Employee Entitlements, Non-Current"</f>
        <v xml:space="preserve">                Total Provision for Employee Entitlements, Non-Current</v>
      </c>
      <c r="D149" s="45">
        <f t="shared" si="32"/>
        <v>28056500</v>
      </c>
      <c r="E149" s="45">
        <f t="shared" si="33"/>
        <v>28541428.571428571</v>
      </c>
      <c r="F149" s="45">
        <f t="shared" si="34"/>
        <v>15148000</v>
      </c>
      <c r="G149" s="45">
        <f t="shared" si="35"/>
        <v>54097000</v>
      </c>
      <c r="H149" s="45">
        <f t="shared" si="36"/>
        <v>20804500</v>
      </c>
      <c r="I149" s="45">
        <f t="shared" si="37"/>
        <v>34305000</v>
      </c>
      <c r="J149" s="45">
        <f t="shared" si="38"/>
        <v>10253974.454322098</v>
      </c>
      <c r="K149" s="46">
        <f t="shared" si="39"/>
        <v>0.35926633555360471</v>
      </c>
      <c r="L149" s="47"/>
      <c r="M149" s="47">
        <v>15148000</v>
      </c>
      <c r="N149" s="47">
        <v>20740000</v>
      </c>
      <c r="O149" s="47">
        <v>19442000</v>
      </c>
      <c r="P149" s="47">
        <v>18441000</v>
      </c>
      <c r="Q149" s="47">
        <v>20998000</v>
      </c>
      <c r="R149" s="47">
        <v>22723000</v>
      </c>
      <c r="S149" s="47">
        <v>28325000</v>
      </c>
      <c r="T149" s="47">
        <v>32325000</v>
      </c>
      <c r="U149" s="47">
        <v>27788000</v>
      </c>
      <c r="V149" s="47">
        <v>37606000</v>
      </c>
      <c r="W149" s="47">
        <v>34965000</v>
      </c>
      <c r="X149" s="47">
        <v>31188000</v>
      </c>
      <c r="Y149" s="47">
        <v>35794000</v>
      </c>
      <c r="Z149" s="47">
        <v>54097000</v>
      </c>
      <c r="AB149" s="30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 outlineLevel="3" x14ac:dyDescent="0.25">
      <c r="A150" s="29">
        <v>1</v>
      </c>
      <c r="C150" s="25" t="str">
        <f>"            Total Provisions, Non-Current"</f>
        <v xml:space="preserve">            Total Provisions, Non-Current</v>
      </c>
      <c r="D150" s="45">
        <f t="shared" si="32"/>
        <v>28056500</v>
      </c>
      <c r="E150" s="45">
        <f t="shared" si="33"/>
        <v>28541428.571428571</v>
      </c>
      <c r="F150" s="45">
        <f t="shared" si="34"/>
        <v>15148000</v>
      </c>
      <c r="G150" s="45">
        <f t="shared" si="35"/>
        <v>54097000</v>
      </c>
      <c r="H150" s="45">
        <f t="shared" si="36"/>
        <v>20804500</v>
      </c>
      <c r="I150" s="45">
        <f t="shared" si="37"/>
        <v>34305000</v>
      </c>
      <c r="J150" s="45">
        <f t="shared" si="38"/>
        <v>10253974.454322098</v>
      </c>
      <c r="K150" s="46">
        <f t="shared" si="39"/>
        <v>0.35926633555360471</v>
      </c>
      <c r="L150" s="47"/>
      <c r="M150" s="47">
        <v>15148000</v>
      </c>
      <c r="N150" s="47">
        <v>20740000</v>
      </c>
      <c r="O150" s="47">
        <v>19442000</v>
      </c>
      <c r="P150" s="47">
        <v>18441000</v>
      </c>
      <c r="Q150" s="47">
        <v>20998000</v>
      </c>
      <c r="R150" s="47">
        <v>22723000</v>
      </c>
      <c r="S150" s="47">
        <v>28325000</v>
      </c>
      <c r="T150" s="47">
        <v>32325000</v>
      </c>
      <c r="U150" s="47">
        <v>27788000</v>
      </c>
      <c r="V150" s="47">
        <v>37606000</v>
      </c>
      <c r="W150" s="47">
        <v>34965000</v>
      </c>
      <c r="X150" s="47">
        <v>31188000</v>
      </c>
      <c r="Y150" s="47">
        <v>35794000</v>
      </c>
      <c r="Z150" s="47">
        <v>54097000</v>
      </c>
      <c r="AB150" s="30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 outlineLevel="2" x14ac:dyDescent="0.25">
      <c r="A151" s="29">
        <v>1</v>
      </c>
      <c r="C151" s="24" t="str">
        <f>IF(SUBTOTAL(109,A151)=A151,"        Tax Liabilities, Non-Current","        Tax Liabilities, Non-Current")</f>
        <v xml:space="preserve">        Tax Liabilities, Non-Current</v>
      </c>
      <c r="D151" s="32" t="str">
        <f t="shared" si="32"/>
        <v/>
      </c>
      <c r="E151" s="32" t="str">
        <f t="shared" si="33"/>
        <v/>
      </c>
      <c r="F151" s="32" t="str">
        <f t="shared" si="34"/>
        <v/>
      </c>
      <c r="G151" s="32" t="str">
        <f t="shared" si="35"/>
        <v/>
      </c>
      <c r="H151" s="32" t="str">
        <f t="shared" si="36"/>
        <v/>
      </c>
      <c r="I151" s="32" t="str">
        <f t="shared" si="37"/>
        <v/>
      </c>
      <c r="J151" s="32" t="str">
        <f t="shared" si="38"/>
        <v/>
      </c>
      <c r="K151" s="33" t="str">
        <f t="shared" si="39"/>
        <v/>
      </c>
      <c r="L151" s="37"/>
      <c r="M151" s="37" t="str">
        <f>IF(SUBTOTAL(109,A151)=A151,"","")</f>
        <v/>
      </c>
      <c r="N151" s="37" t="str">
        <f>IF(SUBTOTAL(109,A151)=A151,"","")</f>
        <v/>
      </c>
      <c r="O151" s="37" t="str">
        <f>IF(SUBTOTAL(109,A151)=A151,"","")</f>
        <v/>
      </c>
      <c r="P151" s="37" t="str">
        <f>IF(SUBTOTAL(109,A151)=A151,"","")</f>
        <v/>
      </c>
      <c r="Q151" s="37" t="str">
        <f>IF(SUBTOTAL(109,A151)=A151,"","")</f>
        <v/>
      </c>
      <c r="R151" s="37" t="str">
        <f>IF(SUBTOTAL(109,A151)=A151,"","")</f>
        <v/>
      </c>
      <c r="S151" s="37" t="str">
        <f>IF(SUBTOTAL(109,A151)=A151,"","")</f>
        <v/>
      </c>
      <c r="T151" s="37" t="str">
        <f>IF(SUBTOTAL(109,A151)=A151,"","")</f>
        <v/>
      </c>
      <c r="U151" s="37" t="str">
        <f>IF(SUBTOTAL(109,A151)=A151,"","")</f>
        <v/>
      </c>
      <c r="V151" s="37" t="str">
        <f>IF(SUBTOTAL(109,A151)=A151,"","")</f>
        <v/>
      </c>
      <c r="W151" s="37" t="str">
        <f>IF(SUBTOTAL(109,A151)=A151,"","")</f>
        <v/>
      </c>
      <c r="X151" s="37" t="str">
        <f>IF(SUBTOTAL(109,A151)=A151,"",13021000)</f>
        <v/>
      </c>
      <c r="Y151" s="37" t="str">
        <f>IF(SUBTOTAL(109,A151)=A151,"",13279000)</f>
        <v/>
      </c>
      <c r="Z151" s="37" t="str">
        <f>IF(SUBTOTAL(109,A151)=A151,"",17392000)</f>
        <v/>
      </c>
      <c r="AB151" s="30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 outlineLevel="3" x14ac:dyDescent="0.25">
      <c r="A152" s="29">
        <v>1</v>
      </c>
      <c r="C152" s="24" t="str">
        <f>"            Deferred Tax Liabilities, Non-Current"</f>
        <v xml:space="preserve">            Deferred Tax Liabilities, Non-Current</v>
      </c>
      <c r="D152" s="32">
        <f t="shared" si="32"/>
        <v>13279000</v>
      </c>
      <c r="E152" s="32">
        <f t="shared" si="33"/>
        <v>14564000</v>
      </c>
      <c r="F152" s="32">
        <f t="shared" si="34"/>
        <v>13021000</v>
      </c>
      <c r="G152" s="32">
        <f t="shared" si="35"/>
        <v>17392000</v>
      </c>
      <c r="H152" s="32">
        <f t="shared" si="36"/>
        <v>13150000</v>
      </c>
      <c r="I152" s="32">
        <f t="shared" si="37"/>
        <v>15335500</v>
      </c>
      <c r="J152" s="32">
        <f t="shared" si="38"/>
        <v>2452514.8317594328</v>
      </c>
      <c r="K152" s="33">
        <f t="shared" si="39"/>
        <v>0.16839569017848344</v>
      </c>
      <c r="L152" s="37"/>
      <c r="M152" s="37" t="s">
        <v>124</v>
      </c>
      <c r="N152" s="37" t="s">
        <v>124</v>
      </c>
      <c r="O152" s="37" t="s">
        <v>124</v>
      </c>
      <c r="P152" s="37" t="s">
        <v>124</v>
      </c>
      <c r="Q152" s="37" t="s">
        <v>124</v>
      </c>
      <c r="R152" s="37" t="s">
        <v>124</v>
      </c>
      <c r="S152" s="37" t="s">
        <v>124</v>
      </c>
      <c r="T152" s="37" t="s">
        <v>124</v>
      </c>
      <c r="U152" s="37" t="s">
        <v>124</v>
      </c>
      <c r="V152" s="37" t="s">
        <v>124</v>
      </c>
      <c r="W152" s="37" t="s">
        <v>124</v>
      </c>
      <c r="X152" s="37">
        <v>13021000</v>
      </c>
      <c r="Y152" s="37">
        <v>13279000</v>
      </c>
      <c r="Z152" s="37">
        <v>17392000</v>
      </c>
      <c r="AB152" s="30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 outlineLevel="3" x14ac:dyDescent="0.25">
      <c r="A153" s="29">
        <v>1</v>
      </c>
      <c r="C153" s="25" t="str">
        <f>"            Total Tax Liabilities, Non-Current"</f>
        <v xml:space="preserve">            Total Tax Liabilities, Non-Current</v>
      </c>
      <c r="D153" s="45">
        <f t="shared" si="32"/>
        <v>13279000</v>
      </c>
      <c r="E153" s="45">
        <f t="shared" si="33"/>
        <v>14564000</v>
      </c>
      <c r="F153" s="45">
        <f t="shared" si="34"/>
        <v>13021000</v>
      </c>
      <c r="G153" s="45">
        <f t="shared" si="35"/>
        <v>17392000</v>
      </c>
      <c r="H153" s="45">
        <f t="shared" si="36"/>
        <v>13150000</v>
      </c>
      <c r="I153" s="45">
        <f t="shared" si="37"/>
        <v>15335500</v>
      </c>
      <c r="J153" s="45">
        <f t="shared" si="38"/>
        <v>2452514.8317594328</v>
      </c>
      <c r="K153" s="46">
        <f t="shared" si="39"/>
        <v>0.16839569017848344</v>
      </c>
      <c r="L153" s="47"/>
      <c r="M153" s="47" t="s">
        <v>124</v>
      </c>
      <c r="N153" s="47" t="s">
        <v>124</v>
      </c>
      <c r="O153" s="47" t="s">
        <v>124</v>
      </c>
      <c r="P153" s="47" t="s">
        <v>124</v>
      </c>
      <c r="Q153" s="47" t="s">
        <v>124</v>
      </c>
      <c r="R153" s="47" t="s">
        <v>124</v>
      </c>
      <c r="S153" s="47" t="s">
        <v>124</v>
      </c>
      <c r="T153" s="47" t="s">
        <v>124</v>
      </c>
      <c r="U153" s="47" t="s">
        <v>124</v>
      </c>
      <c r="V153" s="47" t="s">
        <v>124</v>
      </c>
      <c r="W153" s="47" t="s">
        <v>124</v>
      </c>
      <c r="X153" s="47">
        <v>13021000</v>
      </c>
      <c r="Y153" s="47">
        <v>13279000</v>
      </c>
      <c r="Z153" s="47">
        <v>17392000</v>
      </c>
      <c r="AB153" s="30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 outlineLevel="2" x14ac:dyDescent="0.25">
      <c r="A154" s="29">
        <v>1</v>
      </c>
      <c r="C154" s="24" t="str">
        <f>IF(SUBTOTAL(109,A154)=A154,"        Deferred Liabilities, Non-Current","        Deferred Liabilities, Non-Current")</f>
        <v xml:space="preserve">        Deferred Liabilities, Non-Current</v>
      </c>
      <c r="D154" s="32" t="str">
        <f t="shared" si="32"/>
        <v/>
      </c>
      <c r="E154" s="32" t="str">
        <f t="shared" si="33"/>
        <v/>
      </c>
      <c r="F154" s="32" t="str">
        <f t="shared" si="34"/>
        <v/>
      </c>
      <c r="G154" s="32" t="str">
        <f t="shared" si="35"/>
        <v/>
      </c>
      <c r="H154" s="32" t="str">
        <f t="shared" si="36"/>
        <v/>
      </c>
      <c r="I154" s="32" t="str">
        <f t="shared" si="37"/>
        <v/>
      </c>
      <c r="J154" s="32" t="str">
        <f t="shared" si="38"/>
        <v/>
      </c>
      <c r="K154" s="33" t="str">
        <f t="shared" si="39"/>
        <v/>
      </c>
      <c r="L154" s="37"/>
      <c r="M154" s="37" t="str">
        <f>IF(SUBTOTAL(109,A154)=A154,"",3010000)</f>
        <v/>
      </c>
      <c r="N154" s="37" t="str">
        <f>IF(SUBTOTAL(109,A154)=A154,"",2715000)</f>
        <v/>
      </c>
      <c r="O154" s="37" t="str">
        <f>IF(SUBTOTAL(109,A154)=A154,"",2962000)</f>
        <v/>
      </c>
      <c r="P154" s="37" t="str">
        <f>IF(SUBTOTAL(109,A154)=A154,"",2959000)</f>
        <v/>
      </c>
      <c r="Q154" s="37" t="str">
        <f>IF(SUBTOTAL(109,A154)=A154,"",2887000)</f>
        <v/>
      </c>
      <c r="R154" s="37" t="str">
        <f>IF(SUBTOTAL(109,A154)=A154,"",2285000)</f>
        <v/>
      </c>
      <c r="S154" s="37" t="str">
        <f>IF(SUBTOTAL(109,A154)=A154,"",2007000)</f>
        <v/>
      </c>
      <c r="T154" s="37" t="str">
        <f>IF(SUBTOTAL(109,A154)=A154,"",1556000)</f>
        <v/>
      </c>
      <c r="U154" s="37" t="str">
        <f>IF(SUBTOTAL(109,A154)=A154,"",1249000)</f>
        <v/>
      </c>
      <c r="V154" s="37" t="str">
        <f>IF(SUBTOTAL(109,A154)=A154,"",1169000)</f>
        <v/>
      </c>
      <c r="W154" s="37" t="str">
        <f>IF(SUBTOTAL(109,A154)=A154,"",1300000)</f>
        <v/>
      </c>
      <c r="X154" s="37" t="str">
        <f>IF(SUBTOTAL(109,A154)=A154,"","")</f>
        <v/>
      </c>
      <c r="Y154" s="37" t="str">
        <f>IF(SUBTOTAL(109,A154)=A154,"","")</f>
        <v/>
      </c>
      <c r="Z154" s="37" t="str">
        <f>IF(SUBTOTAL(109,A154)=A154,"","")</f>
        <v/>
      </c>
      <c r="AB154" s="30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 outlineLevel="3" x14ac:dyDescent="0.25">
      <c r="A155" s="29">
        <v>1</v>
      </c>
      <c r="C155" s="24" t="str">
        <f>"            Deferred Income/Customer Advances/Billings in Excess of Cost, Non-Current"</f>
        <v xml:space="preserve">            Deferred Income/Customer Advances/Billings in Excess of Cost, Non-Current</v>
      </c>
      <c r="D155" s="32">
        <f t="shared" si="32"/>
        <v>2285000</v>
      </c>
      <c r="E155" s="32">
        <f t="shared" si="33"/>
        <v>2190818.1818181816</v>
      </c>
      <c r="F155" s="32">
        <f t="shared" si="34"/>
        <v>1169000</v>
      </c>
      <c r="G155" s="32">
        <f t="shared" si="35"/>
        <v>3010000</v>
      </c>
      <c r="H155" s="32">
        <f t="shared" si="36"/>
        <v>1428000</v>
      </c>
      <c r="I155" s="32">
        <f t="shared" si="37"/>
        <v>2923000</v>
      </c>
      <c r="J155" s="32">
        <f t="shared" si="38"/>
        <v>760635.49985282915</v>
      </c>
      <c r="K155" s="33">
        <f t="shared" si="39"/>
        <v>0.34719243530358607</v>
      </c>
      <c r="L155" s="37"/>
      <c r="M155" s="37">
        <v>3010000</v>
      </c>
      <c r="N155" s="37">
        <v>2715000</v>
      </c>
      <c r="O155" s="37">
        <v>2962000</v>
      </c>
      <c r="P155" s="37">
        <v>2959000</v>
      </c>
      <c r="Q155" s="37">
        <v>2887000</v>
      </c>
      <c r="R155" s="37">
        <v>2285000</v>
      </c>
      <c r="S155" s="37">
        <v>2007000</v>
      </c>
      <c r="T155" s="37">
        <v>1556000</v>
      </c>
      <c r="U155" s="37">
        <v>1249000</v>
      </c>
      <c r="V155" s="37">
        <v>1169000</v>
      </c>
      <c r="W155" s="37">
        <v>1300000</v>
      </c>
      <c r="X155" s="37" t="s">
        <v>124</v>
      </c>
      <c r="Y155" s="37" t="s">
        <v>124</v>
      </c>
      <c r="Z155" s="37" t="s">
        <v>124</v>
      </c>
      <c r="AB155" s="30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 outlineLevel="3" x14ac:dyDescent="0.25">
      <c r="A156" s="29">
        <v>1</v>
      </c>
      <c r="C156" s="25" t="str">
        <f>"            Total Deferred Liabilities, Non-Current"</f>
        <v xml:space="preserve">            Total Deferred Liabilities, Non-Current</v>
      </c>
      <c r="D156" s="45">
        <f t="shared" si="32"/>
        <v>2285000</v>
      </c>
      <c r="E156" s="45">
        <f t="shared" si="33"/>
        <v>2190818.1818181816</v>
      </c>
      <c r="F156" s="45">
        <f t="shared" si="34"/>
        <v>1169000</v>
      </c>
      <c r="G156" s="45">
        <f t="shared" si="35"/>
        <v>3010000</v>
      </c>
      <c r="H156" s="45">
        <f t="shared" si="36"/>
        <v>1428000</v>
      </c>
      <c r="I156" s="45">
        <f t="shared" si="37"/>
        <v>2923000</v>
      </c>
      <c r="J156" s="45">
        <f t="shared" si="38"/>
        <v>760635.49985282915</v>
      </c>
      <c r="K156" s="46">
        <f t="shared" si="39"/>
        <v>0.34719243530358607</v>
      </c>
      <c r="L156" s="47"/>
      <c r="M156" s="47">
        <v>3010000</v>
      </c>
      <c r="N156" s="47">
        <v>2715000</v>
      </c>
      <c r="O156" s="47">
        <v>2962000</v>
      </c>
      <c r="P156" s="47">
        <v>2959000</v>
      </c>
      <c r="Q156" s="47">
        <v>2887000</v>
      </c>
      <c r="R156" s="47">
        <v>2285000</v>
      </c>
      <c r="S156" s="47">
        <v>2007000</v>
      </c>
      <c r="T156" s="47">
        <v>1556000</v>
      </c>
      <c r="U156" s="47">
        <v>1249000</v>
      </c>
      <c r="V156" s="47">
        <v>1169000</v>
      </c>
      <c r="W156" s="47">
        <v>1300000</v>
      </c>
      <c r="X156" s="47" t="s">
        <v>124</v>
      </c>
      <c r="Y156" s="47" t="s">
        <v>124</v>
      </c>
      <c r="Z156" s="47" t="s">
        <v>124</v>
      </c>
      <c r="AB156" s="30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 outlineLevel="2" x14ac:dyDescent="0.25">
      <c r="A157" s="29">
        <v>1</v>
      </c>
      <c r="C157" s="24" t="str">
        <f>IF(SUBTOTAL(109,A157)=A157,"        Payables and Accrued Expenses, Non-Current","        Payables and Accrued Expenses, Non-Current")</f>
        <v xml:space="preserve">        Payables and Accrued Expenses, Non-Current</v>
      </c>
      <c r="D157" s="32" t="str">
        <f t="shared" si="32"/>
        <v/>
      </c>
      <c r="E157" s="32" t="str">
        <f t="shared" si="33"/>
        <v/>
      </c>
      <c r="F157" s="32" t="str">
        <f t="shared" si="34"/>
        <v/>
      </c>
      <c r="G157" s="32" t="str">
        <f t="shared" si="35"/>
        <v/>
      </c>
      <c r="H157" s="32" t="str">
        <f t="shared" si="36"/>
        <v/>
      </c>
      <c r="I157" s="32" t="str">
        <f t="shared" si="37"/>
        <v/>
      </c>
      <c r="J157" s="32" t="str">
        <f t="shared" si="38"/>
        <v/>
      </c>
      <c r="K157" s="33" t="str">
        <f t="shared" si="39"/>
        <v/>
      </c>
      <c r="L157" s="37"/>
      <c r="M157" s="37" t="str">
        <f>IF(SUBTOTAL(109,A157)=A157,"",6005000)</f>
        <v/>
      </c>
      <c r="N157" s="37" t="str">
        <f>IF(SUBTOTAL(109,A157)=A157,"",5193000)</f>
        <v/>
      </c>
      <c r="O157" s="37" t="str">
        <f>IF(SUBTOTAL(109,A157)=A157,"",4811000)</f>
        <v/>
      </c>
      <c r="P157" s="37" t="str">
        <f>IF(SUBTOTAL(109,A157)=A157,"",4802000)</f>
        <v/>
      </c>
      <c r="Q157" s="37" t="str">
        <f>IF(SUBTOTAL(109,A157)=A157,"",5338000)</f>
        <v/>
      </c>
      <c r="R157" s="37" t="str">
        <f>IF(SUBTOTAL(109,A157)=A157,"",5833000)</f>
        <v/>
      </c>
      <c r="S157" s="37" t="str">
        <f>IF(SUBTOTAL(109,A157)=A157,"",5792000)</f>
        <v/>
      </c>
      <c r="T157" s="37" t="str">
        <f>IF(SUBTOTAL(109,A157)=A157,"",6064000)</f>
        <v/>
      </c>
      <c r="U157" s="37" t="str">
        <f>IF(SUBTOTAL(109,A157)=A157,"",4880000)</f>
        <v/>
      </c>
      <c r="V157" s="37" t="str">
        <f>IF(SUBTOTAL(109,A157)=A157,"",4285000)</f>
        <v/>
      </c>
      <c r="W157" s="37" t="str">
        <f>IF(SUBTOTAL(109,A157)=A157,"",3539000)</f>
        <v/>
      </c>
      <c r="X157" s="37" t="str">
        <f>IF(SUBTOTAL(109,A157)=A157,"","")</f>
        <v/>
      </c>
      <c r="Y157" s="37" t="str">
        <f>IF(SUBTOTAL(109,A157)=A157,"","")</f>
        <v/>
      </c>
      <c r="Z157" s="37" t="str">
        <f>IF(SUBTOTAL(109,A157)=A157,"","")</f>
        <v/>
      </c>
      <c r="AB157" s="30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 outlineLevel="3" x14ac:dyDescent="0.25">
      <c r="A158" s="29">
        <v>1</v>
      </c>
      <c r="C158" s="24" t="str">
        <f>"            Accrued Expenses, Non-Current"</f>
        <v xml:space="preserve">            Accrued Expenses, Non-Current</v>
      </c>
      <c r="D158" s="32">
        <f t="shared" si="32"/>
        <v>5193000</v>
      </c>
      <c r="E158" s="32">
        <f t="shared" si="33"/>
        <v>5140181.8181818184</v>
      </c>
      <c r="F158" s="32">
        <f t="shared" si="34"/>
        <v>3539000</v>
      </c>
      <c r="G158" s="32">
        <f t="shared" si="35"/>
        <v>6064000</v>
      </c>
      <c r="H158" s="32">
        <f t="shared" si="36"/>
        <v>4806500</v>
      </c>
      <c r="I158" s="32">
        <f t="shared" si="37"/>
        <v>5812500</v>
      </c>
      <c r="J158" s="32">
        <f t="shared" si="38"/>
        <v>783177.98975479545</v>
      </c>
      <c r="K158" s="33">
        <f t="shared" si="39"/>
        <v>0.1523638691115056</v>
      </c>
      <c r="L158" s="37"/>
      <c r="M158" s="37">
        <v>6005000</v>
      </c>
      <c r="N158" s="37">
        <v>5193000</v>
      </c>
      <c r="O158" s="37">
        <v>4811000</v>
      </c>
      <c r="P158" s="37">
        <v>4802000</v>
      </c>
      <c r="Q158" s="37">
        <v>5338000</v>
      </c>
      <c r="R158" s="37">
        <v>5833000</v>
      </c>
      <c r="S158" s="37">
        <v>5792000</v>
      </c>
      <c r="T158" s="37">
        <v>6064000</v>
      </c>
      <c r="U158" s="37">
        <v>4880000</v>
      </c>
      <c r="V158" s="37">
        <v>4285000</v>
      </c>
      <c r="W158" s="37">
        <v>3539000</v>
      </c>
      <c r="X158" s="37" t="s">
        <v>124</v>
      </c>
      <c r="Y158" s="37" t="s">
        <v>124</v>
      </c>
      <c r="Z158" s="37" t="s">
        <v>124</v>
      </c>
      <c r="AB158" s="30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 outlineLevel="3" x14ac:dyDescent="0.25">
      <c r="A159" s="29">
        <v>1</v>
      </c>
      <c r="C159" s="25" t="str">
        <f>"            Total Payables and Accrued Expenses, Non-Current"</f>
        <v xml:space="preserve">            Total Payables and Accrued Expenses, Non-Current</v>
      </c>
      <c r="D159" s="45">
        <f t="shared" si="32"/>
        <v>5193000</v>
      </c>
      <c r="E159" s="45">
        <f t="shared" si="33"/>
        <v>5140181.8181818184</v>
      </c>
      <c r="F159" s="45">
        <f t="shared" si="34"/>
        <v>3539000</v>
      </c>
      <c r="G159" s="45">
        <f t="shared" si="35"/>
        <v>6064000</v>
      </c>
      <c r="H159" s="45">
        <f t="shared" si="36"/>
        <v>4806500</v>
      </c>
      <c r="I159" s="45">
        <f t="shared" si="37"/>
        <v>5812500</v>
      </c>
      <c r="J159" s="45">
        <f t="shared" si="38"/>
        <v>783177.98975479545</v>
      </c>
      <c r="K159" s="46">
        <f t="shared" si="39"/>
        <v>0.1523638691115056</v>
      </c>
      <c r="L159" s="47"/>
      <c r="M159" s="47">
        <v>6005000</v>
      </c>
      <c r="N159" s="47">
        <v>5193000</v>
      </c>
      <c r="O159" s="47">
        <v>4811000</v>
      </c>
      <c r="P159" s="47">
        <v>4802000</v>
      </c>
      <c r="Q159" s="47">
        <v>5338000</v>
      </c>
      <c r="R159" s="47">
        <v>5833000</v>
      </c>
      <c r="S159" s="47">
        <v>5792000</v>
      </c>
      <c r="T159" s="47">
        <v>6064000</v>
      </c>
      <c r="U159" s="47">
        <v>4880000</v>
      </c>
      <c r="V159" s="47">
        <v>4285000</v>
      </c>
      <c r="W159" s="47">
        <v>3539000</v>
      </c>
      <c r="X159" s="47" t="s">
        <v>124</v>
      </c>
      <c r="Y159" s="47" t="s">
        <v>124</v>
      </c>
      <c r="Z159" s="47" t="s">
        <v>124</v>
      </c>
      <c r="AB159" s="30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 outlineLevel="2" x14ac:dyDescent="0.25">
      <c r="A160" s="29">
        <v>1</v>
      </c>
      <c r="C160" s="24" t="str">
        <f>"        Liabilities Held for Sale/Discontinued Operations, Non-Current"</f>
        <v xml:space="preserve">        Liabilities Held for Sale/Discontinued Operations, Non-Current</v>
      </c>
      <c r="D160" s="32">
        <f t="shared" si="32"/>
        <v>7626000</v>
      </c>
      <c r="E160" s="32">
        <f t="shared" si="33"/>
        <v>7626000</v>
      </c>
      <c r="F160" s="32">
        <f t="shared" si="34"/>
        <v>7626000</v>
      </c>
      <c r="G160" s="32">
        <f t="shared" si="35"/>
        <v>7626000</v>
      </c>
      <c r="H160" s="32">
        <f t="shared" si="36"/>
        <v>7626000</v>
      </c>
      <c r="I160" s="32">
        <f t="shared" si="37"/>
        <v>7626000</v>
      </c>
      <c r="J160" s="32" t="str">
        <f t="shared" si="38"/>
        <v/>
      </c>
      <c r="K160" s="33" t="str">
        <f t="shared" si="39"/>
        <v/>
      </c>
      <c r="L160" s="37"/>
      <c r="M160" s="37" t="s">
        <v>124</v>
      </c>
      <c r="N160" s="37" t="s">
        <v>124</v>
      </c>
      <c r="O160" s="37" t="s">
        <v>124</v>
      </c>
      <c r="P160" s="37" t="s">
        <v>124</v>
      </c>
      <c r="Q160" s="37" t="s">
        <v>124</v>
      </c>
      <c r="R160" s="37">
        <v>7626000</v>
      </c>
      <c r="S160" s="37" t="s">
        <v>124</v>
      </c>
      <c r="T160" s="37" t="s">
        <v>124</v>
      </c>
      <c r="U160" s="37" t="s">
        <v>124</v>
      </c>
      <c r="V160" s="37" t="s">
        <v>124</v>
      </c>
      <c r="W160" s="37" t="s">
        <v>124</v>
      </c>
      <c r="X160" s="37" t="s">
        <v>124</v>
      </c>
      <c r="Y160" s="37" t="s">
        <v>124</v>
      </c>
      <c r="Z160" s="37" t="s">
        <v>124</v>
      </c>
      <c r="AB160" s="30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 outlineLevel="2" x14ac:dyDescent="0.25">
      <c r="A161" s="29">
        <v>1</v>
      </c>
      <c r="C161" s="24" t="str">
        <f>"        Other Non-Current Liabilities"</f>
        <v xml:space="preserve">        Other Non-Current Liabilities</v>
      </c>
      <c r="D161" s="32">
        <f t="shared" si="32"/>
        <v>3063000</v>
      </c>
      <c r="E161" s="32">
        <f t="shared" si="33"/>
        <v>3176769.230769231</v>
      </c>
      <c r="F161" s="32">
        <f t="shared" si="34"/>
        <v>270000</v>
      </c>
      <c r="G161" s="32">
        <f t="shared" si="35"/>
        <v>4838000</v>
      </c>
      <c r="H161" s="32">
        <f t="shared" si="36"/>
        <v>2915000</v>
      </c>
      <c r="I161" s="32">
        <f t="shared" si="37"/>
        <v>4154000</v>
      </c>
      <c r="J161" s="32">
        <f t="shared" si="38"/>
        <v>1328427.6516397218</v>
      </c>
      <c r="K161" s="33">
        <f t="shared" si="39"/>
        <v>0.41816939007497655</v>
      </c>
      <c r="L161" s="37"/>
      <c r="M161" s="37">
        <v>3661000</v>
      </c>
      <c r="N161" s="37">
        <v>3009000</v>
      </c>
      <c r="O161" s="37">
        <v>3026000</v>
      </c>
      <c r="P161" s="37">
        <v>3063000</v>
      </c>
      <c r="Q161" s="37">
        <v>2915000</v>
      </c>
      <c r="R161" s="37">
        <v>2641000</v>
      </c>
      <c r="S161" s="37">
        <v>3125000</v>
      </c>
      <c r="T161" s="37">
        <v>4154000</v>
      </c>
      <c r="U161" s="37">
        <v>4816000</v>
      </c>
      <c r="V161" s="37">
        <v>4838000</v>
      </c>
      <c r="W161" s="37">
        <v>4549000</v>
      </c>
      <c r="X161" s="37">
        <v>1231000</v>
      </c>
      <c r="Y161" s="37">
        <v>270000</v>
      </c>
      <c r="Z161" s="37" t="s">
        <v>124</v>
      </c>
      <c r="AB161" s="30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 outlineLevel="2" x14ac:dyDescent="0.25">
      <c r="A162" s="29">
        <v>1</v>
      </c>
      <c r="C162" s="24" t="str">
        <f>"        Preferred Securities Outside Stock Equity"</f>
        <v xml:space="preserve">        Preferred Securities Outside Stock Equity</v>
      </c>
      <c r="D162" s="32">
        <f t="shared" si="32"/>
        <v>333000</v>
      </c>
      <c r="E162" s="32">
        <f t="shared" si="33"/>
        <v>1916000</v>
      </c>
      <c r="F162" s="32">
        <f t="shared" si="34"/>
        <v>0</v>
      </c>
      <c r="G162" s="32">
        <f t="shared" si="35"/>
        <v>6998000</v>
      </c>
      <c r="H162" s="32">
        <f t="shared" si="36"/>
        <v>0</v>
      </c>
      <c r="I162" s="32">
        <f t="shared" si="37"/>
        <v>2249000</v>
      </c>
      <c r="J162" s="32">
        <f t="shared" si="38"/>
        <v>3402515.540008598</v>
      </c>
      <c r="K162" s="33">
        <f t="shared" si="39"/>
        <v>1.7758431837205626</v>
      </c>
      <c r="L162" s="37"/>
      <c r="M162" s="37" t="s">
        <v>124</v>
      </c>
      <c r="N162" s="37" t="s">
        <v>124</v>
      </c>
      <c r="O162" s="37" t="s">
        <v>124</v>
      </c>
      <c r="P162" s="37" t="s">
        <v>124</v>
      </c>
      <c r="Q162" s="37" t="s">
        <v>124</v>
      </c>
      <c r="R162" s="37" t="s">
        <v>124</v>
      </c>
      <c r="S162" s="37" t="s">
        <v>124</v>
      </c>
      <c r="T162" s="37" t="s">
        <v>124</v>
      </c>
      <c r="U162" s="37" t="s">
        <v>124</v>
      </c>
      <c r="V162" s="37" t="s">
        <v>124</v>
      </c>
      <c r="W162" s="37">
        <v>666000</v>
      </c>
      <c r="X162" s="37">
        <v>0</v>
      </c>
      <c r="Y162" s="37">
        <v>6998000</v>
      </c>
      <c r="Z162" s="37">
        <v>0</v>
      </c>
      <c r="AB162" s="30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 outlineLevel="2" x14ac:dyDescent="0.25">
      <c r="A163" s="29">
        <v>1</v>
      </c>
      <c r="C163" s="25" t="str">
        <f>"        Total Non-Current Liabilities"</f>
        <v xml:space="preserve">        Total Non-Current Liabilities</v>
      </c>
      <c r="D163" s="45">
        <f t="shared" si="32"/>
        <v>87616000</v>
      </c>
      <c r="E163" s="45">
        <f t="shared" si="33"/>
        <v>82043714.285714284</v>
      </c>
      <c r="F163" s="45">
        <f t="shared" si="34"/>
        <v>52386000</v>
      </c>
      <c r="G163" s="45">
        <f t="shared" si="35"/>
        <v>105607000</v>
      </c>
      <c r="H163" s="45">
        <f t="shared" si="36"/>
        <v>61044250</v>
      </c>
      <c r="I163" s="45">
        <f t="shared" si="37"/>
        <v>100228250</v>
      </c>
      <c r="J163" s="45">
        <f t="shared" si="38"/>
        <v>20641175.870010477</v>
      </c>
      <c r="K163" s="46">
        <f t="shared" si="39"/>
        <v>0.25158753537325629</v>
      </c>
      <c r="L163" s="47"/>
      <c r="M163" s="47">
        <v>104495000</v>
      </c>
      <c r="N163" s="47">
        <v>105607000</v>
      </c>
      <c r="O163" s="47">
        <v>97175000</v>
      </c>
      <c r="P163" s="47">
        <v>102325000</v>
      </c>
      <c r="Q163" s="47">
        <v>99392000</v>
      </c>
      <c r="R163" s="47">
        <v>92434000</v>
      </c>
      <c r="S163" s="47">
        <v>82798000</v>
      </c>
      <c r="T163" s="47">
        <v>75820000</v>
      </c>
      <c r="U163" s="47">
        <v>60758000</v>
      </c>
      <c r="V163" s="47">
        <v>58430000</v>
      </c>
      <c r="W163" s="47">
        <v>52386000</v>
      </c>
      <c r="X163" s="47">
        <v>54582000</v>
      </c>
      <c r="Y163" s="47">
        <v>61903000</v>
      </c>
      <c r="Z163" s="47">
        <v>100507000</v>
      </c>
      <c r="AB163" s="30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 outlineLevel="1" x14ac:dyDescent="0.25">
      <c r="A164" s="29">
        <v>1</v>
      </c>
      <c r="C164" s="116" t="str">
        <f>"    Total Liabilities"</f>
        <v xml:space="preserve">    Total Liabilities</v>
      </c>
      <c r="D164" s="119">
        <f t="shared" si="32"/>
        <v>165065000</v>
      </c>
      <c r="E164" s="119">
        <f t="shared" si="33"/>
        <v>150989071.42857143</v>
      </c>
      <c r="F164" s="119">
        <f t="shared" si="34"/>
        <v>101739000</v>
      </c>
      <c r="G164" s="119">
        <f t="shared" si="35"/>
        <v>185517000</v>
      </c>
      <c r="H164" s="119">
        <f t="shared" si="36"/>
        <v>116546000</v>
      </c>
      <c r="I164" s="119">
        <f t="shared" si="37"/>
        <v>178581000</v>
      </c>
      <c r="J164" s="119">
        <f t="shared" si="38"/>
        <v>33089670.583162326</v>
      </c>
      <c r="K164" s="120">
        <f t="shared" si="39"/>
        <v>0.21915275238192383</v>
      </c>
      <c r="L164" s="119"/>
      <c r="M164" s="119">
        <v>178903000</v>
      </c>
      <c r="N164" s="119">
        <v>185517000</v>
      </c>
      <c r="O164" s="119">
        <v>182080000</v>
      </c>
      <c r="P164" s="119">
        <v>184562000</v>
      </c>
      <c r="Q164" s="119">
        <v>176282000</v>
      </c>
      <c r="R164" s="45">
        <v>177615000</v>
      </c>
      <c r="S164" s="45">
        <v>154015000</v>
      </c>
      <c r="T164" s="45">
        <v>141477000</v>
      </c>
      <c r="U164" s="45">
        <v>123170000</v>
      </c>
      <c r="V164" s="45">
        <v>112422000</v>
      </c>
      <c r="W164" s="45">
        <v>105612000</v>
      </c>
      <c r="X164" s="45">
        <v>101739000</v>
      </c>
      <c r="Y164" s="45">
        <v>114338000</v>
      </c>
      <c r="Z164" s="45">
        <v>176115000</v>
      </c>
      <c r="AB164" s="30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 x14ac:dyDescent="0.25">
      <c r="A165" s="29">
        <v>1</v>
      </c>
      <c r="C165" s="26" t="str">
        <f>IF(SUBTOTAL(109,A165)=A165,"Equity","Total Equity")</f>
        <v>Equity</v>
      </c>
      <c r="D165" s="43" t="str">
        <f t="shared" si="32"/>
        <v/>
      </c>
      <c r="E165" s="43" t="str">
        <f t="shared" si="33"/>
        <v/>
      </c>
      <c r="F165" s="43" t="str">
        <f t="shared" si="34"/>
        <v/>
      </c>
      <c r="G165" s="43" t="str">
        <f t="shared" si="35"/>
        <v/>
      </c>
      <c r="H165" s="43" t="str">
        <f t="shared" si="36"/>
        <v/>
      </c>
      <c r="I165" s="43" t="str">
        <f t="shared" si="37"/>
        <v/>
      </c>
      <c r="J165" s="43" t="str">
        <f t="shared" si="38"/>
        <v/>
      </c>
      <c r="K165" s="44" t="str">
        <f t="shared" si="39"/>
        <v/>
      </c>
      <c r="L165" s="43"/>
      <c r="M165" s="43" t="str">
        <f>IF(SUBTOTAL(109,A165)=A165,"",65815000)</f>
        <v/>
      </c>
      <c r="N165" s="43" t="str">
        <f>IF(SUBTOTAL(109,A165)=A165,"",49677000)</f>
        <v/>
      </c>
      <c r="O165" s="43" t="str">
        <f>IF(SUBTOTAL(109,A165)=A165,"",45957000)</f>
        <v/>
      </c>
      <c r="P165" s="43" t="str">
        <f>IF(SUBTOTAL(109,A165)=A165,"",42777000)</f>
        <v/>
      </c>
      <c r="Q165" s="43" t="str">
        <f>IF(SUBTOTAL(109,A165)=A165,"",36200000)</f>
        <v/>
      </c>
      <c r="R165" s="43" t="str">
        <f>IF(SUBTOTAL(109,A165)=A165,"",44075000)</f>
        <v/>
      </c>
      <c r="S165" s="43" t="str">
        <f>IF(SUBTOTAL(109,A165)=A165,"",40323000)</f>
        <v/>
      </c>
      <c r="T165" s="43" t="str">
        <f>IF(SUBTOTAL(109,A165)=A165,"",36024000)</f>
        <v/>
      </c>
      <c r="U165" s="43" t="str">
        <f>IF(SUBTOTAL(109,A165)=A165,"",43174000)</f>
        <v/>
      </c>
      <c r="V165" s="43" t="str">
        <f>IF(SUBTOTAL(109,A165)=A165,"",37000000)</f>
        <v/>
      </c>
      <c r="W165" s="43" t="str">
        <f>IF(SUBTOTAL(109,A165)=A165,"",38991000)</f>
        <v/>
      </c>
      <c r="X165" s="43" t="str">
        <f>IF(SUBTOTAL(109,A165)=A165,"",37159000)</f>
        <v/>
      </c>
      <c r="Y165" s="43" t="str">
        <f>IF(SUBTOTAL(109,A165)=A165,"",21957000)</f>
        <v/>
      </c>
      <c r="Z165" s="43" t="str">
        <f>IF(SUBTOTAL(109,A165)=A165,"",-85076000)</f>
        <v/>
      </c>
      <c r="AB165" s="30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 outlineLevel="1" x14ac:dyDescent="0.25">
      <c r="A166" s="29">
        <v>1</v>
      </c>
      <c r="C166" s="24" t="str">
        <f>IF(SUBTOTAL(109,A166)=A166,"    Equity Attributable to Parent Stockholders","    Equity Attributable to Parent Stockholders")</f>
        <v xml:space="preserve">    Equity Attributable to Parent Stockholders</v>
      </c>
      <c r="D166" s="32" t="str">
        <f t="shared" si="32"/>
        <v/>
      </c>
      <c r="E166" s="32" t="str">
        <f t="shared" si="33"/>
        <v/>
      </c>
      <c r="F166" s="32" t="str">
        <f t="shared" si="34"/>
        <v/>
      </c>
      <c r="G166" s="32" t="str">
        <f t="shared" si="35"/>
        <v/>
      </c>
      <c r="H166" s="32" t="str">
        <f t="shared" si="36"/>
        <v/>
      </c>
      <c r="I166" s="32" t="str">
        <f t="shared" si="37"/>
        <v/>
      </c>
      <c r="J166" s="32" t="str">
        <f t="shared" si="38"/>
        <v/>
      </c>
      <c r="K166" s="33" t="str">
        <f t="shared" si="39"/>
        <v/>
      </c>
      <c r="L166" s="37"/>
      <c r="M166" s="37" t="str">
        <f>IF(SUBTOTAL(109,A166)=A166,"",59744000)</f>
        <v/>
      </c>
      <c r="N166" s="37" t="str">
        <f>IF(SUBTOTAL(109,A166)=A166,"",45030000)</f>
        <v/>
      </c>
      <c r="O166" s="37" t="str">
        <f>IF(SUBTOTAL(109,A166)=A166,"",41792000)</f>
        <v/>
      </c>
      <c r="P166" s="37" t="str">
        <f>IF(SUBTOTAL(109,A166)=A166,"",38860000)</f>
        <v/>
      </c>
      <c r="Q166" s="37" t="str">
        <f>IF(SUBTOTAL(109,A166)=A166,"",35001000)</f>
        <v/>
      </c>
      <c r="R166" s="37" t="str">
        <f>IF(SUBTOTAL(109,A166)=A166,"",43836000)</f>
        <v/>
      </c>
      <c r="S166" s="37" t="str">
        <f>IF(SUBTOTAL(109,A166)=A166,"",39871000)</f>
        <v/>
      </c>
      <c r="T166" s="37" t="str">
        <f>IF(SUBTOTAL(109,A166)=A166,"",35457000)</f>
        <v/>
      </c>
      <c r="U166" s="37" t="str">
        <f>IF(SUBTOTAL(109,A166)=A166,"",42607000)</f>
        <v/>
      </c>
      <c r="V166" s="37" t="str">
        <f>IF(SUBTOTAL(109,A166)=A166,"",36244000)</f>
        <v/>
      </c>
      <c r="W166" s="37" t="str">
        <f>IF(SUBTOTAL(109,A166)=A166,"",38120000)</f>
        <v/>
      </c>
      <c r="X166" s="37" t="str">
        <f>IF(SUBTOTAL(109,A166)=A166,"",36180000)</f>
        <v/>
      </c>
      <c r="Y166" s="37" t="str">
        <f>IF(SUBTOTAL(109,A166)=A166,"",21249000)</f>
        <v/>
      </c>
      <c r="Z166" s="37" t="str">
        <f>IF(SUBTOTAL(109,A166)=A166,"",-85560000)</f>
        <v/>
      </c>
      <c r="AB166" s="30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 outlineLevel="2" x14ac:dyDescent="0.25">
      <c r="A167" s="29">
        <v>1</v>
      </c>
      <c r="C167" s="24" t="str">
        <f>IF(SUBTOTAL(109,A167)=A167,"        Paid in Capital","        Paid in Capital")</f>
        <v xml:space="preserve">        Paid in Capital</v>
      </c>
      <c r="D167" s="32" t="str">
        <f t="shared" si="32"/>
        <v/>
      </c>
      <c r="E167" s="32" t="str">
        <f t="shared" si="33"/>
        <v/>
      </c>
      <c r="F167" s="32" t="str">
        <f t="shared" si="34"/>
        <v/>
      </c>
      <c r="G167" s="32" t="str">
        <f t="shared" si="35"/>
        <v/>
      </c>
      <c r="H167" s="32" t="str">
        <f t="shared" si="36"/>
        <v/>
      </c>
      <c r="I167" s="32" t="str">
        <f t="shared" si="37"/>
        <v/>
      </c>
      <c r="J167" s="32" t="str">
        <f t="shared" si="38"/>
        <v/>
      </c>
      <c r="K167" s="33" t="str">
        <f t="shared" si="39"/>
        <v/>
      </c>
      <c r="L167" s="37"/>
      <c r="M167" s="37" t="str">
        <f>IF(SUBTOTAL(109,A167)=A167,"",27076000)</f>
        <v/>
      </c>
      <c r="N167" s="37" t="str">
        <f>IF(SUBTOTAL(109,A167)=A167,"",26556000)</f>
        <v/>
      </c>
      <c r="O167" s="37" t="str">
        <f>IF(SUBTOTAL(109,A167)=A167,"",26088000)</f>
        <v/>
      </c>
      <c r="P167" s="37" t="str">
        <f>IF(SUBTOTAL(109,A167)=A167,"",25577000)</f>
        <v/>
      </c>
      <c r="Q167" s="37" t="str">
        <f>IF(SUBTOTAL(109,A167)=A167,"",25385000)</f>
        <v/>
      </c>
      <c r="R167" s="37" t="str">
        <f>IF(SUBTOTAL(109,A167)=A167,"",26998000)</f>
        <v/>
      </c>
      <c r="S167" s="37" t="str">
        <f>IF(SUBTOTAL(109,A167)=A167,"",27622000)</f>
        <v/>
      </c>
      <c r="T167" s="37" t="str">
        <f>IF(SUBTOTAL(109,A167)=A167,"",28953000)</f>
        <v/>
      </c>
      <c r="U167" s="37" t="str">
        <f>IF(SUBTOTAL(109,A167)=A167,"",31904000)</f>
        <v/>
      </c>
      <c r="V167" s="37" t="str">
        <f>IF(SUBTOTAL(109,A167)=A167,"",34239000)</f>
        <v/>
      </c>
      <c r="W167" s="37" t="str">
        <f>IF(SUBTOTAL(109,A167)=A167,"",36798000)</f>
        <v/>
      </c>
      <c r="X167" s="37" t="str">
        <f>IF(SUBTOTAL(109,A167)=A167,"",34663000)</f>
        <v/>
      </c>
      <c r="Y167" s="37" t="str">
        <f>IF(SUBTOTAL(109,A167)=A167,"",24055000)</f>
        <v/>
      </c>
      <c r="Z167" s="37" t="str">
        <f>IF(SUBTOTAL(109,A167)=A167,"",17506000)</f>
        <v/>
      </c>
      <c r="AB167" s="30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 outlineLevel="3" collapsed="1" x14ac:dyDescent="0.25">
      <c r="A168" s="29">
        <v>1</v>
      </c>
      <c r="C168" s="24" t="str">
        <f>IF(SUBTOTAL(109,A168)=A168,"            Capital Stock","            Capital Stock")</f>
        <v xml:space="preserve">            Capital Stock</v>
      </c>
      <c r="D168" s="32" t="str">
        <f t="shared" si="32"/>
        <v/>
      </c>
      <c r="E168" s="32" t="str">
        <f t="shared" si="33"/>
        <v/>
      </c>
      <c r="F168" s="32" t="str">
        <f t="shared" si="34"/>
        <v/>
      </c>
      <c r="G168" s="32" t="str">
        <f t="shared" si="35"/>
        <v/>
      </c>
      <c r="H168" s="32" t="str">
        <f t="shared" si="36"/>
        <v/>
      </c>
      <c r="I168" s="32" t="str">
        <f t="shared" si="37"/>
        <v/>
      </c>
      <c r="J168" s="32" t="str">
        <f t="shared" si="38"/>
        <v/>
      </c>
      <c r="K168" s="33" t="str">
        <f t="shared" si="39"/>
        <v/>
      </c>
      <c r="L168" s="37"/>
      <c r="M168" s="37" t="str">
        <f>IF(SUBTOTAL(109,A168)=A168,"",27076000)</f>
        <v/>
      </c>
      <c r="N168" s="37" t="str">
        <f>IF(SUBTOTAL(109,A168)=A168,"",26556000)</f>
        <v/>
      </c>
      <c r="O168" s="37" t="str">
        <f>IF(SUBTOTAL(109,A168)=A168,"",26088000)</f>
        <v/>
      </c>
      <c r="P168" s="37" t="str">
        <f>IF(SUBTOTAL(109,A168)=A168,"",25577000)</f>
        <v/>
      </c>
      <c r="Q168" s="37" t="str">
        <f>IF(SUBTOTAL(109,A168)=A168,"",25385000)</f>
        <v/>
      </c>
      <c r="R168" s="37" t="str">
        <f>IF(SUBTOTAL(109,A168)=A168,"",26998000)</f>
        <v/>
      </c>
      <c r="S168" s="37" t="str">
        <f>IF(SUBTOTAL(109,A168)=A168,"",27622000)</f>
        <v/>
      </c>
      <c r="T168" s="37" t="str">
        <f>IF(SUBTOTAL(109,A168)=A168,"",28953000)</f>
        <v/>
      </c>
      <c r="U168" s="37" t="str">
        <f>IF(SUBTOTAL(109,A168)=A168,"",31904000)</f>
        <v/>
      </c>
      <c r="V168" s="37" t="str">
        <f>IF(SUBTOTAL(109,A168)=A168,"",34239000)</f>
        <v/>
      </c>
      <c r="W168" s="37" t="str">
        <f>IF(SUBTOTAL(109,A168)=A168,"",36798000)</f>
        <v/>
      </c>
      <c r="X168" s="37" t="str">
        <f>IF(SUBTOTAL(109,A168)=A168,"",34663000)</f>
        <v/>
      </c>
      <c r="Y168" s="37" t="str">
        <f>IF(SUBTOTAL(109,A168)=A168,"",24055000)</f>
        <v/>
      </c>
      <c r="Z168" s="37" t="str">
        <f>IF(SUBTOTAL(109,A168)=A168,"",17506000)</f>
        <v/>
      </c>
      <c r="AB168" s="30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 hidden="1" outlineLevel="4" collapsed="1" x14ac:dyDescent="0.25">
      <c r="A169" s="29">
        <v>1</v>
      </c>
      <c r="C169" s="24" t="str">
        <f>IF(SUBTOTAL(109,A169)=A169,"                Common Stock","                Common Stock")</f>
        <v xml:space="preserve">                Common Stock</v>
      </c>
      <c r="D169" s="32">
        <f t="shared" si="32"/>
        <v>15000</v>
      </c>
      <c r="E169" s="32">
        <f t="shared" si="33"/>
        <v>86357.142857142855</v>
      </c>
      <c r="F169" s="32">
        <f t="shared" si="34"/>
        <v>14000</v>
      </c>
      <c r="G169" s="32">
        <f t="shared" si="35"/>
        <v>1017000</v>
      </c>
      <c r="H169" s="32">
        <f t="shared" si="36"/>
        <v>14000</v>
      </c>
      <c r="I169" s="32">
        <f t="shared" si="37"/>
        <v>15000</v>
      </c>
      <c r="J169" s="32">
        <f t="shared" si="38"/>
        <v>267858.34578484466</v>
      </c>
      <c r="K169" s="33">
        <f t="shared" si="39"/>
        <v>3.1017509023886065</v>
      </c>
      <c r="L169" s="37"/>
      <c r="M169" s="37">
        <f>IF(SUBTOTAL(109,A169)=A169,"",15000)</f>
        <v>15000</v>
      </c>
      <c r="N169" s="37">
        <f>IF(SUBTOTAL(109,A169)=A169,"",14000)</f>
        <v>14000</v>
      </c>
      <c r="O169" s="37">
        <f>IF(SUBTOTAL(109,A169)=A169,"",14000)</f>
        <v>14000</v>
      </c>
      <c r="P169" s="37">
        <f>IF(SUBTOTAL(109,A169)=A169,"",14000)</f>
        <v>14000</v>
      </c>
      <c r="Q169" s="37">
        <f>IF(SUBTOTAL(109,A169)=A169,"",14000)</f>
        <v>14000</v>
      </c>
      <c r="R169" s="37">
        <f>IF(SUBTOTAL(109,A169)=A169,"",15000)</f>
        <v>15000</v>
      </c>
      <c r="S169" s="37">
        <f>IF(SUBTOTAL(109,A169)=A169,"",15000)</f>
        <v>15000</v>
      </c>
      <c r="T169" s="37">
        <f>IF(SUBTOTAL(109,A169)=A169,"",16000)</f>
        <v>16000</v>
      </c>
      <c r="U169" s="37">
        <f>IF(SUBTOTAL(109,A169)=A169,"",15000)</f>
        <v>15000</v>
      </c>
      <c r="V169" s="37">
        <f>IF(SUBTOTAL(109,A169)=A169,"",14000)</f>
        <v>14000</v>
      </c>
      <c r="W169" s="37">
        <f>IF(SUBTOTAL(109,A169)=A169,"",16000)</f>
        <v>16000</v>
      </c>
      <c r="X169" s="37">
        <f>IF(SUBTOTAL(109,A169)=A169,"",15000)</f>
        <v>15000</v>
      </c>
      <c r="Y169" s="37">
        <f>IF(SUBTOTAL(109,A169)=A169,"",15000)</f>
        <v>15000</v>
      </c>
      <c r="Z169" s="37">
        <f>IF(SUBTOTAL(109,A169)=A169,"",1017000)</f>
        <v>1017000</v>
      </c>
      <c r="AB169" s="30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 hidden="1" outlineLevel="5" x14ac:dyDescent="0.25">
      <c r="A170" s="29">
        <v>1</v>
      </c>
      <c r="C170" s="24" t="str">
        <f>"                    Common Stock, with Par Value"</f>
        <v xml:space="preserve">                    Common Stock, with Par Value</v>
      </c>
      <c r="D170" s="32">
        <f t="shared" si="32"/>
        <v>15000</v>
      </c>
      <c r="E170" s="32">
        <f t="shared" si="33"/>
        <v>15000</v>
      </c>
      <c r="F170" s="32">
        <f t="shared" si="34"/>
        <v>15000</v>
      </c>
      <c r="G170" s="32">
        <f t="shared" si="35"/>
        <v>15000</v>
      </c>
      <c r="H170" s="32">
        <f t="shared" si="36"/>
        <v>15000</v>
      </c>
      <c r="I170" s="32">
        <f t="shared" si="37"/>
        <v>15000</v>
      </c>
      <c r="J170" s="32">
        <f t="shared" si="38"/>
        <v>0</v>
      </c>
      <c r="K170" s="33">
        <f t="shared" si="39"/>
        <v>0</v>
      </c>
      <c r="L170" s="37"/>
      <c r="M170" s="37" t="s">
        <v>124</v>
      </c>
      <c r="N170" s="37" t="s">
        <v>124</v>
      </c>
      <c r="O170" s="37" t="s">
        <v>124</v>
      </c>
      <c r="P170" s="37" t="s">
        <v>124</v>
      </c>
      <c r="Q170" s="37" t="s">
        <v>124</v>
      </c>
      <c r="R170" s="37" t="s">
        <v>124</v>
      </c>
      <c r="S170" s="37" t="s">
        <v>124</v>
      </c>
      <c r="T170" s="37" t="s">
        <v>124</v>
      </c>
      <c r="U170" s="37" t="s">
        <v>124</v>
      </c>
      <c r="V170" s="37" t="s">
        <v>124</v>
      </c>
      <c r="W170" s="37" t="s">
        <v>124</v>
      </c>
      <c r="X170" s="37">
        <v>15000</v>
      </c>
      <c r="Y170" s="37">
        <v>15000</v>
      </c>
      <c r="Z170" s="37" t="s">
        <v>124</v>
      </c>
      <c r="AB170" s="30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 hidden="1" outlineLevel="5" x14ac:dyDescent="0.25">
      <c r="A171" s="29">
        <v>1</v>
      </c>
      <c r="C171" s="25" t="str">
        <f>"                    Total Common Stock"</f>
        <v xml:space="preserve">                    Total Common Stock</v>
      </c>
      <c r="D171" s="45">
        <f t="shared" ref="D171:D180" si="40">IF(COUNT(M171:Z171)&gt;0,MEDIAN(M171:Z171),"")</f>
        <v>15000</v>
      </c>
      <c r="E171" s="45">
        <f t="shared" ref="E171:E180" si="41">IF(COUNT(M171:Z171)&gt;0,AVERAGE(M171:Z171),"")</f>
        <v>86357.142857142855</v>
      </c>
      <c r="F171" s="45">
        <f t="shared" ref="F171:F180" si="42">IF(COUNT(M171:Z171)&gt;0,MIN(M171:Z171),"")</f>
        <v>14000</v>
      </c>
      <c r="G171" s="45">
        <f t="shared" ref="G171:G180" si="43">IF(COUNT(M171:Z171)&gt;0,MAX(M171:Z171),"")</f>
        <v>1017000</v>
      </c>
      <c r="H171" s="45">
        <f t="shared" ref="H171:H180" si="44">IF(COUNT(M171:Z171)&gt;0,QUARTILE(M171:Z171,1),"")</f>
        <v>14000</v>
      </c>
      <c r="I171" s="45">
        <f t="shared" ref="I171:I180" si="45">IF(COUNT(M171:Z171)&gt;0,QUARTILE(M171:Z171,3),"")</f>
        <v>15000</v>
      </c>
      <c r="J171" s="45">
        <f t="shared" ref="J171:J180" si="46">IF(COUNT(M171:Z171)&gt;1,STDEV(M171:Z171),"")</f>
        <v>267858.34578484466</v>
      </c>
      <c r="K171" s="46">
        <f t="shared" ref="K171:K180" si="47">IF(COUNT(M171:Z171)&gt;1,STDEV(M171:Z171)/AVERAGE(M171:Z171),"")</f>
        <v>3.1017509023886065</v>
      </c>
      <c r="L171" s="47"/>
      <c r="M171" s="47">
        <v>15000</v>
      </c>
      <c r="N171" s="47">
        <v>14000</v>
      </c>
      <c r="O171" s="47">
        <v>14000</v>
      </c>
      <c r="P171" s="47">
        <v>14000</v>
      </c>
      <c r="Q171" s="47">
        <v>14000</v>
      </c>
      <c r="R171" s="47">
        <v>15000</v>
      </c>
      <c r="S171" s="47">
        <v>15000</v>
      </c>
      <c r="T171" s="47">
        <v>16000</v>
      </c>
      <c r="U171" s="47">
        <v>15000</v>
      </c>
      <c r="V171" s="47">
        <v>14000</v>
      </c>
      <c r="W171" s="47">
        <v>16000</v>
      </c>
      <c r="X171" s="47">
        <v>15000</v>
      </c>
      <c r="Y171" s="47">
        <v>15000</v>
      </c>
      <c r="Z171" s="47">
        <v>1017000</v>
      </c>
      <c r="AB171" s="30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 hidden="1" outlineLevel="4" x14ac:dyDescent="0.25">
      <c r="A172" s="29">
        <v>1</v>
      </c>
      <c r="C172" s="24" t="str">
        <f>"                Preferred Stock"</f>
        <v xml:space="preserve">                Preferred Stock</v>
      </c>
      <c r="D172" s="32">
        <f t="shared" si="40"/>
        <v>10391000</v>
      </c>
      <c r="E172" s="32">
        <f t="shared" si="41"/>
        <v>6856400</v>
      </c>
      <c r="F172" s="32">
        <f t="shared" si="42"/>
        <v>0</v>
      </c>
      <c r="G172" s="32">
        <f t="shared" si="43"/>
        <v>10391000</v>
      </c>
      <c r="H172" s="32">
        <f t="shared" si="44"/>
        <v>3109000</v>
      </c>
      <c r="I172" s="32">
        <f t="shared" si="45"/>
        <v>10391000</v>
      </c>
      <c r="J172" s="32">
        <f t="shared" si="46"/>
        <v>4963200.0564152161</v>
      </c>
      <c r="K172" s="33">
        <f t="shared" si="47"/>
        <v>0.72387842839029459</v>
      </c>
      <c r="L172" s="37"/>
      <c r="M172" s="37" t="s">
        <v>124</v>
      </c>
      <c r="N172" s="37" t="s">
        <v>124</v>
      </c>
      <c r="O172" s="37" t="s">
        <v>124</v>
      </c>
      <c r="P172" s="37" t="s">
        <v>124</v>
      </c>
      <c r="Q172" s="37" t="s">
        <v>124</v>
      </c>
      <c r="R172" s="37" t="s">
        <v>124</v>
      </c>
      <c r="S172" s="37" t="s">
        <v>124</v>
      </c>
      <c r="T172" s="37" t="s">
        <v>124</v>
      </c>
      <c r="U172" s="37">
        <v>3109000</v>
      </c>
      <c r="V172" s="37">
        <v>10391000</v>
      </c>
      <c r="W172" s="37">
        <v>10391000</v>
      </c>
      <c r="X172" s="37">
        <v>10391000</v>
      </c>
      <c r="Y172" s="37">
        <v>0</v>
      </c>
      <c r="Z172" s="37" t="s">
        <v>124</v>
      </c>
      <c r="AB172" s="30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 hidden="1" outlineLevel="4" x14ac:dyDescent="0.25">
      <c r="A173" s="29">
        <v>1</v>
      </c>
      <c r="C173" s="24" t="str">
        <f>"                Additional Paid in Capital/Share Premium"</f>
        <v xml:space="preserve">                Additional Paid in Capital/Share Premium</v>
      </c>
      <c r="D173" s="32">
        <f t="shared" si="40"/>
        <v>26232500</v>
      </c>
      <c r="E173" s="32">
        <f t="shared" si="41"/>
        <v>25566357.142857142</v>
      </c>
      <c r="F173" s="32">
        <f t="shared" si="42"/>
        <v>16489000</v>
      </c>
      <c r="G173" s="32">
        <f t="shared" si="43"/>
        <v>28937000</v>
      </c>
      <c r="H173" s="32">
        <f t="shared" si="44"/>
        <v>24535500</v>
      </c>
      <c r="I173" s="32">
        <f t="shared" si="45"/>
        <v>27041500</v>
      </c>
      <c r="J173" s="32">
        <f t="shared" si="46"/>
        <v>3056710.6404696638</v>
      </c>
      <c r="K173" s="33">
        <f t="shared" si="47"/>
        <v>0.11955988189438491</v>
      </c>
      <c r="L173" s="37"/>
      <c r="M173" s="37">
        <v>27061000</v>
      </c>
      <c r="N173" s="37">
        <v>26542000</v>
      </c>
      <c r="O173" s="37">
        <v>26074000</v>
      </c>
      <c r="P173" s="37">
        <v>25563000</v>
      </c>
      <c r="Q173" s="37">
        <v>25371000</v>
      </c>
      <c r="R173" s="37">
        <v>26983000</v>
      </c>
      <c r="S173" s="37">
        <v>27607000</v>
      </c>
      <c r="T173" s="37">
        <v>28937000</v>
      </c>
      <c r="U173" s="37">
        <v>28780000</v>
      </c>
      <c r="V173" s="37">
        <v>23834000</v>
      </c>
      <c r="W173" s="37">
        <v>26391000</v>
      </c>
      <c r="X173" s="37">
        <v>24257000</v>
      </c>
      <c r="Y173" s="37">
        <v>24040000</v>
      </c>
      <c r="Z173" s="37">
        <v>16489000</v>
      </c>
      <c r="AB173" s="30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 hidden="1" outlineLevel="4" x14ac:dyDescent="0.25">
      <c r="A174" s="29">
        <v>1</v>
      </c>
      <c r="C174" s="25" t="str">
        <f>"                Total Capital Stock"</f>
        <v xml:space="preserve">                Total Capital Stock</v>
      </c>
      <c r="D174" s="45">
        <f t="shared" si="40"/>
        <v>27037000</v>
      </c>
      <c r="E174" s="45">
        <f t="shared" si="41"/>
        <v>28101428.571428571</v>
      </c>
      <c r="F174" s="45">
        <f t="shared" si="42"/>
        <v>17506000</v>
      </c>
      <c r="G174" s="45">
        <f t="shared" si="43"/>
        <v>36798000</v>
      </c>
      <c r="H174" s="45">
        <f t="shared" si="44"/>
        <v>25704750</v>
      </c>
      <c r="I174" s="45">
        <f t="shared" si="45"/>
        <v>31166250</v>
      </c>
      <c r="J174" s="45">
        <f t="shared" si="46"/>
        <v>4983578.0274862759</v>
      </c>
      <c r="K174" s="46">
        <f t="shared" si="47"/>
        <v>0.177342515339352</v>
      </c>
      <c r="L174" s="47"/>
      <c r="M174" s="47">
        <v>27076000</v>
      </c>
      <c r="N174" s="47">
        <v>26556000</v>
      </c>
      <c r="O174" s="47">
        <v>26088000</v>
      </c>
      <c r="P174" s="47">
        <v>25577000</v>
      </c>
      <c r="Q174" s="47">
        <v>25385000</v>
      </c>
      <c r="R174" s="47">
        <v>26998000</v>
      </c>
      <c r="S174" s="47">
        <v>27622000</v>
      </c>
      <c r="T174" s="47">
        <v>28953000</v>
      </c>
      <c r="U174" s="47">
        <v>31904000</v>
      </c>
      <c r="V174" s="47">
        <v>34239000</v>
      </c>
      <c r="W174" s="47">
        <v>36798000</v>
      </c>
      <c r="X174" s="47">
        <v>34663000</v>
      </c>
      <c r="Y174" s="47">
        <v>24055000</v>
      </c>
      <c r="Z174" s="47">
        <v>17506000</v>
      </c>
      <c r="AB174" s="30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 outlineLevel="3" x14ac:dyDescent="0.25">
      <c r="A175" s="29">
        <v>1</v>
      </c>
      <c r="C175" s="25" t="str">
        <f>"            Total Paid in Capital"</f>
        <v xml:space="preserve">            Total Paid in Capital</v>
      </c>
      <c r="D175" s="45">
        <f t="shared" si="40"/>
        <v>27037000</v>
      </c>
      <c r="E175" s="45">
        <f t="shared" si="41"/>
        <v>28101428.571428571</v>
      </c>
      <c r="F175" s="45">
        <f t="shared" si="42"/>
        <v>17506000</v>
      </c>
      <c r="G175" s="45">
        <f t="shared" si="43"/>
        <v>36798000</v>
      </c>
      <c r="H175" s="45">
        <f t="shared" si="44"/>
        <v>25704750</v>
      </c>
      <c r="I175" s="45">
        <f t="shared" si="45"/>
        <v>31166250</v>
      </c>
      <c r="J175" s="45">
        <f t="shared" si="46"/>
        <v>4983578.0274862759</v>
      </c>
      <c r="K175" s="46">
        <f t="shared" si="47"/>
        <v>0.177342515339352</v>
      </c>
      <c r="L175" s="47"/>
      <c r="M175" s="47">
        <v>27076000</v>
      </c>
      <c r="N175" s="47">
        <v>26556000</v>
      </c>
      <c r="O175" s="47">
        <v>26088000</v>
      </c>
      <c r="P175" s="47">
        <v>25577000</v>
      </c>
      <c r="Q175" s="47">
        <v>25385000</v>
      </c>
      <c r="R175" s="47">
        <v>26998000</v>
      </c>
      <c r="S175" s="47">
        <v>27622000</v>
      </c>
      <c r="T175" s="47">
        <v>28953000</v>
      </c>
      <c r="U175" s="47">
        <v>31904000</v>
      </c>
      <c r="V175" s="47">
        <v>34239000</v>
      </c>
      <c r="W175" s="47">
        <v>36798000</v>
      </c>
      <c r="X175" s="47">
        <v>34663000</v>
      </c>
      <c r="Y175" s="47">
        <v>24055000</v>
      </c>
      <c r="Z175" s="47">
        <v>17506000</v>
      </c>
      <c r="AB175" s="30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 outlineLevel="2" x14ac:dyDescent="0.25">
      <c r="A176" s="29">
        <v>1</v>
      </c>
      <c r="C176" s="24" t="str">
        <f>"        Retained Earnings/Accumulated Deficit"</f>
        <v xml:space="preserve">        Retained Earnings/Accumulated Deficit</v>
      </c>
      <c r="D176" s="32">
        <f t="shared" si="40"/>
        <v>16102000</v>
      </c>
      <c r="E176" s="32">
        <f t="shared" si="41"/>
        <v>11281357.142857144</v>
      </c>
      <c r="F176" s="32">
        <f t="shared" si="42"/>
        <v>-70727000</v>
      </c>
      <c r="G176" s="32">
        <f t="shared" si="43"/>
        <v>41937000</v>
      </c>
      <c r="H176" s="32">
        <f t="shared" si="44"/>
        <v>7901500</v>
      </c>
      <c r="I176" s="32">
        <f t="shared" si="45"/>
        <v>25206500</v>
      </c>
      <c r="J176" s="32">
        <f t="shared" si="46"/>
        <v>26606822.510277446</v>
      </c>
      <c r="K176" s="33">
        <f t="shared" si="47"/>
        <v>2.3584771028301068</v>
      </c>
      <c r="L176" s="37"/>
      <c r="M176" s="37">
        <v>41937000</v>
      </c>
      <c r="N176" s="37">
        <v>31962000</v>
      </c>
      <c r="O176" s="37">
        <v>26860000</v>
      </c>
      <c r="P176" s="37">
        <v>22322000</v>
      </c>
      <c r="Q176" s="37">
        <v>17627000</v>
      </c>
      <c r="R176" s="37">
        <v>26168000</v>
      </c>
      <c r="S176" s="37">
        <v>20285000</v>
      </c>
      <c r="T176" s="37">
        <v>14577000</v>
      </c>
      <c r="U176" s="37">
        <v>13816000</v>
      </c>
      <c r="V176" s="37">
        <v>10057000</v>
      </c>
      <c r="W176" s="37">
        <v>7183000</v>
      </c>
      <c r="X176" s="37">
        <v>266000</v>
      </c>
      <c r="Y176" s="37">
        <v>-4394000</v>
      </c>
      <c r="Z176" s="37">
        <v>-70727000</v>
      </c>
      <c r="AB176" s="30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 outlineLevel="2" x14ac:dyDescent="0.25">
      <c r="A177" s="29">
        <v>1</v>
      </c>
      <c r="C177" s="24" t="str">
        <f>"        Reserves/Accumulated Comprehensive Income/Losses"</f>
        <v xml:space="preserve">        Reserves/Accumulated Comprehensive Income/Losses</v>
      </c>
      <c r="D177" s="32">
        <f t="shared" si="40"/>
        <v>-8062500</v>
      </c>
      <c r="E177" s="32">
        <f t="shared" si="41"/>
        <v>-8780571.4285714291</v>
      </c>
      <c r="F177" s="32">
        <f t="shared" si="42"/>
        <v>-32339000</v>
      </c>
      <c r="G177" s="32">
        <f t="shared" si="43"/>
        <v>1588000</v>
      </c>
      <c r="H177" s="32">
        <f t="shared" si="44"/>
        <v>-9314750</v>
      </c>
      <c r="I177" s="32">
        <f t="shared" si="45"/>
        <v>-6398500</v>
      </c>
      <c r="J177" s="32">
        <f t="shared" si="46"/>
        <v>8011397.5705220765</v>
      </c>
      <c r="K177" s="33">
        <f t="shared" si="47"/>
        <v>-0.91240047822553905</v>
      </c>
      <c r="L177" s="37"/>
      <c r="M177" s="37">
        <v>-9269000</v>
      </c>
      <c r="N177" s="37">
        <v>-13488000</v>
      </c>
      <c r="O177" s="37">
        <v>-11156000</v>
      </c>
      <c r="P177" s="37">
        <v>-9039000</v>
      </c>
      <c r="Q177" s="37">
        <v>-8011000</v>
      </c>
      <c r="R177" s="37">
        <v>-9330000</v>
      </c>
      <c r="S177" s="37">
        <v>-8036000</v>
      </c>
      <c r="T177" s="37">
        <v>-8073000</v>
      </c>
      <c r="U177" s="37">
        <v>-3113000</v>
      </c>
      <c r="V177" s="37">
        <v>-8052000</v>
      </c>
      <c r="W177" s="37">
        <v>-5861000</v>
      </c>
      <c r="X177" s="37">
        <v>1251000</v>
      </c>
      <c r="Y177" s="37">
        <v>1588000</v>
      </c>
      <c r="Z177" s="37">
        <v>-32339000</v>
      </c>
      <c r="AB177" s="30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 outlineLevel="2" x14ac:dyDescent="0.25">
      <c r="A178" s="29">
        <v>1</v>
      </c>
      <c r="C178" s="25" t="str">
        <f>"        Total Equity Attributable to Parent Stockholders"</f>
        <v xml:space="preserve">        Total Equity Attributable to Parent Stockholders</v>
      </c>
      <c r="D178" s="45">
        <f t="shared" si="40"/>
        <v>38490000</v>
      </c>
      <c r="E178" s="45">
        <f t="shared" si="41"/>
        <v>30602214.285714287</v>
      </c>
      <c r="F178" s="45">
        <f t="shared" si="42"/>
        <v>-85560000</v>
      </c>
      <c r="G178" s="45">
        <f t="shared" si="43"/>
        <v>59744000</v>
      </c>
      <c r="H178" s="45">
        <f t="shared" si="44"/>
        <v>35637750</v>
      </c>
      <c r="I178" s="45">
        <f t="shared" si="45"/>
        <v>42403250</v>
      </c>
      <c r="J178" s="45">
        <f t="shared" si="46"/>
        <v>34417666.309343502</v>
      </c>
      <c r="K178" s="46">
        <f t="shared" si="47"/>
        <v>1.1246789525753482</v>
      </c>
      <c r="L178" s="47"/>
      <c r="M178" s="47">
        <v>59744000</v>
      </c>
      <c r="N178" s="47">
        <v>45030000</v>
      </c>
      <c r="O178" s="47">
        <v>41792000</v>
      </c>
      <c r="P178" s="47">
        <v>38860000</v>
      </c>
      <c r="Q178" s="47">
        <v>35001000</v>
      </c>
      <c r="R178" s="47">
        <v>43836000</v>
      </c>
      <c r="S178" s="47">
        <v>39871000</v>
      </c>
      <c r="T178" s="47">
        <v>35457000</v>
      </c>
      <c r="U178" s="47">
        <v>42607000</v>
      </c>
      <c r="V178" s="47">
        <v>36244000</v>
      </c>
      <c r="W178" s="47">
        <v>38120000</v>
      </c>
      <c r="X178" s="47">
        <v>36180000</v>
      </c>
      <c r="Y178" s="47">
        <v>21249000</v>
      </c>
      <c r="Z178" s="47">
        <v>-85560000</v>
      </c>
      <c r="AB178" s="30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 outlineLevel="1" x14ac:dyDescent="0.25">
      <c r="A179" s="29">
        <v>1</v>
      </c>
      <c r="C179" s="24" t="str">
        <f>"    Non-Controlling/Minority Interests"</f>
        <v xml:space="preserve">    Non-Controlling/Minority Interests</v>
      </c>
      <c r="D179" s="32">
        <f t="shared" si="40"/>
        <v>813500</v>
      </c>
      <c r="E179" s="32">
        <f t="shared" si="41"/>
        <v>1830142.857142857</v>
      </c>
      <c r="F179" s="32">
        <f t="shared" si="42"/>
        <v>239000</v>
      </c>
      <c r="G179" s="32">
        <f t="shared" si="43"/>
        <v>6071000</v>
      </c>
      <c r="H179" s="32">
        <f t="shared" si="44"/>
        <v>567000</v>
      </c>
      <c r="I179" s="32">
        <f t="shared" si="45"/>
        <v>3237500</v>
      </c>
      <c r="J179" s="32">
        <f t="shared" si="46"/>
        <v>1953615.6955026456</v>
      </c>
      <c r="K179" s="33">
        <f t="shared" si="47"/>
        <v>1.0674662296868722</v>
      </c>
      <c r="L179" s="37"/>
      <c r="M179" s="37">
        <v>6071000</v>
      </c>
      <c r="N179" s="37">
        <v>4647000</v>
      </c>
      <c r="O179" s="37">
        <v>4165000</v>
      </c>
      <c r="P179" s="37">
        <v>3917000</v>
      </c>
      <c r="Q179" s="37">
        <v>1199000</v>
      </c>
      <c r="R179" s="37">
        <v>239000</v>
      </c>
      <c r="S179" s="37">
        <v>452000</v>
      </c>
      <c r="T179" s="37">
        <v>567000</v>
      </c>
      <c r="U179" s="37">
        <v>567000</v>
      </c>
      <c r="V179" s="37">
        <v>756000</v>
      </c>
      <c r="W179" s="37">
        <v>871000</v>
      </c>
      <c r="X179" s="37">
        <v>979000</v>
      </c>
      <c r="Y179" s="37">
        <v>708000</v>
      </c>
      <c r="Z179" s="37">
        <v>484000</v>
      </c>
      <c r="AB179" s="30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 outlineLevel="1" x14ac:dyDescent="0.25">
      <c r="A180" s="29">
        <v>1</v>
      </c>
      <c r="C180" s="116" t="str">
        <f>"    Total Equity"</f>
        <v xml:space="preserve">    Total Equity</v>
      </c>
      <c r="D180" s="119">
        <f t="shared" si="40"/>
        <v>39657000</v>
      </c>
      <c r="E180" s="119">
        <f t="shared" si="41"/>
        <v>32432357.142857142</v>
      </c>
      <c r="F180" s="119">
        <f t="shared" si="42"/>
        <v>-85076000</v>
      </c>
      <c r="G180" s="119">
        <f t="shared" si="43"/>
        <v>65815000</v>
      </c>
      <c r="H180" s="119">
        <f t="shared" si="44"/>
        <v>36400000</v>
      </c>
      <c r="I180" s="119">
        <f t="shared" si="45"/>
        <v>43849750</v>
      </c>
      <c r="J180" s="119">
        <f t="shared" si="46"/>
        <v>35132895.901150808</v>
      </c>
      <c r="K180" s="120">
        <f t="shared" si="47"/>
        <v>1.0832668050119949</v>
      </c>
      <c r="L180" s="119"/>
      <c r="M180" s="119">
        <v>65815000</v>
      </c>
      <c r="N180" s="119">
        <v>49677000</v>
      </c>
      <c r="O180" s="119">
        <v>45957000</v>
      </c>
      <c r="P180" s="119">
        <v>42777000</v>
      </c>
      <c r="Q180" s="119">
        <v>36200000</v>
      </c>
      <c r="R180" s="45">
        <v>44075000</v>
      </c>
      <c r="S180" s="45">
        <v>40323000</v>
      </c>
      <c r="T180" s="45">
        <v>36024000</v>
      </c>
      <c r="U180" s="45">
        <v>43174000</v>
      </c>
      <c r="V180" s="45">
        <v>37000000</v>
      </c>
      <c r="W180" s="45">
        <v>38991000</v>
      </c>
      <c r="X180" s="45">
        <v>37159000</v>
      </c>
      <c r="Y180" s="45">
        <v>21957000</v>
      </c>
      <c r="Z180" s="45">
        <v>-85076000</v>
      </c>
      <c r="AB180" s="30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 x14ac:dyDescent="0.25">
      <c r="A181" s="29">
        <v>1</v>
      </c>
      <c r="C181" s="26" t="str">
        <f>"Balance Sheet Supplemental Section"</f>
        <v>Balance Sheet Supplemental Section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 t="s">
        <v>124</v>
      </c>
      <c r="N181" s="44" t="s">
        <v>124</v>
      </c>
      <c r="O181" s="44" t="s">
        <v>124</v>
      </c>
      <c r="P181" s="44" t="s">
        <v>124</v>
      </c>
      <c r="Q181" s="44" t="s">
        <v>124</v>
      </c>
      <c r="R181" s="44" t="s">
        <v>124</v>
      </c>
      <c r="S181" s="44" t="s">
        <v>124</v>
      </c>
      <c r="T181" s="44" t="s">
        <v>124</v>
      </c>
      <c r="U181" s="44" t="s">
        <v>124</v>
      </c>
      <c r="V181" s="44" t="s">
        <v>124</v>
      </c>
      <c r="W181" s="44" t="s">
        <v>124</v>
      </c>
      <c r="X181" s="44" t="s">
        <v>124</v>
      </c>
      <c r="Y181" s="44" t="s">
        <v>124</v>
      </c>
      <c r="Z181" s="44" t="s">
        <v>124</v>
      </c>
      <c r="AB181" s="30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 outlineLevel="1" x14ac:dyDescent="0.25">
      <c r="A182" s="29">
        <v>1</v>
      </c>
      <c r="C182" s="24" t="str">
        <f>IF(SUBTOTAL(109,A182)=A182,"    Common Shares Issued","    Common Shares Issued")</f>
        <v xml:space="preserve">    Common Shares Issued</v>
      </c>
      <c r="D182" s="32" t="str">
        <f t="shared" ref="D182:D187" si="48">IF(COUNT(M182:Z182)&gt;0,MEDIAN(M182:Z182),"")</f>
        <v/>
      </c>
      <c r="E182" s="32" t="str">
        <f t="shared" ref="E182:E187" si="49">IF(COUNT(M182:Z182)&gt;0,AVERAGE(M182:Z182),"")</f>
        <v/>
      </c>
      <c r="F182" s="32" t="str">
        <f t="shared" ref="F182:F187" si="50">IF(COUNT(M182:Z182)&gt;0,MIN(M182:Z182),"")</f>
        <v/>
      </c>
      <c r="G182" s="32" t="str">
        <f t="shared" ref="G182:G187" si="51">IF(COUNT(M182:Z182)&gt;0,MAX(M182:Z182),"")</f>
        <v/>
      </c>
      <c r="H182" s="32" t="str">
        <f t="shared" ref="H182:H187" si="52">IF(COUNT(M182:Z182)&gt;0,QUARTILE(M182:Z182,1),"")</f>
        <v/>
      </c>
      <c r="I182" s="32" t="str">
        <f t="shared" ref="I182:I187" si="53">IF(COUNT(M182:Z182)&gt;0,QUARTILE(M182:Z182,3),"")</f>
        <v/>
      </c>
      <c r="J182" s="32" t="str">
        <f t="shared" ref="J182:J187" si="54">IF(COUNT(M182:Z182)&gt;1,STDEV(M182:Z182),"")</f>
        <v/>
      </c>
      <c r="K182" s="33" t="str">
        <f t="shared" ref="K182:K187" si="55">IF(COUNT(M182:Z182)&gt;1,STDEV(M182:Z182)/AVERAGE(M182:Z182),"")</f>
        <v/>
      </c>
      <c r="L182" s="37"/>
      <c r="M182" s="37" t="str">
        <f>IF(SUBTOTAL(109,A182)=A182,"",1500000000)</f>
        <v/>
      </c>
      <c r="N182" s="37" t="str">
        <f>IF(SUBTOTAL(109,A182)=A182,"",1400000000)</f>
        <v/>
      </c>
      <c r="O182" s="37" t="str">
        <f>IF(SUBTOTAL(109,A182)=A182,"",1400000000)</f>
        <v/>
      </c>
      <c r="P182" s="37" t="str">
        <f>IF(SUBTOTAL(109,A182)=A182,"",1400000000)</f>
        <v/>
      </c>
      <c r="Q182" s="37" t="str">
        <f>IF(SUBTOTAL(109,A182)=A182,"",1400000000)</f>
        <v/>
      </c>
      <c r="R182" s="37" t="str">
        <f>IF(SUBTOTAL(109,A182)=A182,"",1500000000)</f>
        <v/>
      </c>
      <c r="S182" s="37" t="str">
        <f>IF(SUBTOTAL(109,A182)=A182,"",1500000000)</f>
        <v/>
      </c>
      <c r="T182" s="37" t="str">
        <f>IF(SUBTOTAL(109,A182)=A182,"",1600000000)</f>
        <v/>
      </c>
      <c r="U182" s="37" t="str">
        <f>IF(SUBTOTAL(109,A182)=A182,"",1500000000)</f>
        <v/>
      </c>
      <c r="V182" s="37" t="str">
        <f>IF(SUBTOTAL(109,A182)=A182,"",1366373526)</f>
        <v/>
      </c>
      <c r="W182" s="37" t="str">
        <f>IF(SUBTOTAL(109,A182)=A182,"",1564727289)</f>
        <v/>
      </c>
      <c r="X182" s="37" t="str">
        <f>IF(SUBTOTAL(109,A182)=A182,"",1500136998)</f>
        <v/>
      </c>
      <c r="Y182" s="37" t="str">
        <f>IF(SUBTOTAL(109,A182)=A182,"",1500000000)</f>
        <v/>
      </c>
      <c r="Z182" s="37" t="str">
        <f>IF(SUBTOTAL(109,A182)=A182,"",1500000000)</f>
        <v/>
      </c>
      <c r="AB182" s="30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 outlineLevel="2" x14ac:dyDescent="0.25">
      <c r="A183" s="29">
        <v>1</v>
      </c>
      <c r="C183" s="24" t="str">
        <f>"        Common Shares Outstanding"</f>
        <v xml:space="preserve">        Common Shares Outstanding</v>
      </c>
      <c r="D183" s="32">
        <f t="shared" si="48"/>
        <v>1500000000</v>
      </c>
      <c r="E183" s="32">
        <f t="shared" si="49"/>
        <v>1473659843.7857144</v>
      </c>
      <c r="F183" s="32">
        <f t="shared" si="50"/>
        <v>1366373526</v>
      </c>
      <c r="G183" s="32">
        <f t="shared" si="51"/>
        <v>1600000000</v>
      </c>
      <c r="H183" s="32">
        <f t="shared" si="52"/>
        <v>1400000000</v>
      </c>
      <c r="I183" s="32">
        <f t="shared" si="53"/>
        <v>1500000000</v>
      </c>
      <c r="J183" s="32">
        <f t="shared" si="54"/>
        <v>69244506.392433286</v>
      </c>
      <c r="K183" s="33">
        <f t="shared" si="55"/>
        <v>4.69881205519923E-2</v>
      </c>
      <c r="L183" s="37"/>
      <c r="M183" s="37">
        <v>1500000000</v>
      </c>
      <c r="N183" s="37">
        <v>1400000000</v>
      </c>
      <c r="O183" s="37">
        <v>1400000000</v>
      </c>
      <c r="P183" s="37">
        <v>1400000000</v>
      </c>
      <c r="Q183" s="37">
        <v>1400000000</v>
      </c>
      <c r="R183" s="37">
        <v>1500000000</v>
      </c>
      <c r="S183" s="37">
        <v>1500000000</v>
      </c>
      <c r="T183" s="37">
        <v>1600000000</v>
      </c>
      <c r="U183" s="37">
        <v>1500000000</v>
      </c>
      <c r="V183" s="37">
        <v>1366373526</v>
      </c>
      <c r="W183" s="37">
        <v>1564727289</v>
      </c>
      <c r="X183" s="37">
        <v>1500136998</v>
      </c>
      <c r="Y183" s="37">
        <v>1500000000</v>
      </c>
      <c r="Z183" s="37">
        <v>1500000000</v>
      </c>
      <c r="AB183" s="30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 outlineLevel="2" x14ac:dyDescent="0.25">
      <c r="A184" s="29">
        <v>1</v>
      </c>
      <c r="C184" s="25" t="str">
        <f>"        Total Common Shares Issued"</f>
        <v xml:space="preserve">        Total Common Shares Issued</v>
      </c>
      <c r="D184" s="45">
        <f t="shared" si="48"/>
        <v>1500000000</v>
      </c>
      <c r="E184" s="45">
        <f t="shared" si="49"/>
        <v>1473659843.7857144</v>
      </c>
      <c r="F184" s="45">
        <f t="shared" si="50"/>
        <v>1366373526</v>
      </c>
      <c r="G184" s="45">
        <f t="shared" si="51"/>
        <v>1600000000</v>
      </c>
      <c r="H184" s="45">
        <f t="shared" si="52"/>
        <v>1400000000</v>
      </c>
      <c r="I184" s="45">
        <f t="shared" si="53"/>
        <v>1500000000</v>
      </c>
      <c r="J184" s="45">
        <f t="shared" si="54"/>
        <v>69244506.392433286</v>
      </c>
      <c r="K184" s="46">
        <f t="shared" si="55"/>
        <v>4.69881205519923E-2</v>
      </c>
      <c r="L184" s="47"/>
      <c r="M184" s="47">
        <v>1500000000</v>
      </c>
      <c r="N184" s="47">
        <v>1400000000</v>
      </c>
      <c r="O184" s="47">
        <v>1400000000</v>
      </c>
      <c r="P184" s="47">
        <v>1400000000</v>
      </c>
      <c r="Q184" s="47">
        <v>1400000000</v>
      </c>
      <c r="R184" s="47">
        <v>1500000000</v>
      </c>
      <c r="S184" s="47">
        <v>1500000000</v>
      </c>
      <c r="T184" s="47">
        <v>1600000000</v>
      </c>
      <c r="U184" s="47">
        <v>1500000000</v>
      </c>
      <c r="V184" s="47">
        <v>1366373526</v>
      </c>
      <c r="W184" s="47">
        <v>1564727289</v>
      </c>
      <c r="X184" s="47">
        <v>1500136998</v>
      </c>
      <c r="Y184" s="47">
        <v>1500000000</v>
      </c>
      <c r="Z184" s="47">
        <v>1500000000</v>
      </c>
      <c r="AB184" s="30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 outlineLevel="1" x14ac:dyDescent="0.25">
      <c r="A185" s="29">
        <v>1</v>
      </c>
      <c r="C185" s="24" t="str">
        <f>IF(SUBTOTAL(109,A185)=A185,"    Preferred Shares Issued","    Preferred Shares Issued")</f>
        <v xml:space="preserve">    Preferred Shares Issued</v>
      </c>
      <c r="D185" s="32" t="str">
        <f t="shared" si="48"/>
        <v/>
      </c>
      <c r="E185" s="32" t="str">
        <f t="shared" si="49"/>
        <v/>
      </c>
      <c r="F185" s="32" t="str">
        <f t="shared" si="50"/>
        <v/>
      </c>
      <c r="G185" s="32" t="str">
        <f t="shared" si="51"/>
        <v/>
      </c>
      <c r="H185" s="32" t="str">
        <f t="shared" si="52"/>
        <v/>
      </c>
      <c r="I185" s="32" t="str">
        <f t="shared" si="53"/>
        <v/>
      </c>
      <c r="J185" s="32" t="str">
        <f t="shared" si="54"/>
        <v/>
      </c>
      <c r="K185" s="33" t="str">
        <f t="shared" si="55"/>
        <v/>
      </c>
      <c r="L185" s="37"/>
      <c r="M185" s="37" t="str">
        <f>IF(SUBTOTAL(109,A185)=A185,"","")</f>
        <v/>
      </c>
      <c r="N185" s="37" t="str">
        <f>IF(SUBTOTAL(109,A185)=A185,"","")</f>
        <v/>
      </c>
      <c r="O185" s="37" t="str">
        <f>IF(SUBTOTAL(109,A185)=A185,"","")</f>
        <v/>
      </c>
      <c r="P185" s="37" t="str">
        <f>IF(SUBTOTAL(109,A185)=A185,"","")</f>
        <v/>
      </c>
      <c r="Q185" s="37" t="str">
        <f>IF(SUBTOTAL(109,A185)=A185,"","")</f>
        <v/>
      </c>
      <c r="R185" s="37" t="str">
        <f>IF(SUBTOTAL(109,A185)=A185,"","")</f>
        <v/>
      </c>
      <c r="S185" s="37" t="str">
        <f>IF(SUBTOTAL(109,A185)=A185,"","")</f>
        <v/>
      </c>
      <c r="T185" s="37" t="str">
        <f>IF(SUBTOTAL(109,A185)=A185,"",156000000)</f>
        <v/>
      </c>
      <c r="U185" s="37" t="str">
        <f>IF(SUBTOTAL(109,A185)=A185,"",156000000)</f>
        <v/>
      </c>
      <c r="V185" s="37" t="str">
        <f>IF(SUBTOTAL(109,A185)=A185,"",376101695)</f>
        <v/>
      </c>
      <c r="W185" s="37" t="str">
        <f>IF(SUBTOTAL(109,A185)=A185,"",376101695)</f>
        <v/>
      </c>
      <c r="X185" s="37" t="str">
        <f>IF(SUBTOTAL(109,A185)=A185,"",376101695)</f>
        <v/>
      </c>
      <c r="Y185" s="37" t="str">
        <f>IF(SUBTOTAL(109,A185)=A185,"",376101695)</f>
        <v/>
      </c>
      <c r="Z185" s="37" t="str">
        <f>IF(SUBTOTAL(109,A185)=A185,"",376101695)</f>
        <v/>
      </c>
      <c r="AB185" s="30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 outlineLevel="2" x14ac:dyDescent="0.25">
      <c r="A186" s="29">
        <v>1</v>
      </c>
      <c r="C186" s="24" t="str">
        <f>"        Preferred Shares Outstanding"</f>
        <v xml:space="preserve">        Preferred Shares Outstanding</v>
      </c>
      <c r="D186" s="32">
        <f t="shared" si="48"/>
        <v>376101695</v>
      </c>
      <c r="E186" s="32">
        <f t="shared" si="49"/>
        <v>313215496.4285714</v>
      </c>
      <c r="F186" s="32">
        <f t="shared" si="50"/>
        <v>156000000</v>
      </c>
      <c r="G186" s="32">
        <f t="shared" si="51"/>
        <v>376101695</v>
      </c>
      <c r="H186" s="32">
        <f t="shared" si="52"/>
        <v>266050847.5</v>
      </c>
      <c r="I186" s="32">
        <f t="shared" si="53"/>
        <v>376101695</v>
      </c>
      <c r="J186" s="32">
        <f t="shared" si="54"/>
        <v>107398630.10329798</v>
      </c>
      <c r="K186" s="33">
        <f t="shared" si="55"/>
        <v>0.34289053807332986</v>
      </c>
      <c r="L186" s="37"/>
      <c r="M186" s="37" t="s">
        <v>124</v>
      </c>
      <c r="N186" s="37" t="s">
        <v>124</v>
      </c>
      <c r="O186" s="37" t="s">
        <v>124</v>
      </c>
      <c r="P186" s="37" t="s">
        <v>124</v>
      </c>
      <c r="Q186" s="37" t="s">
        <v>124</v>
      </c>
      <c r="R186" s="37" t="s">
        <v>124</v>
      </c>
      <c r="S186" s="37" t="s">
        <v>124</v>
      </c>
      <c r="T186" s="37">
        <v>156000000</v>
      </c>
      <c r="U186" s="37">
        <v>156000000</v>
      </c>
      <c r="V186" s="37">
        <v>376101695</v>
      </c>
      <c r="W186" s="37">
        <v>376101695</v>
      </c>
      <c r="X186" s="37">
        <v>376101695</v>
      </c>
      <c r="Y186" s="37">
        <v>376101695</v>
      </c>
      <c r="Z186" s="37">
        <v>376101695</v>
      </c>
      <c r="AB186" s="30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 outlineLevel="2" x14ac:dyDescent="0.25">
      <c r="A187" s="29">
        <v>1</v>
      </c>
      <c r="C187" s="25" t="str">
        <f>"        Total Preferred Shares Issued"</f>
        <v xml:space="preserve">        Total Preferred Shares Issued</v>
      </c>
      <c r="D187" s="45">
        <f t="shared" si="48"/>
        <v>376101695</v>
      </c>
      <c r="E187" s="45">
        <f t="shared" si="49"/>
        <v>313215496.4285714</v>
      </c>
      <c r="F187" s="45">
        <f t="shared" si="50"/>
        <v>156000000</v>
      </c>
      <c r="G187" s="45">
        <f t="shared" si="51"/>
        <v>376101695</v>
      </c>
      <c r="H187" s="45">
        <f t="shared" si="52"/>
        <v>266050847.5</v>
      </c>
      <c r="I187" s="45">
        <f t="shared" si="53"/>
        <v>376101695</v>
      </c>
      <c r="J187" s="45">
        <f t="shared" si="54"/>
        <v>107398630.10329798</v>
      </c>
      <c r="K187" s="46">
        <f t="shared" si="55"/>
        <v>0.34289053807332986</v>
      </c>
      <c r="L187" s="47"/>
      <c r="M187" s="47" t="s">
        <v>124</v>
      </c>
      <c r="N187" s="47" t="s">
        <v>124</v>
      </c>
      <c r="O187" s="47" t="s">
        <v>124</v>
      </c>
      <c r="P187" s="47" t="s">
        <v>124</v>
      </c>
      <c r="Q187" s="47" t="s">
        <v>124</v>
      </c>
      <c r="R187" s="47" t="s">
        <v>124</v>
      </c>
      <c r="S187" s="47" t="s">
        <v>124</v>
      </c>
      <c r="T187" s="47">
        <v>156000000</v>
      </c>
      <c r="U187" s="47">
        <v>156000000</v>
      </c>
      <c r="V187" s="47">
        <v>376101695</v>
      </c>
      <c r="W187" s="47">
        <v>376101695</v>
      </c>
      <c r="X187" s="47">
        <v>376101695</v>
      </c>
      <c r="Y187" s="47">
        <v>376101695</v>
      </c>
      <c r="Z187" s="47">
        <v>376101695</v>
      </c>
      <c r="AB187" s="30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 x14ac:dyDescent="0.25">
      <c r="A188" s="29">
        <v>1</v>
      </c>
      <c r="C188" s="26" t="str">
        <f>"Total Maturity Schedule"</f>
        <v>Total Maturity Schedule</v>
      </c>
      <c r="D188" s="44"/>
      <c r="E188" s="44"/>
      <c r="F188" s="44"/>
      <c r="G188" s="44"/>
      <c r="H188" s="44"/>
      <c r="I188" s="44"/>
      <c r="J188" s="44"/>
      <c r="K188" s="44"/>
      <c r="L188" s="44"/>
      <c r="M188" s="44" t="s">
        <v>124</v>
      </c>
      <c r="N188" s="44" t="s">
        <v>124</v>
      </c>
      <c r="O188" s="44" t="s">
        <v>124</v>
      </c>
      <c r="P188" s="44" t="s">
        <v>124</v>
      </c>
      <c r="Q188" s="44" t="s">
        <v>124</v>
      </c>
      <c r="R188" s="44" t="s">
        <v>124</v>
      </c>
      <c r="S188" s="44" t="s">
        <v>124</v>
      </c>
      <c r="T188" s="44" t="s">
        <v>124</v>
      </c>
      <c r="U188" s="44" t="s">
        <v>124</v>
      </c>
      <c r="V188" s="44" t="s">
        <v>124</v>
      </c>
      <c r="W188" s="44" t="s">
        <v>124</v>
      </c>
      <c r="X188" s="44" t="s">
        <v>124</v>
      </c>
      <c r="Y188" s="44" t="s">
        <v>124</v>
      </c>
      <c r="Z188" s="44" t="s">
        <v>124</v>
      </c>
      <c r="AB188" s="30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 outlineLevel="1" x14ac:dyDescent="0.25">
      <c r="A189" s="29">
        <v>1</v>
      </c>
      <c r="C189" s="24" t="str">
        <f>IF(SUBTOTAL(109,A189)=A189,"    Debt Maturity Schedule","    Debt Maturity Schedule Total")</f>
        <v xml:space="preserve">    Debt Maturity Schedule</v>
      </c>
      <c r="D189" s="32" t="str">
        <f t="shared" ref="D189:D234" si="56">IF(COUNT(M189:Z189)&gt;0,MEDIAN(M189:Z189),"")</f>
        <v/>
      </c>
      <c r="E189" s="32" t="str">
        <f t="shared" ref="E189:E234" si="57">IF(COUNT(M189:Z189)&gt;0,AVERAGE(M189:Z189),"")</f>
        <v/>
      </c>
      <c r="F189" s="32" t="str">
        <f t="shared" ref="F189:F234" si="58">IF(COUNT(M189:Z189)&gt;0,MIN(M189:Z189),"")</f>
        <v/>
      </c>
      <c r="G189" s="32" t="str">
        <f t="shared" ref="G189:G234" si="59">IF(COUNT(M189:Z189)&gt;0,MAX(M189:Z189),"")</f>
        <v/>
      </c>
      <c r="H189" s="32" t="str">
        <f t="shared" ref="H189:H234" si="60">IF(COUNT(M189:Z189)&gt;0,QUARTILE(M189:Z189,1),"")</f>
        <v/>
      </c>
      <c r="I189" s="32" t="str">
        <f t="shared" ref="I189:I234" si="61">IF(COUNT(M189:Z189)&gt;0,QUARTILE(M189:Z189,3),"")</f>
        <v/>
      </c>
      <c r="J189" s="32" t="str">
        <f t="shared" ref="J189:J234" si="62">IF(COUNT(M189:Z189)&gt;1,STDEV(M189:Z189),"")</f>
        <v/>
      </c>
      <c r="K189" s="33" t="str">
        <f t="shared" ref="K189:K234" si="63">IF(COUNT(M189:Z189)&gt;1,STDEV(M189:Z189)/AVERAGE(M189:Z189),"")</f>
        <v/>
      </c>
      <c r="L189" s="37"/>
      <c r="M189" s="37" t="str">
        <f>IF(SUBTOTAL(109,A189)=A189,"",109867000)</f>
        <v/>
      </c>
      <c r="N189" s="37" t="str">
        <f>IF(SUBTOTAL(109,A189)=A189,"",110024000)</f>
        <v/>
      </c>
      <c r="O189" s="37" t="str">
        <f>IF(SUBTOTAL(109,A189)=A189,"",103014000)</f>
        <v/>
      </c>
      <c r="P189" s="37" t="str">
        <f>IF(SUBTOTAL(109,A189)=A189,"",104423000)</f>
        <v/>
      </c>
      <c r="Q189" s="37" t="str">
        <f>IF(SUBTOTAL(109,A189)=A189,"",95010000)</f>
        <v/>
      </c>
      <c r="R189" s="37" t="str">
        <f>IF(SUBTOTAL(109,A189)=A189,"",85621000)</f>
        <v/>
      </c>
      <c r="S189" s="37" t="str">
        <f>IF(SUBTOTAL(109,A189)=A189,"",63838000)</f>
        <v/>
      </c>
      <c r="T189" s="37" t="str">
        <f>IF(SUBTOTAL(109,A189)=A189,"",47540000)</f>
        <v/>
      </c>
      <c r="U189" s="37" t="str">
        <f>IF(SUBTOTAL(109,A189)=A189,"",36183000)</f>
        <v/>
      </c>
      <c r="V189" s="37" t="str">
        <f>IF(SUBTOTAL(109,A189)=A189,"",16050000)</f>
        <v/>
      </c>
      <c r="W189" s="37" t="str">
        <f>IF(SUBTOTAL(109,A189)=A189,"","")</f>
        <v/>
      </c>
      <c r="X189" s="37" t="str">
        <f>IF(SUBTOTAL(109,A189)=A189,"","")</f>
        <v/>
      </c>
      <c r="Y189" s="37" t="str">
        <f>IF(SUBTOTAL(109,A189)=A189,"","")</f>
        <v/>
      </c>
      <c r="Z189" s="37" t="str">
        <f>IF(SUBTOTAL(109,A189)=A189,"","")</f>
        <v/>
      </c>
      <c r="AB189" s="30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 outlineLevel="2" x14ac:dyDescent="0.25">
      <c r="A190" s="29">
        <v>1</v>
      </c>
      <c r="C190" s="24" t="str">
        <f>"        Debt due in Year 1"</f>
        <v xml:space="preserve">        Debt due in Year 1</v>
      </c>
      <c r="D190" s="32">
        <f t="shared" si="56"/>
        <v>28400500</v>
      </c>
      <c r="E190" s="32">
        <f t="shared" si="57"/>
        <v>25065100</v>
      </c>
      <c r="F190" s="32">
        <f t="shared" si="58"/>
        <v>5049000</v>
      </c>
      <c r="G190" s="32">
        <f t="shared" si="59"/>
        <v>37390000</v>
      </c>
      <c r="H190" s="32">
        <f t="shared" si="60"/>
        <v>16147750</v>
      </c>
      <c r="I190" s="32">
        <f t="shared" si="61"/>
        <v>33311250</v>
      </c>
      <c r="J190" s="32">
        <f t="shared" si="62"/>
        <v>11027256.82066437</v>
      </c>
      <c r="K190" s="33">
        <f t="shared" si="63"/>
        <v>0.43994465693990331</v>
      </c>
      <c r="L190" s="37"/>
      <c r="M190" s="37">
        <v>33796000</v>
      </c>
      <c r="N190" s="37">
        <v>37018000</v>
      </c>
      <c r="O190" s="37">
        <v>37390000</v>
      </c>
      <c r="P190" s="37">
        <v>31857000</v>
      </c>
      <c r="Q190" s="37">
        <v>27030000</v>
      </c>
      <c r="R190" s="37">
        <v>29771000</v>
      </c>
      <c r="S190" s="37">
        <v>19609000</v>
      </c>
      <c r="T190" s="37">
        <v>14994000</v>
      </c>
      <c r="U190" s="37">
        <v>14137000</v>
      </c>
      <c r="V190" s="37">
        <v>5049000</v>
      </c>
      <c r="W190" s="37" t="s">
        <v>124</v>
      </c>
      <c r="X190" s="37" t="s">
        <v>124</v>
      </c>
      <c r="Y190" s="37" t="s">
        <v>124</v>
      </c>
      <c r="Z190" s="37" t="s">
        <v>124</v>
      </c>
      <c r="AB190" s="30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 outlineLevel="2" x14ac:dyDescent="0.25">
      <c r="A191" s="29">
        <v>1</v>
      </c>
      <c r="C191" s="24" t="str">
        <f>"        Debt due in Year 2"</f>
        <v xml:space="preserve">        Debt due in Year 2</v>
      </c>
      <c r="D191" s="32">
        <f t="shared" si="56"/>
        <v>15365500</v>
      </c>
      <c r="E191" s="32">
        <f t="shared" si="57"/>
        <v>13815500</v>
      </c>
      <c r="F191" s="32">
        <f t="shared" si="58"/>
        <v>2639000</v>
      </c>
      <c r="G191" s="32">
        <f t="shared" si="59"/>
        <v>23091000</v>
      </c>
      <c r="H191" s="32">
        <f t="shared" si="60"/>
        <v>8668250</v>
      </c>
      <c r="I191" s="32">
        <f t="shared" si="61"/>
        <v>18844500</v>
      </c>
      <c r="J191" s="32">
        <f t="shared" si="62"/>
        <v>7078537.5002790755</v>
      </c>
      <c r="K191" s="33">
        <f t="shared" si="63"/>
        <v>0.51236202093873373</v>
      </c>
      <c r="L191" s="37"/>
      <c r="M191" s="37">
        <v>23091000</v>
      </c>
      <c r="N191" s="37">
        <v>19449000</v>
      </c>
      <c r="O191" s="37" t="s">
        <v>124</v>
      </c>
      <c r="P191" s="37" t="s">
        <v>124</v>
      </c>
      <c r="Q191" s="37">
        <v>18643000</v>
      </c>
      <c r="R191" s="37">
        <v>17395000</v>
      </c>
      <c r="S191" s="37">
        <v>13336000</v>
      </c>
      <c r="T191" s="37">
        <v>9351000</v>
      </c>
      <c r="U191" s="37">
        <v>6620000</v>
      </c>
      <c r="V191" s="37">
        <v>2639000</v>
      </c>
      <c r="W191" s="37" t="s">
        <v>124</v>
      </c>
      <c r="X191" s="37" t="s">
        <v>124</v>
      </c>
      <c r="Y191" s="37" t="s">
        <v>124</v>
      </c>
      <c r="Z191" s="37" t="s">
        <v>124</v>
      </c>
      <c r="AB191" s="30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 outlineLevel="2" x14ac:dyDescent="0.25">
      <c r="A192" s="29">
        <v>1</v>
      </c>
      <c r="C192" s="24" t="str">
        <f>"        Debt due in Year 3"</f>
        <v xml:space="preserve">        Debt due in Year 3</v>
      </c>
      <c r="D192" s="32">
        <f t="shared" si="56"/>
        <v>12379000</v>
      </c>
      <c r="E192" s="32">
        <f t="shared" si="57"/>
        <v>15515200</v>
      </c>
      <c r="F192" s="32">
        <f t="shared" si="58"/>
        <v>2245000</v>
      </c>
      <c r="G192" s="32">
        <f t="shared" si="59"/>
        <v>39193000</v>
      </c>
      <c r="H192" s="32">
        <f t="shared" si="60"/>
        <v>8516500</v>
      </c>
      <c r="I192" s="32">
        <f t="shared" si="61"/>
        <v>17215500</v>
      </c>
      <c r="J192" s="32">
        <f t="shared" si="62"/>
        <v>11911602.959579648</v>
      </c>
      <c r="K192" s="33">
        <f t="shared" si="63"/>
        <v>0.7677376353240466</v>
      </c>
      <c r="L192" s="37"/>
      <c r="M192" s="37">
        <v>13401000</v>
      </c>
      <c r="N192" s="37">
        <v>17860000</v>
      </c>
      <c r="O192" s="37">
        <v>32972000</v>
      </c>
      <c r="P192" s="37">
        <v>39193000</v>
      </c>
      <c r="Q192" s="37">
        <v>15282000</v>
      </c>
      <c r="R192" s="37">
        <v>11357000</v>
      </c>
      <c r="S192" s="37">
        <v>10768000</v>
      </c>
      <c r="T192" s="37">
        <v>7766000</v>
      </c>
      <c r="U192" s="37">
        <v>4308000</v>
      </c>
      <c r="V192" s="37">
        <v>2245000</v>
      </c>
      <c r="W192" s="37" t="s">
        <v>124</v>
      </c>
      <c r="X192" s="37" t="s">
        <v>124</v>
      </c>
      <c r="Y192" s="37" t="s">
        <v>124</v>
      </c>
      <c r="Z192" s="37" t="s">
        <v>124</v>
      </c>
      <c r="AB192" s="30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 outlineLevel="2" x14ac:dyDescent="0.25">
      <c r="A193" s="29">
        <v>1</v>
      </c>
      <c r="C193" s="24" t="str">
        <f>"        Debt due in Year 4"</f>
        <v xml:space="preserve">        Debt due in Year 4</v>
      </c>
      <c r="D193" s="32">
        <f t="shared" si="56"/>
        <v>5186500</v>
      </c>
      <c r="E193" s="32">
        <f t="shared" si="57"/>
        <v>5736375</v>
      </c>
      <c r="F193" s="32">
        <f t="shared" si="58"/>
        <v>1436000</v>
      </c>
      <c r="G193" s="32">
        <f t="shared" si="59"/>
        <v>11228000</v>
      </c>
      <c r="H193" s="32">
        <f t="shared" si="60"/>
        <v>3907750</v>
      </c>
      <c r="I193" s="32">
        <f t="shared" si="61"/>
        <v>7869250</v>
      </c>
      <c r="J193" s="32">
        <f t="shared" si="62"/>
        <v>3168867.8887622585</v>
      </c>
      <c r="K193" s="33">
        <f t="shared" si="63"/>
        <v>0.55241644571044579</v>
      </c>
      <c r="L193" s="37"/>
      <c r="M193" s="37">
        <v>11228000</v>
      </c>
      <c r="N193" s="37">
        <v>7894000</v>
      </c>
      <c r="O193" s="37" t="s">
        <v>124</v>
      </c>
      <c r="P193" s="37" t="s">
        <v>124</v>
      </c>
      <c r="Q193" s="37">
        <v>7861000</v>
      </c>
      <c r="R193" s="37">
        <v>5985000</v>
      </c>
      <c r="S193" s="37">
        <v>4388000</v>
      </c>
      <c r="T193" s="37">
        <v>4266000</v>
      </c>
      <c r="U193" s="37">
        <v>2833000</v>
      </c>
      <c r="V193" s="37">
        <v>1436000</v>
      </c>
      <c r="W193" s="37" t="s">
        <v>124</v>
      </c>
      <c r="X193" s="37" t="s">
        <v>124</v>
      </c>
      <c r="Y193" s="37" t="s">
        <v>124</v>
      </c>
      <c r="Z193" s="37" t="s">
        <v>124</v>
      </c>
      <c r="AB193" s="30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 outlineLevel="2" x14ac:dyDescent="0.25">
      <c r="A194" s="29">
        <v>1</v>
      </c>
      <c r="C194" s="24" t="str">
        <f>"        Debt due in Year 5"</f>
        <v xml:space="preserve">        Debt due in Year 5</v>
      </c>
      <c r="D194" s="32">
        <f t="shared" si="56"/>
        <v>5270000</v>
      </c>
      <c r="E194" s="32">
        <f t="shared" si="57"/>
        <v>6690300</v>
      </c>
      <c r="F194" s="32">
        <f t="shared" si="58"/>
        <v>1969000</v>
      </c>
      <c r="G194" s="32">
        <f t="shared" si="59"/>
        <v>14403000</v>
      </c>
      <c r="H194" s="32">
        <f t="shared" si="60"/>
        <v>3580500</v>
      </c>
      <c r="I194" s="32">
        <f t="shared" si="61"/>
        <v>8424750</v>
      </c>
      <c r="J194" s="32">
        <f t="shared" si="62"/>
        <v>4449058.0039174836</v>
      </c>
      <c r="K194" s="33">
        <f t="shared" si="63"/>
        <v>0.66500127108163809</v>
      </c>
      <c r="L194" s="37"/>
      <c r="M194" s="37">
        <v>6138000</v>
      </c>
      <c r="N194" s="37">
        <v>9187000</v>
      </c>
      <c r="O194" s="37">
        <v>14403000</v>
      </c>
      <c r="P194" s="37">
        <v>14065000</v>
      </c>
      <c r="Q194" s="37">
        <v>5386000</v>
      </c>
      <c r="R194" s="37">
        <v>5154000</v>
      </c>
      <c r="S194" s="37">
        <v>4497000</v>
      </c>
      <c r="T194" s="37">
        <v>1969000</v>
      </c>
      <c r="U194" s="37">
        <v>3275000</v>
      </c>
      <c r="V194" s="37">
        <v>2829000</v>
      </c>
      <c r="W194" s="37" t="s">
        <v>124</v>
      </c>
      <c r="X194" s="37" t="s">
        <v>124</v>
      </c>
      <c r="Y194" s="37" t="s">
        <v>124</v>
      </c>
      <c r="Z194" s="37" t="s">
        <v>124</v>
      </c>
      <c r="AB194" s="30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 outlineLevel="2" x14ac:dyDescent="0.25">
      <c r="A195" s="29">
        <v>1</v>
      </c>
      <c r="C195" s="24" t="str">
        <f>"        Debt due Beyond"</f>
        <v xml:space="preserve">        Debt due Beyond</v>
      </c>
      <c r="D195" s="32">
        <f t="shared" si="56"/>
        <v>17287500</v>
      </c>
      <c r="E195" s="32">
        <f t="shared" si="57"/>
        <v>14627800</v>
      </c>
      <c r="F195" s="32">
        <f t="shared" si="58"/>
        <v>2869000</v>
      </c>
      <c r="G195" s="32">
        <f t="shared" si="59"/>
        <v>22213000</v>
      </c>
      <c r="H195" s="32">
        <f t="shared" si="60"/>
        <v>9705500</v>
      </c>
      <c r="I195" s="32">
        <f t="shared" si="61"/>
        <v>20083500</v>
      </c>
      <c r="J195" s="32">
        <f t="shared" si="62"/>
        <v>6885570.4968191748</v>
      </c>
      <c r="K195" s="33">
        <f t="shared" si="63"/>
        <v>0.47071811870678948</v>
      </c>
      <c r="L195" s="37"/>
      <c r="M195" s="37">
        <v>22213000</v>
      </c>
      <c r="N195" s="37">
        <v>18616000</v>
      </c>
      <c r="O195" s="37">
        <v>18819000</v>
      </c>
      <c r="P195" s="37">
        <v>20505000</v>
      </c>
      <c r="Q195" s="37">
        <v>21088000</v>
      </c>
      <c r="R195" s="37">
        <v>15959000</v>
      </c>
      <c r="S195" s="37">
        <v>11240000</v>
      </c>
      <c r="T195" s="37">
        <v>9194000</v>
      </c>
      <c r="U195" s="37">
        <v>5775000</v>
      </c>
      <c r="V195" s="37">
        <v>2869000</v>
      </c>
      <c r="W195" s="37" t="s">
        <v>124</v>
      </c>
      <c r="X195" s="37" t="s">
        <v>124</v>
      </c>
      <c r="Y195" s="37" t="s">
        <v>124</v>
      </c>
      <c r="Z195" s="37" t="s">
        <v>124</v>
      </c>
      <c r="AB195" s="30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 outlineLevel="2" x14ac:dyDescent="0.25">
      <c r="A196" s="29">
        <v>1</v>
      </c>
      <c r="C196" s="24" t="str">
        <f>"        Debt - Interests Charges and Other Adjustments"</f>
        <v xml:space="preserve">        Debt - Interests Charges and Other Adjustments</v>
      </c>
      <c r="D196" s="32">
        <f t="shared" si="56"/>
        <v>-765000</v>
      </c>
      <c r="E196" s="32">
        <f t="shared" si="57"/>
        <v>-765800</v>
      </c>
      <c r="F196" s="32">
        <f t="shared" si="58"/>
        <v>-1197000</v>
      </c>
      <c r="G196" s="32">
        <f t="shared" si="59"/>
        <v>-280000</v>
      </c>
      <c r="H196" s="32">
        <f t="shared" si="60"/>
        <v>-1017000</v>
      </c>
      <c r="I196" s="32">
        <f t="shared" si="61"/>
        <v>-570000</v>
      </c>
      <c r="J196" s="32">
        <f t="shared" si="62"/>
        <v>361723.23674323165</v>
      </c>
      <c r="K196" s="33">
        <f t="shared" si="63"/>
        <v>-0.47234687482793375</v>
      </c>
      <c r="L196" s="37"/>
      <c r="M196" s="37" t="s">
        <v>124</v>
      </c>
      <c r="N196" s="37" t="s">
        <v>124</v>
      </c>
      <c r="O196" s="37">
        <v>-570000</v>
      </c>
      <c r="P196" s="37">
        <v>-1197000</v>
      </c>
      <c r="Q196" s="37">
        <v>-280000</v>
      </c>
      <c r="R196" s="37" t="s">
        <v>124</v>
      </c>
      <c r="S196" s="37" t="s">
        <v>124</v>
      </c>
      <c r="T196" s="37" t="s">
        <v>124</v>
      </c>
      <c r="U196" s="37">
        <v>-765000</v>
      </c>
      <c r="V196" s="37">
        <v>-1017000</v>
      </c>
      <c r="W196" s="37" t="s">
        <v>124</v>
      </c>
      <c r="X196" s="37" t="s">
        <v>124</v>
      </c>
      <c r="Y196" s="37" t="s">
        <v>124</v>
      </c>
      <c r="Z196" s="37" t="s">
        <v>124</v>
      </c>
      <c r="AB196" s="30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 outlineLevel="2" x14ac:dyDescent="0.25">
      <c r="A197" s="29">
        <v>1</v>
      </c>
      <c r="C197" s="25" t="str">
        <f>"        Total Debt Maturity Schedule"</f>
        <v xml:space="preserve">        Total Debt Maturity Schedule</v>
      </c>
      <c r="D197" s="45">
        <f t="shared" si="56"/>
        <v>90315500</v>
      </c>
      <c r="E197" s="45">
        <f t="shared" si="57"/>
        <v>77157000</v>
      </c>
      <c r="F197" s="45">
        <f t="shared" si="58"/>
        <v>16050000</v>
      </c>
      <c r="G197" s="45">
        <f t="shared" si="59"/>
        <v>110024000</v>
      </c>
      <c r="H197" s="45">
        <f t="shared" si="60"/>
        <v>51614500</v>
      </c>
      <c r="I197" s="45">
        <f t="shared" si="61"/>
        <v>104070750</v>
      </c>
      <c r="J197" s="45">
        <f t="shared" si="62"/>
        <v>34026245.546636499</v>
      </c>
      <c r="K197" s="46">
        <f t="shared" si="63"/>
        <v>0.44100011076942469</v>
      </c>
      <c r="L197" s="47"/>
      <c r="M197" s="47">
        <v>109867000</v>
      </c>
      <c r="N197" s="47">
        <v>110024000</v>
      </c>
      <c r="O197" s="47">
        <v>103014000</v>
      </c>
      <c r="P197" s="47">
        <v>104423000</v>
      </c>
      <c r="Q197" s="47">
        <v>95010000</v>
      </c>
      <c r="R197" s="47">
        <v>85621000</v>
      </c>
      <c r="S197" s="47">
        <v>63838000</v>
      </c>
      <c r="T197" s="47">
        <v>47540000</v>
      </c>
      <c r="U197" s="47">
        <v>36183000</v>
      </c>
      <c r="V197" s="47">
        <v>16050000</v>
      </c>
      <c r="W197" s="47" t="s">
        <v>124</v>
      </c>
      <c r="X197" s="47" t="s">
        <v>124</v>
      </c>
      <c r="Y197" s="47" t="s">
        <v>124</v>
      </c>
      <c r="Z197" s="47" t="s">
        <v>124</v>
      </c>
      <c r="AB197" s="30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 outlineLevel="1" x14ac:dyDescent="0.25">
      <c r="A198" s="29">
        <v>1</v>
      </c>
      <c r="C198" s="24" t="str">
        <f>IF(SUBTOTAL(109,A198)=A198,"    Capital Lease Obligation Maturity Schedule","    Capital Lease Obligation Maturity Schedule Total")</f>
        <v xml:space="preserve">    Capital Lease Obligation Maturity Schedule</v>
      </c>
      <c r="D198" s="32" t="str">
        <f t="shared" si="56"/>
        <v/>
      </c>
      <c r="E198" s="32" t="str">
        <f t="shared" si="57"/>
        <v/>
      </c>
      <c r="F198" s="32" t="str">
        <f t="shared" si="58"/>
        <v/>
      </c>
      <c r="G198" s="32" t="str">
        <f t="shared" si="59"/>
        <v/>
      </c>
      <c r="H198" s="32" t="str">
        <f t="shared" si="60"/>
        <v/>
      </c>
      <c r="I198" s="32" t="str">
        <f t="shared" si="61"/>
        <v/>
      </c>
      <c r="J198" s="32" t="str">
        <f t="shared" si="62"/>
        <v/>
      </c>
      <c r="K198" s="33" t="str">
        <f t="shared" si="63"/>
        <v/>
      </c>
      <c r="L198" s="37"/>
      <c r="M198" s="37" t="str">
        <f>IF(SUBTOTAL(109,A198)=A198,"","")</f>
        <v/>
      </c>
      <c r="N198" s="37" t="str">
        <f>IF(SUBTOTAL(109,A198)=A198,"","")</f>
        <v/>
      </c>
      <c r="O198" s="37" t="str">
        <f>IF(SUBTOTAL(109,A198)=A198,"",310000)</f>
        <v/>
      </c>
      <c r="P198" s="37" t="str">
        <f>IF(SUBTOTAL(109,A198)=A198,"",528000)</f>
        <v/>
      </c>
      <c r="Q198" s="37" t="str">
        <f>IF(SUBTOTAL(109,A198)=A198,"","")</f>
        <v/>
      </c>
      <c r="R198" s="37" t="str">
        <f>IF(SUBTOTAL(109,A198)=A198,"","")</f>
        <v/>
      </c>
      <c r="S198" s="37" t="str">
        <f>IF(SUBTOTAL(109,A198)=A198,"","")</f>
        <v/>
      </c>
      <c r="T198" s="37" t="str">
        <f>IF(SUBTOTAL(109,A198)=A198,"","")</f>
        <v/>
      </c>
      <c r="U198" s="37" t="str">
        <f>IF(SUBTOTAL(109,A198)=A198,"","")</f>
        <v/>
      </c>
      <c r="V198" s="37" t="str">
        <f>IF(SUBTOTAL(109,A198)=A198,"","")</f>
        <v/>
      </c>
      <c r="W198" s="37" t="str">
        <f>IF(SUBTOTAL(109,A198)=A198,"","")</f>
        <v/>
      </c>
      <c r="X198" s="37" t="str">
        <f>IF(SUBTOTAL(109,A198)=A198,"","")</f>
        <v/>
      </c>
      <c r="Y198" s="37" t="str">
        <f>IF(SUBTOTAL(109,A198)=A198,"","")</f>
        <v/>
      </c>
      <c r="Z198" s="37" t="str">
        <f>IF(SUBTOTAL(109,A198)=A198,"","")</f>
        <v/>
      </c>
      <c r="AB198" s="30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 outlineLevel="2" x14ac:dyDescent="0.25">
      <c r="A199" s="29">
        <v>1</v>
      </c>
      <c r="C199" s="24" t="str">
        <f>"        Capital Lease due in Year 1"</f>
        <v xml:space="preserve">        Capital Lease due in Year 1</v>
      </c>
      <c r="D199" s="32">
        <f t="shared" si="56"/>
        <v>123000</v>
      </c>
      <c r="E199" s="32">
        <f t="shared" si="57"/>
        <v>123000</v>
      </c>
      <c r="F199" s="32">
        <f t="shared" si="58"/>
        <v>109000</v>
      </c>
      <c r="G199" s="32">
        <f t="shared" si="59"/>
        <v>137000</v>
      </c>
      <c r="H199" s="32">
        <f t="shared" si="60"/>
        <v>116000</v>
      </c>
      <c r="I199" s="32">
        <f t="shared" si="61"/>
        <v>130000</v>
      </c>
      <c r="J199" s="32">
        <f t="shared" si="62"/>
        <v>19798.989873223331</v>
      </c>
      <c r="K199" s="33">
        <f t="shared" si="63"/>
        <v>0.16096739734327911</v>
      </c>
      <c r="L199" s="37"/>
      <c r="M199" s="37" t="s">
        <v>124</v>
      </c>
      <c r="N199" s="37" t="s">
        <v>124</v>
      </c>
      <c r="O199" s="37">
        <v>109000</v>
      </c>
      <c r="P199" s="37">
        <v>137000</v>
      </c>
      <c r="Q199" s="37" t="s">
        <v>124</v>
      </c>
      <c r="R199" s="37" t="s">
        <v>124</v>
      </c>
      <c r="S199" s="37" t="s">
        <v>124</v>
      </c>
      <c r="T199" s="37" t="s">
        <v>124</v>
      </c>
      <c r="U199" s="37" t="s">
        <v>124</v>
      </c>
      <c r="V199" s="37" t="s">
        <v>124</v>
      </c>
      <c r="W199" s="37" t="s">
        <v>124</v>
      </c>
      <c r="X199" s="37" t="s">
        <v>124</v>
      </c>
      <c r="Y199" s="37" t="s">
        <v>124</v>
      </c>
      <c r="Z199" s="37" t="s">
        <v>124</v>
      </c>
      <c r="AB199" s="30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 outlineLevel="2" x14ac:dyDescent="0.25">
      <c r="A200" s="29">
        <v>1</v>
      </c>
      <c r="C200" s="24" t="str">
        <f>"        Capital Lease due in Year 3"</f>
        <v xml:space="preserve">        Capital Lease due in Year 3</v>
      </c>
      <c r="D200" s="32">
        <f t="shared" si="56"/>
        <v>86000</v>
      </c>
      <c r="E200" s="32">
        <f t="shared" si="57"/>
        <v>86000</v>
      </c>
      <c r="F200" s="32">
        <f t="shared" si="58"/>
        <v>80000</v>
      </c>
      <c r="G200" s="32">
        <f t="shared" si="59"/>
        <v>92000</v>
      </c>
      <c r="H200" s="32">
        <f t="shared" si="60"/>
        <v>83000</v>
      </c>
      <c r="I200" s="32">
        <f t="shared" si="61"/>
        <v>89000</v>
      </c>
      <c r="J200" s="32">
        <f t="shared" si="62"/>
        <v>8485.2813742385697</v>
      </c>
      <c r="K200" s="33">
        <f t="shared" si="63"/>
        <v>9.8666062491146164E-2</v>
      </c>
      <c r="L200" s="37"/>
      <c r="M200" s="37" t="s">
        <v>124</v>
      </c>
      <c r="N200" s="37" t="s">
        <v>124</v>
      </c>
      <c r="O200" s="37">
        <v>80000</v>
      </c>
      <c r="P200" s="37">
        <v>92000</v>
      </c>
      <c r="Q200" s="37" t="s">
        <v>124</v>
      </c>
      <c r="R200" s="37" t="s">
        <v>124</v>
      </c>
      <c r="S200" s="37" t="s">
        <v>124</v>
      </c>
      <c r="T200" s="37" t="s">
        <v>124</v>
      </c>
      <c r="U200" s="37" t="s">
        <v>124</v>
      </c>
      <c r="V200" s="37" t="s">
        <v>124</v>
      </c>
      <c r="W200" s="37" t="s">
        <v>124</v>
      </c>
      <c r="X200" s="37" t="s">
        <v>124</v>
      </c>
      <c r="Y200" s="37" t="s">
        <v>124</v>
      </c>
      <c r="Z200" s="37" t="s">
        <v>124</v>
      </c>
      <c r="AB200" s="30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 outlineLevel="2" x14ac:dyDescent="0.25">
      <c r="A201" s="29">
        <v>1</v>
      </c>
      <c r="C201" s="24" t="str">
        <f>"        Capital Lease due in Year 5"</f>
        <v xml:space="preserve">        Capital Lease due in Year 5</v>
      </c>
      <c r="D201" s="32">
        <f t="shared" si="56"/>
        <v>30000</v>
      </c>
      <c r="E201" s="32">
        <f t="shared" si="57"/>
        <v>30000</v>
      </c>
      <c r="F201" s="32">
        <f t="shared" si="58"/>
        <v>19000</v>
      </c>
      <c r="G201" s="32">
        <f t="shared" si="59"/>
        <v>41000</v>
      </c>
      <c r="H201" s="32">
        <f t="shared" si="60"/>
        <v>24500</v>
      </c>
      <c r="I201" s="32">
        <f t="shared" si="61"/>
        <v>35500</v>
      </c>
      <c r="J201" s="32">
        <f t="shared" si="62"/>
        <v>15556.349186104046</v>
      </c>
      <c r="K201" s="33">
        <f t="shared" si="63"/>
        <v>0.5185449728701349</v>
      </c>
      <c r="L201" s="37"/>
      <c r="M201" s="37" t="s">
        <v>124</v>
      </c>
      <c r="N201" s="37" t="s">
        <v>124</v>
      </c>
      <c r="O201" s="37">
        <v>19000</v>
      </c>
      <c r="P201" s="37">
        <v>41000</v>
      </c>
      <c r="Q201" s="37" t="s">
        <v>124</v>
      </c>
      <c r="R201" s="37" t="s">
        <v>124</v>
      </c>
      <c r="S201" s="37" t="s">
        <v>124</v>
      </c>
      <c r="T201" s="37" t="s">
        <v>124</v>
      </c>
      <c r="U201" s="37" t="s">
        <v>124</v>
      </c>
      <c r="V201" s="37" t="s">
        <v>124</v>
      </c>
      <c r="W201" s="37" t="s">
        <v>124</v>
      </c>
      <c r="X201" s="37" t="s">
        <v>124</v>
      </c>
      <c r="Y201" s="37" t="s">
        <v>124</v>
      </c>
      <c r="Z201" s="37" t="s">
        <v>124</v>
      </c>
      <c r="AB201" s="30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 outlineLevel="2" x14ac:dyDescent="0.25">
      <c r="A202" s="29">
        <v>1</v>
      </c>
      <c r="C202" s="24" t="str">
        <f>"        Capital Lease due Beyond"</f>
        <v xml:space="preserve">        Capital Lease due Beyond</v>
      </c>
      <c r="D202" s="32">
        <f t="shared" si="56"/>
        <v>180000</v>
      </c>
      <c r="E202" s="32">
        <f t="shared" si="57"/>
        <v>180000</v>
      </c>
      <c r="F202" s="32">
        <f t="shared" si="58"/>
        <v>102000</v>
      </c>
      <c r="G202" s="32">
        <f t="shared" si="59"/>
        <v>258000</v>
      </c>
      <c r="H202" s="32">
        <f t="shared" si="60"/>
        <v>141000</v>
      </c>
      <c r="I202" s="32">
        <f t="shared" si="61"/>
        <v>219000</v>
      </c>
      <c r="J202" s="32">
        <f t="shared" si="62"/>
        <v>110308.65786510141</v>
      </c>
      <c r="K202" s="33">
        <f t="shared" si="63"/>
        <v>0.61282587702834124</v>
      </c>
      <c r="L202" s="37"/>
      <c r="M202" s="37" t="s">
        <v>124</v>
      </c>
      <c r="N202" s="37" t="s">
        <v>124</v>
      </c>
      <c r="O202" s="37">
        <v>102000</v>
      </c>
      <c r="P202" s="37">
        <v>258000</v>
      </c>
      <c r="Q202" s="37" t="s">
        <v>124</v>
      </c>
      <c r="R202" s="37" t="s">
        <v>124</v>
      </c>
      <c r="S202" s="37" t="s">
        <v>124</v>
      </c>
      <c r="T202" s="37" t="s">
        <v>124</v>
      </c>
      <c r="U202" s="37" t="s">
        <v>124</v>
      </c>
      <c r="V202" s="37" t="s">
        <v>124</v>
      </c>
      <c r="W202" s="37" t="s">
        <v>124</v>
      </c>
      <c r="X202" s="37" t="s">
        <v>124</v>
      </c>
      <c r="Y202" s="37" t="s">
        <v>124</v>
      </c>
      <c r="Z202" s="37" t="s">
        <v>124</v>
      </c>
      <c r="AB202" s="30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 outlineLevel="2" x14ac:dyDescent="0.25">
      <c r="A203" s="29">
        <v>1</v>
      </c>
      <c r="C203" s="25" t="str">
        <f>"        Total Capital Lease Obligation Maturity Schedule"</f>
        <v xml:space="preserve">        Total Capital Lease Obligation Maturity Schedule</v>
      </c>
      <c r="D203" s="45">
        <f t="shared" si="56"/>
        <v>419000</v>
      </c>
      <c r="E203" s="45">
        <f t="shared" si="57"/>
        <v>419000</v>
      </c>
      <c r="F203" s="45">
        <f t="shared" si="58"/>
        <v>310000</v>
      </c>
      <c r="G203" s="45">
        <f t="shared" si="59"/>
        <v>528000</v>
      </c>
      <c r="H203" s="45">
        <f t="shared" si="60"/>
        <v>364500</v>
      </c>
      <c r="I203" s="45">
        <f t="shared" si="61"/>
        <v>473500</v>
      </c>
      <c r="J203" s="45">
        <f t="shared" si="62"/>
        <v>154149.27829866737</v>
      </c>
      <c r="K203" s="46">
        <f t="shared" si="63"/>
        <v>0.36789803889896749</v>
      </c>
      <c r="L203" s="47"/>
      <c r="M203" s="47" t="s">
        <v>124</v>
      </c>
      <c r="N203" s="47" t="s">
        <v>124</v>
      </c>
      <c r="O203" s="47">
        <v>310000</v>
      </c>
      <c r="P203" s="47">
        <v>528000</v>
      </c>
      <c r="Q203" s="47" t="s">
        <v>124</v>
      </c>
      <c r="R203" s="47" t="s">
        <v>124</v>
      </c>
      <c r="S203" s="47" t="s">
        <v>124</v>
      </c>
      <c r="T203" s="47" t="s">
        <v>124</v>
      </c>
      <c r="U203" s="47" t="s">
        <v>124</v>
      </c>
      <c r="V203" s="47" t="s">
        <v>124</v>
      </c>
      <c r="W203" s="47" t="s">
        <v>124</v>
      </c>
      <c r="X203" s="47" t="s">
        <v>124</v>
      </c>
      <c r="Y203" s="47" t="s">
        <v>124</v>
      </c>
      <c r="Z203" s="47" t="s">
        <v>124</v>
      </c>
      <c r="AB203" s="30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 outlineLevel="1" x14ac:dyDescent="0.25">
      <c r="A204" s="29">
        <v>1</v>
      </c>
      <c r="C204" s="24" t="str">
        <f>IF(SUBTOTAL(109,A204)=A204,"    Operating Lease Obligation Maturity Schedule","    Operating Lease Obligation Maturity Schedule Total")</f>
        <v xml:space="preserve">    Operating Lease Obligation Maturity Schedule</v>
      </c>
      <c r="D204" s="32" t="str">
        <f t="shared" si="56"/>
        <v/>
      </c>
      <c r="E204" s="32" t="str">
        <f t="shared" si="57"/>
        <v/>
      </c>
      <c r="F204" s="32" t="str">
        <f t="shared" si="58"/>
        <v/>
      </c>
      <c r="G204" s="32" t="str">
        <f t="shared" si="59"/>
        <v/>
      </c>
      <c r="H204" s="32" t="str">
        <f t="shared" si="60"/>
        <v/>
      </c>
      <c r="I204" s="32" t="str">
        <f t="shared" si="61"/>
        <v/>
      </c>
      <c r="J204" s="32" t="str">
        <f t="shared" si="62"/>
        <v/>
      </c>
      <c r="K204" s="33" t="str">
        <f t="shared" si="63"/>
        <v/>
      </c>
      <c r="L204" s="37"/>
      <c r="M204" s="37" t="str">
        <f>IF(SUBTOTAL(109,A204)=A204,"",1589000)</f>
        <v/>
      </c>
      <c r="N204" s="37" t="str">
        <f>IF(SUBTOTAL(109,A204)=A204,"",1512000)</f>
        <v/>
      </c>
      <c r="O204" s="37" t="str">
        <f>IF(SUBTOTAL(109,A204)=A204,"",1476000)</f>
        <v/>
      </c>
      <c r="P204" s="37" t="str">
        <f>IF(SUBTOTAL(109,A204)=A204,"",1737000)</f>
        <v/>
      </c>
      <c r="Q204" s="37" t="str">
        <f>IF(SUBTOTAL(109,A204)=A204,"",1036000)</f>
        <v/>
      </c>
      <c r="R204" s="37" t="str">
        <f>IF(SUBTOTAL(109,A204)=A204,"",1193000)</f>
        <v/>
      </c>
      <c r="S204" s="37" t="str">
        <f>IF(SUBTOTAL(109,A204)=A204,"",926000)</f>
        <v/>
      </c>
      <c r="T204" s="37" t="str">
        <f>IF(SUBTOTAL(109,A204)=A204,"",1003000)</f>
        <v/>
      </c>
      <c r="U204" s="37" t="str">
        <f>IF(SUBTOTAL(109,A204)=A204,"",1087000)</f>
        <v/>
      </c>
      <c r="V204" s="37" t="str">
        <f>IF(SUBTOTAL(109,A204)=A204,"",1338000)</f>
        <v/>
      </c>
      <c r="W204" s="37" t="str">
        <f>IF(SUBTOTAL(109,A204)=A204,"","")</f>
        <v/>
      </c>
      <c r="X204" s="37" t="str">
        <f>IF(SUBTOTAL(109,A204)=A204,"","")</f>
        <v/>
      </c>
      <c r="Y204" s="37" t="str">
        <f>IF(SUBTOTAL(109,A204)=A204,"","")</f>
        <v/>
      </c>
      <c r="Z204" s="37" t="str">
        <f>IF(SUBTOTAL(109,A204)=A204,"","")</f>
        <v/>
      </c>
      <c r="AB204" s="30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 outlineLevel="2" x14ac:dyDescent="0.25">
      <c r="A205" s="29">
        <v>1</v>
      </c>
      <c r="C205" s="24" t="str">
        <f>"        Operating Lease due in year 1"</f>
        <v xml:space="preserve">        Operating Lease due in year 1</v>
      </c>
      <c r="D205" s="32">
        <f t="shared" si="56"/>
        <v>269000</v>
      </c>
      <c r="E205" s="32">
        <f t="shared" si="57"/>
        <v>272500</v>
      </c>
      <c r="F205" s="32">
        <f t="shared" si="58"/>
        <v>222000</v>
      </c>
      <c r="G205" s="32">
        <f t="shared" si="59"/>
        <v>340000</v>
      </c>
      <c r="H205" s="32">
        <f t="shared" si="60"/>
        <v>239500</v>
      </c>
      <c r="I205" s="32">
        <f t="shared" si="61"/>
        <v>295750</v>
      </c>
      <c r="J205" s="32">
        <f t="shared" si="62"/>
        <v>38488.815114119694</v>
      </c>
      <c r="K205" s="33">
        <f t="shared" si="63"/>
        <v>0.141243358216953</v>
      </c>
      <c r="L205" s="37"/>
      <c r="M205" s="37">
        <v>262000</v>
      </c>
      <c r="N205" s="37">
        <v>266000</v>
      </c>
      <c r="O205" s="37">
        <v>272000</v>
      </c>
      <c r="P205" s="37">
        <v>296000</v>
      </c>
      <c r="Q205" s="37">
        <v>222000</v>
      </c>
      <c r="R205" s="37">
        <v>232000</v>
      </c>
      <c r="S205" s="37">
        <v>229000</v>
      </c>
      <c r="T205" s="37">
        <v>295000</v>
      </c>
      <c r="U205" s="37">
        <v>311000</v>
      </c>
      <c r="V205" s="37">
        <v>340000</v>
      </c>
      <c r="W205" s="37" t="s">
        <v>124</v>
      </c>
      <c r="X205" s="37" t="s">
        <v>124</v>
      </c>
      <c r="Y205" s="37" t="s">
        <v>124</v>
      </c>
      <c r="Z205" s="37" t="s">
        <v>124</v>
      </c>
      <c r="AB205" s="30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 outlineLevel="2" x14ac:dyDescent="0.25">
      <c r="A206" s="29">
        <v>1</v>
      </c>
      <c r="C206" s="24" t="str">
        <f>"        Operating Lease due in year 2"</f>
        <v xml:space="preserve">        Operating Lease due in year 2</v>
      </c>
      <c r="D206" s="32">
        <f t="shared" si="56"/>
        <v>219000</v>
      </c>
      <c r="E206" s="32">
        <f t="shared" si="57"/>
        <v>227714.28571428571</v>
      </c>
      <c r="F206" s="32">
        <f t="shared" si="58"/>
        <v>175000</v>
      </c>
      <c r="G206" s="32">
        <f t="shared" si="59"/>
        <v>286000</v>
      </c>
      <c r="H206" s="32">
        <f t="shared" si="60"/>
        <v>211500</v>
      </c>
      <c r="I206" s="32">
        <f t="shared" si="61"/>
        <v>245500</v>
      </c>
      <c r="J206" s="32">
        <f t="shared" si="62"/>
        <v>36192.606453594424</v>
      </c>
      <c r="K206" s="33">
        <f t="shared" si="63"/>
        <v>0.15893867325919761</v>
      </c>
      <c r="L206" s="37"/>
      <c r="M206" s="37" t="s">
        <v>124</v>
      </c>
      <c r="N206" s="37" t="s">
        <v>124</v>
      </c>
      <c r="O206" s="37" t="s">
        <v>124</v>
      </c>
      <c r="P206" s="37">
        <v>286000</v>
      </c>
      <c r="Q206" s="37">
        <v>205000</v>
      </c>
      <c r="R206" s="37">
        <v>219000</v>
      </c>
      <c r="S206" s="37">
        <v>175000</v>
      </c>
      <c r="T206" s="37">
        <v>218000</v>
      </c>
      <c r="U206" s="37">
        <v>232000</v>
      </c>
      <c r="V206" s="37">
        <v>259000</v>
      </c>
      <c r="W206" s="37" t="s">
        <v>124</v>
      </c>
      <c r="X206" s="37" t="s">
        <v>124</v>
      </c>
      <c r="Y206" s="37" t="s">
        <v>124</v>
      </c>
      <c r="Z206" s="37" t="s">
        <v>124</v>
      </c>
      <c r="AB206" s="30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 outlineLevel="2" x14ac:dyDescent="0.25">
      <c r="A207" s="29">
        <v>1</v>
      </c>
      <c r="C207" s="24" t="str">
        <f>"        Operating Lease due in year 3"</f>
        <v xml:space="preserve">        Operating Lease due in year 3</v>
      </c>
      <c r="D207" s="32">
        <f t="shared" si="56"/>
        <v>195000</v>
      </c>
      <c r="E207" s="32">
        <f t="shared" si="57"/>
        <v>261000</v>
      </c>
      <c r="F207" s="32">
        <f t="shared" si="58"/>
        <v>137000</v>
      </c>
      <c r="G207" s="32">
        <f t="shared" si="59"/>
        <v>482000</v>
      </c>
      <c r="H207" s="32">
        <f t="shared" si="60"/>
        <v>166750</v>
      </c>
      <c r="I207" s="32">
        <f t="shared" si="61"/>
        <v>386500</v>
      </c>
      <c r="J207" s="32">
        <f t="shared" si="62"/>
        <v>134683.9922848212</v>
      </c>
      <c r="K207" s="33">
        <f t="shared" si="63"/>
        <v>0.51603062178092418</v>
      </c>
      <c r="L207" s="37"/>
      <c r="M207" s="37">
        <v>482000</v>
      </c>
      <c r="N207" s="37">
        <v>436000</v>
      </c>
      <c r="O207" s="37">
        <v>433000</v>
      </c>
      <c r="P207" s="37">
        <v>247000</v>
      </c>
      <c r="Q207" s="37">
        <v>172000</v>
      </c>
      <c r="R207" s="37">
        <v>192000</v>
      </c>
      <c r="S207" s="37">
        <v>148000</v>
      </c>
      <c r="T207" s="37">
        <v>137000</v>
      </c>
      <c r="U207" s="37">
        <v>165000</v>
      </c>
      <c r="V207" s="37">
        <v>198000</v>
      </c>
      <c r="W207" s="37" t="s">
        <v>124</v>
      </c>
      <c r="X207" s="37" t="s">
        <v>124</v>
      </c>
      <c r="Y207" s="37" t="s">
        <v>124</v>
      </c>
      <c r="Z207" s="37" t="s">
        <v>124</v>
      </c>
      <c r="AB207" s="30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 outlineLevel="2" x14ac:dyDescent="0.25">
      <c r="A208" s="29">
        <v>1</v>
      </c>
      <c r="C208" s="24" t="str">
        <f>"        Operating Lease due in year 4"</f>
        <v xml:space="preserve">        Operating Lease due in year 4</v>
      </c>
      <c r="D208" s="32">
        <f t="shared" si="56"/>
        <v>145000</v>
      </c>
      <c r="E208" s="32">
        <f t="shared" si="57"/>
        <v>137142.85714285713</v>
      </c>
      <c r="F208" s="32">
        <f t="shared" si="58"/>
        <v>97000</v>
      </c>
      <c r="G208" s="32">
        <f t="shared" si="59"/>
        <v>180000</v>
      </c>
      <c r="H208" s="32">
        <f t="shared" si="60"/>
        <v>120500</v>
      </c>
      <c r="I208" s="32">
        <f t="shared" si="61"/>
        <v>148500</v>
      </c>
      <c r="J208" s="32">
        <f t="shared" si="62"/>
        <v>27064.297339413621</v>
      </c>
      <c r="K208" s="33">
        <f t="shared" si="63"/>
        <v>0.19734383476655767</v>
      </c>
      <c r="L208" s="37"/>
      <c r="M208" s="37" t="s">
        <v>124</v>
      </c>
      <c r="N208" s="37" t="s">
        <v>124</v>
      </c>
      <c r="O208" s="37" t="s">
        <v>124</v>
      </c>
      <c r="P208" s="37">
        <v>180000</v>
      </c>
      <c r="Q208" s="37">
        <v>146000</v>
      </c>
      <c r="R208" s="37">
        <v>151000</v>
      </c>
      <c r="S208" s="37">
        <v>126000</v>
      </c>
      <c r="T208" s="37">
        <v>115000</v>
      </c>
      <c r="U208" s="37">
        <v>97000</v>
      </c>
      <c r="V208" s="37">
        <v>145000</v>
      </c>
      <c r="W208" s="37" t="s">
        <v>124</v>
      </c>
      <c r="X208" s="37" t="s">
        <v>124</v>
      </c>
      <c r="Y208" s="37" t="s">
        <v>124</v>
      </c>
      <c r="Z208" s="37" t="s">
        <v>124</v>
      </c>
      <c r="AB208" s="30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 outlineLevel="2" x14ac:dyDescent="0.25">
      <c r="A209" s="29">
        <v>1</v>
      </c>
      <c r="C209" s="24" t="str">
        <f>"        Operating Lease due in year 5"</f>
        <v xml:space="preserve">        Operating Lease due in year 5</v>
      </c>
      <c r="D209" s="32">
        <f t="shared" si="56"/>
        <v>111500</v>
      </c>
      <c r="E209" s="32">
        <f t="shared" si="57"/>
        <v>167000</v>
      </c>
      <c r="F209" s="32">
        <f t="shared" si="58"/>
        <v>76000</v>
      </c>
      <c r="G209" s="32">
        <f t="shared" si="59"/>
        <v>355000</v>
      </c>
      <c r="H209" s="32">
        <f t="shared" si="60"/>
        <v>86250</v>
      </c>
      <c r="I209" s="32">
        <f t="shared" si="61"/>
        <v>263750</v>
      </c>
      <c r="J209" s="32">
        <f t="shared" si="62"/>
        <v>110780.06238589244</v>
      </c>
      <c r="K209" s="33">
        <f t="shared" si="63"/>
        <v>0.66335366698139187</v>
      </c>
      <c r="L209" s="37"/>
      <c r="M209" s="37">
        <v>355000</v>
      </c>
      <c r="N209" s="37">
        <v>312000</v>
      </c>
      <c r="O209" s="37">
        <v>303000</v>
      </c>
      <c r="P209" s="37">
        <v>146000</v>
      </c>
      <c r="Q209" s="37">
        <v>85000</v>
      </c>
      <c r="R209" s="37">
        <v>127000</v>
      </c>
      <c r="S209" s="37">
        <v>96000</v>
      </c>
      <c r="T209" s="37">
        <v>90000</v>
      </c>
      <c r="U209" s="37">
        <v>76000</v>
      </c>
      <c r="V209" s="37">
        <v>80000</v>
      </c>
      <c r="W209" s="37" t="s">
        <v>124</v>
      </c>
      <c r="X209" s="37" t="s">
        <v>124</v>
      </c>
      <c r="Y209" s="37" t="s">
        <v>124</v>
      </c>
      <c r="Z209" s="37" t="s">
        <v>124</v>
      </c>
      <c r="AB209" s="30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 outlineLevel="2" x14ac:dyDescent="0.25">
      <c r="A210" s="29">
        <v>1</v>
      </c>
      <c r="C210" s="24" t="str">
        <f>"        Operating Lease due Beyond"</f>
        <v xml:space="preserve">        Operating Lease due Beyond</v>
      </c>
      <c r="D210" s="32">
        <f t="shared" si="56"/>
        <v>294000</v>
      </c>
      <c r="E210" s="32">
        <f t="shared" si="57"/>
        <v>333800</v>
      </c>
      <c r="F210" s="32">
        <f t="shared" si="58"/>
        <v>148000</v>
      </c>
      <c r="G210" s="32">
        <f t="shared" si="59"/>
        <v>582000</v>
      </c>
      <c r="H210" s="32">
        <f t="shared" si="60"/>
        <v>206000</v>
      </c>
      <c r="I210" s="32">
        <f t="shared" si="61"/>
        <v>484500</v>
      </c>
      <c r="J210" s="32">
        <f t="shared" si="62"/>
        <v>161708.79176264143</v>
      </c>
      <c r="K210" s="33">
        <f t="shared" si="63"/>
        <v>0.48444814788089102</v>
      </c>
      <c r="L210" s="37"/>
      <c r="M210" s="37">
        <v>490000</v>
      </c>
      <c r="N210" s="37">
        <v>498000</v>
      </c>
      <c r="O210" s="37">
        <v>468000</v>
      </c>
      <c r="P210" s="37">
        <v>582000</v>
      </c>
      <c r="Q210" s="37">
        <v>206000</v>
      </c>
      <c r="R210" s="37">
        <v>272000</v>
      </c>
      <c r="S210" s="37">
        <v>152000</v>
      </c>
      <c r="T210" s="37">
        <v>148000</v>
      </c>
      <c r="U210" s="37">
        <v>206000</v>
      </c>
      <c r="V210" s="37">
        <v>316000</v>
      </c>
      <c r="W210" s="37" t="s">
        <v>124</v>
      </c>
      <c r="X210" s="37" t="s">
        <v>124</v>
      </c>
      <c r="Y210" s="37" t="s">
        <v>124</v>
      </c>
      <c r="Z210" s="37" t="s">
        <v>124</v>
      </c>
      <c r="AB210" s="30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 outlineLevel="2" x14ac:dyDescent="0.25">
      <c r="A211" s="29">
        <v>1</v>
      </c>
      <c r="C211" s="25" t="str">
        <f>"        Operating Lease Obligation Maturity Schedule Total"</f>
        <v xml:space="preserve">        Operating Lease Obligation Maturity Schedule Total</v>
      </c>
      <c r="D211" s="45">
        <f t="shared" si="56"/>
        <v>1265500</v>
      </c>
      <c r="E211" s="45">
        <f t="shared" si="57"/>
        <v>1289700</v>
      </c>
      <c r="F211" s="45">
        <f t="shared" si="58"/>
        <v>926000</v>
      </c>
      <c r="G211" s="45">
        <f t="shared" si="59"/>
        <v>1737000</v>
      </c>
      <c r="H211" s="45">
        <f t="shared" si="60"/>
        <v>1048750</v>
      </c>
      <c r="I211" s="45">
        <f t="shared" si="61"/>
        <v>1503000</v>
      </c>
      <c r="J211" s="45">
        <f t="shared" si="62"/>
        <v>279958.74696104781</v>
      </c>
      <c r="K211" s="46">
        <f t="shared" si="63"/>
        <v>0.21707276650465054</v>
      </c>
      <c r="L211" s="47"/>
      <c r="M211" s="47">
        <v>1589000</v>
      </c>
      <c r="N211" s="47">
        <v>1512000</v>
      </c>
      <c r="O211" s="47">
        <v>1476000</v>
      </c>
      <c r="P211" s="47">
        <v>1737000</v>
      </c>
      <c r="Q211" s="47">
        <v>1036000</v>
      </c>
      <c r="R211" s="47">
        <v>1193000</v>
      </c>
      <c r="S211" s="47">
        <v>926000</v>
      </c>
      <c r="T211" s="47">
        <v>1003000</v>
      </c>
      <c r="U211" s="47">
        <v>1087000</v>
      </c>
      <c r="V211" s="47">
        <v>1338000</v>
      </c>
      <c r="W211" s="47" t="s">
        <v>124</v>
      </c>
      <c r="X211" s="47" t="s">
        <v>124</v>
      </c>
      <c r="Y211" s="47" t="s">
        <v>124</v>
      </c>
      <c r="Z211" s="47" t="s">
        <v>124</v>
      </c>
      <c r="AB211" s="30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 outlineLevel="1" x14ac:dyDescent="0.25">
      <c r="A212" s="29">
        <v>1</v>
      </c>
      <c r="C212" s="24" t="str">
        <f>IF(SUBTOTAL(109,A212)=A212,"    Other Contractual Obligations Maturity Schedule","    Other Contractual Obligations Maturity Schedule Total")</f>
        <v xml:space="preserve">    Other Contractual Obligations Maturity Schedule</v>
      </c>
      <c r="D212" s="32" t="str">
        <f t="shared" si="56"/>
        <v/>
      </c>
      <c r="E212" s="32" t="str">
        <f t="shared" si="57"/>
        <v/>
      </c>
      <c r="F212" s="32" t="str">
        <f t="shared" si="58"/>
        <v/>
      </c>
      <c r="G212" s="32" t="str">
        <f t="shared" si="59"/>
        <v/>
      </c>
      <c r="H212" s="32" t="str">
        <f t="shared" si="60"/>
        <v/>
      </c>
      <c r="I212" s="32" t="str">
        <f t="shared" si="61"/>
        <v/>
      </c>
      <c r="J212" s="32" t="str">
        <f t="shared" si="62"/>
        <v/>
      </c>
      <c r="K212" s="33" t="str">
        <f t="shared" si="63"/>
        <v/>
      </c>
      <c r="L212" s="37"/>
      <c r="M212" s="37" t="str">
        <f>IF(SUBTOTAL(109,A212)=A212,"",27112000)</f>
        <v/>
      </c>
      <c r="N212" s="37" t="str">
        <f>IF(SUBTOTAL(109,A212)=A212,"",22702000)</f>
        <v/>
      </c>
      <c r="O212" s="37" t="str">
        <f>IF(SUBTOTAL(109,A212)=A212,"",37985000)</f>
        <v/>
      </c>
      <c r="P212" s="37" t="str">
        <f>IF(SUBTOTAL(109,A212)=A212,"",39236000)</f>
        <v/>
      </c>
      <c r="Q212" s="37" t="str">
        <f>IF(SUBTOTAL(109,A212)=A212,"",27049000)</f>
        <v/>
      </c>
      <c r="R212" s="37" t="str">
        <f>IF(SUBTOTAL(109,A212)=A212,"",24166000)</f>
        <v/>
      </c>
      <c r="S212" s="37" t="str">
        <f>IF(SUBTOTAL(109,A212)=A212,"",22563000)</f>
        <v/>
      </c>
      <c r="T212" s="37" t="str">
        <f>IF(SUBTOTAL(109,A212)=A212,"",22845000)</f>
        <v/>
      </c>
      <c r="U212" s="37" t="str">
        <f>IF(SUBTOTAL(109,A212)=A212,"",25320000)</f>
        <v/>
      </c>
      <c r="V212" s="37" t="str">
        <f>IF(SUBTOTAL(109,A212)=A212,"",19985000)</f>
        <v/>
      </c>
      <c r="W212" s="37" t="str">
        <f>IF(SUBTOTAL(109,A212)=A212,"","")</f>
        <v/>
      </c>
      <c r="X212" s="37" t="str">
        <f>IF(SUBTOTAL(109,A212)=A212,"","")</f>
        <v/>
      </c>
      <c r="Y212" s="37" t="str">
        <f>IF(SUBTOTAL(109,A212)=A212,"","")</f>
        <v/>
      </c>
      <c r="Z212" s="37" t="str">
        <f>IF(SUBTOTAL(109,A212)=A212,"","")</f>
        <v/>
      </c>
      <c r="AB212" s="30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 outlineLevel="2" x14ac:dyDescent="0.25">
      <c r="A213" s="29">
        <v>1</v>
      </c>
      <c r="C213" s="24" t="str">
        <f>"        Other Contractual Obligations due in year 1"</f>
        <v xml:space="preserve">        Other Contractual Obligations due in year 1</v>
      </c>
      <c r="D213" s="32">
        <f t="shared" si="56"/>
        <v>8161000</v>
      </c>
      <c r="E213" s="32">
        <f t="shared" si="57"/>
        <v>8413700</v>
      </c>
      <c r="F213" s="32">
        <f t="shared" si="58"/>
        <v>5515000</v>
      </c>
      <c r="G213" s="32">
        <f t="shared" si="59"/>
        <v>11016000</v>
      </c>
      <c r="H213" s="32">
        <f t="shared" si="60"/>
        <v>7280250</v>
      </c>
      <c r="I213" s="32">
        <f t="shared" si="61"/>
        <v>10030500</v>
      </c>
      <c r="J213" s="32">
        <f t="shared" si="62"/>
        <v>1847960.8611776507</v>
      </c>
      <c r="K213" s="33">
        <f t="shared" si="63"/>
        <v>0.21963712292780235</v>
      </c>
      <c r="L213" s="37"/>
      <c r="M213" s="37">
        <v>6363000</v>
      </c>
      <c r="N213" s="37">
        <v>5515000</v>
      </c>
      <c r="O213" s="37">
        <v>7177000</v>
      </c>
      <c r="P213" s="37">
        <v>7590000</v>
      </c>
      <c r="Q213" s="37">
        <v>8408000</v>
      </c>
      <c r="R213" s="37">
        <v>7914000</v>
      </c>
      <c r="S213" s="37">
        <v>9318000</v>
      </c>
      <c r="T213" s="37">
        <v>10268000</v>
      </c>
      <c r="U213" s="37">
        <v>11016000</v>
      </c>
      <c r="V213" s="37">
        <v>10568000</v>
      </c>
      <c r="W213" s="37" t="s">
        <v>124</v>
      </c>
      <c r="X213" s="37" t="s">
        <v>124</v>
      </c>
      <c r="Y213" s="37" t="s">
        <v>124</v>
      </c>
      <c r="Z213" s="37" t="s">
        <v>124</v>
      </c>
      <c r="AB213" s="30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 outlineLevel="2" x14ac:dyDescent="0.25">
      <c r="A214" s="29">
        <v>1</v>
      </c>
      <c r="C214" s="24" t="str">
        <f>"        Other Contractual Obligations due in year 3"</f>
        <v xml:space="preserve">        Other Contractual Obligations due in year 3</v>
      </c>
      <c r="D214" s="32">
        <f t="shared" si="56"/>
        <v>5960000</v>
      </c>
      <c r="E214" s="32">
        <f t="shared" si="57"/>
        <v>6069600</v>
      </c>
      <c r="F214" s="32">
        <f t="shared" si="58"/>
        <v>4275000</v>
      </c>
      <c r="G214" s="32">
        <f t="shared" si="59"/>
        <v>7756000</v>
      </c>
      <c r="H214" s="32">
        <f t="shared" si="60"/>
        <v>5704250</v>
      </c>
      <c r="I214" s="32">
        <f t="shared" si="61"/>
        <v>6795500</v>
      </c>
      <c r="J214" s="32">
        <f t="shared" si="62"/>
        <v>1080534.8675540276</v>
      </c>
      <c r="K214" s="33">
        <f t="shared" si="63"/>
        <v>0.17802406543331151</v>
      </c>
      <c r="L214" s="37"/>
      <c r="M214" s="37">
        <v>6320000</v>
      </c>
      <c r="N214" s="37">
        <v>5729000</v>
      </c>
      <c r="O214" s="37">
        <v>6954000</v>
      </c>
      <c r="P214" s="37">
        <v>7756000</v>
      </c>
      <c r="Q214" s="37">
        <v>5854000</v>
      </c>
      <c r="R214" s="37">
        <v>5696000</v>
      </c>
      <c r="S214" s="37">
        <v>4740000</v>
      </c>
      <c r="T214" s="37">
        <v>4275000</v>
      </c>
      <c r="U214" s="37">
        <v>7306000</v>
      </c>
      <c r="V214" s="37">
        <v>6066000</v>
      </c>
      <c r="W214" s="37" t="s">
        <v>124</v>
      </c>
      <c r="X214" s="37" t="s">
        <v>124</v>
      </c>
      <c r="Y214" s="37" t="s">
        <v>124</v>
      </c>
      <c r="Z214" s="37" t="s">
        <v>124</v>
      </c>
      <c r="AB214" s="30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 outlineLevel="2" x14ac:dyDescent="0.25">
      <c r="A215" s="29">
        <v>1</v>
      </c>
      <c r="C215" s="24" t="str">
        <f>"        Other Contractual Obligations due in year 5"</f>
        <v xml:space="preserve">        Other Contractual Obligations due in year 5</v>
      </c>
      <c r="D215" s="32">
        <f t="shared" si="56"/>
        <v>2489000</v>
      </c>
      <c r="E215" s="32">
        <f t="shared" si="57"/>
        <v>3618700</v>
      </c>
      <c r="F215" s="32">
        <f t="shared" si="58"/>
        <v>1770000</v>
      </c>
      <c r="G215" s="32">
        <f t="shared" si="59"/>
        <v>13090000</v>
      </c>
      <c r="H215" s="32">
        <f t="shared" si="60"/>
        <v>2319750</v>
      </c>
      <c r="I215" s="32">
        <f t="shared" si="61"/>
        <v>2782000</v>
      </c>
      <c r="J215" s="32">
        <f t="shared" si="62"/>
        <v>3386506.8876351044</v>
      </c>
      <c r="K215" s="33">
        <f t="shared" si="63"/>
        <v>0.93583521364995836</v>
      </c>
      <c r="L215" s="37"/>
      <c r="M215" s="37">
        <v>2409000</v>
      </c>
      <c r="N215" s="37">
        <v>2558000</v>
      </c>
      <c r="O215" s="37">
        <v>4104000</v>
      </c>
      <c r="P215" s="37">
        <v>13090000</v>
      </c>
      <c r="Q215" s="37">
        <v>2770000</v>
      </c>
      <c r="R215" s="37">
        <v>2420000</v>
      </c>
      <c r="S215" s="37">
        <v>2290000</v>
      </c>
      <c r="T215" s="37">
        <v>1770000</v>
      </c>
      <c r="U215" s="37">
        <v>2786000</v>
      </c>
      <c r="V215" s="37">
        <v>1990000</v>
      </c>
      <c r="W215" s="37" t="s">
        <v>124</v>
      </c>
      <c r="X215" s="37" t="s">
        <v>124</v>
      </c>
      <c r="Y215" s="37" t="s">
        <v>124</v>
      </c>
      <c r="Z215" s="37" t="s">
        <v>124</v>
      </c>
      <c r="AB215" s="30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 outlineLevel="2" x14ac:dyDescent="0.25">
      <c r="A216" s="29">
        <v>1</v>
      </c>
      <c r="C216" s="24" t="str">
        <f>"        Other Contractual Obligations due Beyond"</f>
        <v xml:space="preserve">        Other Contractual Obligations due Beyond</v>
      </c>
      <c r="D216" s="32">
        <f t="shared" si="56"/>
        <v>8518000</v>
      </c>
      <c r="E216" s="32">
        <f t="shared" si="57"/>
        <v>8794300</v>
      </c>
      <c r="F216" s="32">
        <f t="shared" si="58"/>
        <v>1361000</v>
      </c>
      <c r="G216" s="32">
        <f t="shared" si="59"/>
        <v>19750000</v>
      </c>
      <c r="H216" s="32">
        <f t="shared" si="60"/>
        <v>6294250</v>
      </c>
      <c r="I216" s="32">
        <f t="shared" si="61"/>
        <v>10604250</v>
      </c>
      <c r="J216" s="32">
        <f t="shared" si="62"/>
        <v>4993518.8450185666</v>
      </c>
      <c r="K216" s="33">
        <f t="shared" si="63"/>
        <v>0.56781311133558854</v>
      </c>
      <c r="L216" s="37"/>
      <c r="M216" s="37">
        <v>12020000</v>
      </c>
      <c r="N216" s="37">
        <v>8900000</v>
      </c>
      <c r="O216" s="37">
        <v>19750000</v>
      </c>
      <c r="P216" s="37">
        <v>10800000</v>
      </c>
      <c r="Q216" s="37">
        <v>10017000</v>
      </c>
      <c r="R216" s="37">
        <v>8136000</v>
      </c>
      <c r="S216" s="37">
        <v>6215000</v>
      </c>
      <c r="T216" s="37">
        <v>6532000</v>
      </c>
      <c r="U216" s="37">
        <v>4212000</v>
      </c>
      <c r="V216" s="37">
        <v>1361000</v>
      </c>
      <c r="W216" s="37" t="s">
        <v>124</v>
      </c>
      <c r="X216" s="37" t="s">
        <v>124</v>
      </c>
      <c r="Y216" s="37" t="s">
        <v>124</v>
      </c>
      <c r="Z216" s="37" t="s">
        <v>124</v>
      </c>
      <c r="AB216" s="30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 outlineLevel="2" x14ac:dyDescent="0.25">
      <c r="A217" s="29">
        <v>1</v>
      </c>
      <c r="C217" s="25" t="str">
        <f>"        Other Contractual Obligations Maturity Schedule Total"</f>
        <v xml:space="preserve">        Other Contractual Obligations Maturity Schedule Total</v>
      </c>
      <c r="D217" s="45">
        <f t="shared" si="56"/>
        <v>24743000</v>
      </c>
      <c r="E217" s="45">
        <f t="shared" si="57"/>
        <v>26896300</v>
      </c>
      <c r="F217" s="45">
        <f t="shared" si="58"/>
        <v>19985000</v>
      </c>
      <c r="G217" s="45">
        <f t="shared" si="59"/>
        <v>39236000</v>
      </c>
      <c r="H217" s="45">
        <f t="shared" si="60"/>
        <v>22737750</v>
      </c>
      <c r="I217" s="45">
        <f t="shared" si="61"/>
        <v>27096250</v>
      </c>
      <c r="J217" s="45">
        <f t="shared" si="62"/>
        <v>6547139.393149755</v>
      </c>
      <c r="K217" s="46">
        <f t="shared" si="63"/>
        <v>0.24342156330609618</v>
      </c>
      <c r="L217" s="47"/>
      <c r="M217" s="47">
        <v>27112000</v>
      </c>
      <c r="N217" s="47">
        <v>22702000</v>
      </c>
      <c r="O217" s="47">
        <v>37985000</v>
      </c>
      <c r="P217" s="47">
        <v>39236000</v>
      </c>
      <c r="Q217" s="47">
        <v>27049000</v>
      </c>
      <c r="R217" s="47">
        <v>24166000</v>
      </c>
      <c r="S217" s="47">
        <v>22563000</v>
      </c>
      <c r="T217" s="47">
        <v>22845000</v>
      </c>
      <c r="U217" s="47">
        <v>25320000</v>
      </c>
      <c r="V217" s="47">
        <v>19985000</v>
      </c>
      <c r="W217" s="47" t="s">
        <v>124</v>
      </c>
      <c r="X217" s="47" t="s">
        <v>124</v>
      </c>
      <c r="Y217" s="47" t="s">
        <v>124</v>
      </c>
      <c r="Z217" s="47" t="s">
        <v>124</v>
      </c>
      <c r="AB217" s="30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 outlineLevel="1" x14ac:dyDescent="0.25">
      <c r="A218" s="29">
        <v>1</v>
      </c>
      <c r="C218" s="24" t="str">
        <f>IF(SUBTOTAL(109,A218)=A218,"    Lease Liability","    Total Lease Liability")</f>
        <v xml:space="preserve">    Lease Liability</v>
      </c>
      <c r="D218" s="32" t="str">
        <f t="shared" si="56"/>
        <v/>
      </c>
      <c r="E218" s="32" t="str">
        <f t="shared" si="57"/>
        <v/>
      </c>
      <c r="F218" s="32" t="str">
        <f t="shared" si="58"/>
        <v/>
      </c>
      <c r="G218" s="32" t="str">
        <f t="shared" si="59"/>
        <v/>
      </c>
      <c r="H218" s="32" t="str">
        <f t="shared" si="60"/>
        <v/>
      </c>
      <c r="I218" s="32" t="str">
        <f t="shared" si="61"/>
        <v/>
      </c>
      <c r="J218" s="32" t="str">
        <f t="shared" si="62"/>
        <v/>
      </c>
      <c r="K218" s="33" t="str">
        <f t="shared" si="63"/>
        <v/>
      </c>
      <c r="L218" s="37"/>
      <c r="M218" s="37" t="str">
        <f>IF(SUBTOTAL(109,A218)=A218,"",1589000)</f>
        <v/>
      </c>
      <c r="N218" s="37" t="str">
        <f>IF(SUBTOTAL(109,A218)=A218,"",1512000)</f>
        <v/>
      </c>
      <c r="O218" s="37" t="str">
        <f>IF(SUBTOTAL(109,A218)=A218,"",1786000)</f>
        <v/>
      </c>
      <c r="P218" s="37" t="str">
        <f>IF(SUBTOTAL(109,A218)=A218,"",1737000)</f>
        <v/>
      </c>
      <c r="Q218" s="37" t="str">
        <f>IF(SUBTOTAL(109,A218)=A218,"",1036000)</f>
        <v/>
      </c>
      <c r="R218" s="37" t="str">
        <f>IF(SUBTOTAL(109,A218)=A218,"",1193000)</f>
        <v/>
      </c>
      <c r="S218" s="37" t="str">
        <f>IF(SUBTOTAL(109,A218)=A218,"",926000)</f>
        <v/>
      </c>
      <c r="T218" s="37" t="str">
        <f>IF(SUBTOTAL(109,A218)=A218,"",1003000)</f>
        <v/>
      </c>
      <c r="U218" s="37" t="str">
        <f>IF(SUBTOTAL(109,A218)=A218,"",1087000)</f>
        <v/>
      </c>
      <c r="V218" s="37" t="str">
        <f>IF(SUBTOTAL(109,A218)=A218,"",1338000)</f>
        <v/>
      </c>
      <c r="W218" s="37" t="str">
        <f>IF(SUBTOTAL(109,A218)=A218,"","")</f>
        <v/>
      </c>
      <c r="X218" s="37" t="str">
        <f>IF(SUBTOTAL(109,A218)=A218,"","")</f>
        <v/>
      </c>
      <c r="Y218" s="37" t="str">
        <f>IF(SUBTOTAL(109,A218)=A218,"","")</f>
        <v/>
      </c>
      <c r="Z218" s="37" t="str">
        <f>IF(SUBTOTAL(109,A218)=A218,"","")</f>
        <v/>
      </c>
      <c r="AB218" s="30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 outlineLevel="2" x14ac:dyDescent="0.25">
      <c r="A219" s="29">
        <v>1</v>
      </c>
      <c r="C219" s="24" t="str">
        <f>"        Total Lease Liability - Due in year 1"</f>
        <v xml:space="preserve">        Total Lease Liability - Due in year 1</v>
      </c>
      <c r="D219" s="32">
        <f t="shared" si="56"/>
        <v>280500</v>
      </c>
      <c r="E219" s="32">
        <f t="shared" si="57"/>
        <v>283400</v>
      </c>
      <c r="F219" s="32">
        <f t="shared" si="58"/>
        <v>222000</v>
      </c>
      <c r="G219" s="32">
        <f t="shared" si="59"/>
        <v>381000</v>
      </c>
      <c r="H219" s="32">
        <f t="shared" si="60"/>
        <v>239500</v>
      </c>
      <c r="I219" s="32">
        <f t="shared" si="61"/>
        <v>307250</v>
      </c>
      <c r="J219" s="32">
        <f t="shared" si="62"/>
        <v>51549.760210671957</v>
      </c>
      <c r="K219" s="33">
        <f t="shared" si="63"/>
        <v>0.18189753073631601</v>
      </c>
      <c r="L219" s="37"/>
      <c r="M219" s="37">
        <v>262000</v>
      </c>
      <c r="N219" s="37">
        <v>266000</v>
      </c>
      <c r="O219" s="37">
        <v>381000</v>
      </c>
      <c r="P219" s="37">
        <v>296000</v>
      </c>
      <c r="Q219" s="37">
        <v>222000</v>
      </c>
      <c r="R219" s="37">
        <v>232000</v>
      </c>
      <c r="S219" s="37">
        <v>229000</v>
      </c>
      <c r="T219" s="37">
        <v>295000</v>
      </c>
      <c r="U219" s="37">
        <v>311000</v>
      </c>
      <c r="V219" s="37">
        <v>340000</v>
      </c>
      <c r="W219" s="37" t="s">
        <v>124</v>
      </c>
      <c r="X219" s="37" t="s">
        <v>124</v>
      </c>
      <c r="Y219" s="37" t="s">
        <v>124</v>
      </c>
      <c r="Z219" s="37" t="s">
        <v>124</v>
      </c>
      <c r="AB219" s="30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 outlineLevel="2" x14ac:dyDescent="0.25">
      <c r="A220" s="29">
        <v>1</v>
      </c>
      <c r="C220" s="24" t="str">
        <f>"        Total Lease Liability - Due in year 2"</f>
        <v xml:space="preserve">        Total Lease Liability - Due in year 2</v>
      </c>
      <c r="D220" s="32">
        <f t="shared" si="56"/>
        <v>219000</v>
      </c>
      <c r="E220" s="32">
        <f t="shared" si="57"/>
        <v>227714.28571428571</v>
      </c>
      <c r="F220" s="32">
        <f t="shared" si="58"/>
        <v>175000</v>
      </c>
      <c r="G220" s="32">
        <f t="shared" si="59"/>
        <v>286000</v>
      </c>
      <c r="H220" s="32">
        <f t="shared" si="60"/>
        <v>211500</v>
      </c>
      <c r="I220" s="32">
        <f t="shared" si="61"/>
        <v>245500</v>
      </c>
      <c r="J220" s="32">
        <f t="shared" si="62"/>
        <v>36192.606453594424</v>
      </c>
      <c r="K220" s="33">
        <f t="shared" si="63"/>
        <v>0.15893867325919761</v>
      </c>
      <c r="L220" s="37"/>
      <c r="M220" s="37" t="s">
        <v>124</v>
      </c>
      <c r="N220" s="37" t="s">
        <v>124</v>
      </c>
      <c r="O220" s="37" t="s">
        <v>124</v>
      </c>
      <c r="P220" s="37">
        <v>286000</v>
      </c>
      <c r="Q220" s="37">
        <v>205000</v>
      </c>
      <c r="R220" s="37">
        <v>219000</v>
      </c>
      <c r="S220" s="37">
        <v>175000</v>
      </c>
      <c r="T220" s="37">
        <v>218000</v>
      </c>
      <c r="U220" s="37">
        <v>232000</v>
      </c>
      <c r="V220" s="37">
        <v>259000</v>
      </c>
      <c r="W220" s="37" t="s">
        <v>124</v>
      </c>
      <c r="X220" s="37" t="s">
        <v>124</v>
      </c>
      <c r="Y220" s="37" t="s">
        <v>124</v>
      </c>
      <c r="Z220" s="37" t="s">
        <v>124</v>
      </c>
      <c r="AB220" s="30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 outlineLevel="2" x14ac:dyDescent="0.25">
      <c r="A221" s="29">
        <v>1</v>
      </c>
      <c r="C221" s="24" t="str">
        <f>"        Total Lease Liability - Due in year 3"</f>
        <v xml:space="preserve">        Total Lease Liability - Due in year 3</v>
      </c>
      <c r="D221" s="32">
        <f t="shared" si="56"/>
        <v>195000</v>
      </c>
      <c r="E221" s="32">
        <f t="shared" si="57"/>
        <v>269000</v>
      </c>
      <c r="F221" s="32">
        <f t="shared" si="58"/>
        <v>137000</v>
      </c>
      <c r="G221" s="32">
        <f t="shared" si="59"/>
        <v>513000</v>
      </c>
      <c r="H221" s="32">
        <f t="shared" si="60"/>
        <v>166750</v>
      </c>
      <c r="I221" s="32">
        <f t="shared" si="61"/>
        <v>388750</v>
      </c>
      <c r="J221" s="32">
        <f t="shared" si="62"/>
        <v>147775.35503444259</v>
      </c>
      <c r="K221" s="33">
        <f t="shared" si="63"/>
        <v>0.54935076220982371</v>
      </c>
      <c r="L221" s="37"/>
      <c r="M221" s="37">
        <v>482000</v>
      </c>
      <c r="N221" s="37">
        <v>436000</v>
      </c>
      <c r="O221" s="37">
        <v>513000</v>
      </c>
      <c r="P221" s="37">
        <v>247000</v>
      </c>
      <c r="Q221" s="37">
        <v>172000</v>
      </c>
      <c r="R221" s="37">
        <v>192000</v>
      </c>
      <c r="S221" s="37">
        <v>148000</v>
      </c>
      <c r="T221" s="37">
        <v>137000</v>
      </c>
      <c r="U221" s="37">
        <v>165000</v>
      </c>
      <c r="V221" s="37">
        <v>198000</v>
      </c>
      <c r="W221" s="37" t="s">
        <v>124</v>
      </c>
      <c r="X221" s="37" t="s">
        <v>124</v>
      </c>
      <c r="Y221" s="37" t="s">
        <v>124</v>
      </c>
      <c r="Z221" s="37" t="s">
        <v>124</v>
      </c>
      <c r="AB221" s="30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 outlineLevel="2" x14ac:dyDescent="0.25">
      <c r="A222" s="29">
        <v>1</v>
      </c>
      <c r="C222" s="24" t="str">
        <f>"        Total Lease Liability - Due in year 4"</f>
        <v xml:space="preserve">        Total Lease Liability - Due in year 4</v>
      </c>
      <c r="D222" s="32">
        <f t="shared" si="56"/>
        <v>145000</v>
      </c>
      <c r="E222" s="32">
        <f t="shared" si="57"/>
        <v>137142.85714285713</v>
      </c>
      <c r="F222" s="32">
        <f t="shared" si="58"/>
        <v>97000</v>
      </c>
      <c r="G222" s="32">
        <f t="shared" si="59"/>
        <v>180000</v>
      </c>
      <c r="H222" s="32">
        <f t="shared" si="60"/>
        <v>120500</v>
      </c>
      <c r="I222" s="32">
        <f t="shared" si="61"/>
        <v>148500</v>
      </c>
      <c r="J222" s="32">
        <f t="shared" si="62"/>
        <v>27064.297339413621</v>
      </c>
      <c r="K222" s="33">
        <f t="shared" si="63"/>
        <v>0.19734383476655767</v>
      </c>
      <c r="L222" s="37"/>
      <c r="M222" s="37" t="s">
        <v>124</v>
      </c>
      <c r="N222" s="37" t="s">
        <v>124</v>
      </c>
      <c r="O222" s="37" t="s">
        <v>124</v>
      </c>
      <c r="P222" s="37">
        <v>180000</v>
      </c>
      <c r="Q222" s="37">
        <v>146000</v>
      </c>
      <c r="R222" s="37">
        <v>151000</v>
      </c>
      <c r="S222" s="37">
        <v>126000</v>
      </c>
      <c r="T222" s="37">
        <v>115000</v>
      </c>
      <c r="U222" s="37">
        <v>97000</v>
      </c>
      <c r="V222" s="37">
        <v>145000</v>
      </c>
      <c r="W222" s="37" t="s">
        <v>124</v>
      </c>
      <c r="X222" s="37" t="s">
        <v>124</v>
      </c>
      <c r="Y222" s="37" t="s">
        <v>124</v>
      </c>
      <c r="Z222" s="37" t="s">
        <v>124</v>
      </c>
      <c r="AB222" s="30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 outlineLevel="2" x14ac:dyDescent="0.25">
      <c r="A223" s="29">
        <v>1</v>
      </c>
      <c r="C223" s="24" t="str">
        <f>"        Total Lease Liability - Due in year 5"</f>
        <v xml:space="preserve">        Total Lease Liability - Due in year 5</v>
      </c>
      <c r="D223" s="32">
        <f t="shared" si="56"/>
        <v>111500</v>
      </c>
      <c r="E223" s="32">
        <f t="shared" si="57"/>
        <v>168900</v>
      </c>
      <c r="F223" s="32">
        <f t="shared" si="58"/>
        <v>76000</v>
      </c>
      <c r="G223" s="32">
        <f t="shared" si="59"/>
        <v>355000</v>
      </c>
      <c r="H223" s="32">
        <f t="shared" si="60"/>
        <v>86250</v>
      </c>
      <c r="I223" s="32">
        <f t="shared" si="61"/>
        <v>270500</v>
      </c>
      <c r="J223" s="32">
        <f t="shared" si="62"/>
        <v>113501.29710467826</v>
      </c>
      <c r="K223" s="33">
        <f t="shared" si="63"/>
        <v>0.67200294318933251</v>
      </c>
      <c r="L223" s="37"/>
      <c r="M223" s="37">
        <v>355000</v>
      </c>
      <c r="N223" s="37">
        <v>312000</v>
      </c>
      <c r="O223" s="37">
        <v>322000</v>
      </c>
      <c r="P223" s="37">
        <v>146000</v>
      </c>
      <c r="Q223" s="37">
        <v>85000</v>
      </c>
      <c r="R223" s="37">
        <v>127000</v>
      </c>
      <c r="S223" s="37">
        <v>96000</v>
      </c>
      <c r="T223" s="37">
        <v>90000</v>
      </c>
      <c r="U223" s="37">
        <v>76000</v>
      </c>
      <c r="V223" s="37">
        <v>80000</v>
      </c>
      <c r="W223" s="37" t="s">
        <v>124</v>
      </c>
      <c r="X223" s="37" t="s">
        <v>124</v>
      </c>
      <c r="Y223" s="37" t="s">
        <v>124</v>
      </c>
      <c r="Z223" s="37" t="s">
        <v>124</v>
      </c>
      <c r="AB223" s="30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 outlineLevel="2" x14ac:dyDescent="0.25">
      <c r="A224" s="29">
        <v>1</v>
      </c>
      <c r="C224" s="24" t="str">
        <f>"        Total Lease Liability - Beyond"</f>
        <v xml:space="preserve">        Total Lease Liability - Beyond</v>
      </c>
      <c r="D224" s="32">
        <f t="shared" si="56"/>
        <v>294000</v>
      </c>
      <c r="E224" s="32">
        <f t="shared" si="57"/>
        <v>344000</v>
      </c>
      <c r="F224" s="32">
        <f t="shared" si="58"/>
        <v>148000</v>
      </c>
      <c r="G224" s="32">
        <f t="shared" si="59"/>
        <v>582000</v>
      </c>
      <c r="H224" s="32">
        <f t="shared" si="60"/>
        <v>206000</v>
      </c>
      <c r="I224" s="32">
        <f t="shared" si="61"/>
        <v>496000</v>
      </c>
      <c r="J224" s="32">
        <f t="shared" si="62"/>
        <v>173873.51724745202</v>
      </c>
      <c r="K224" s="33">
        <f t="shared" si="63"/>
        <v>0.50544627106817452</v>
      </c>
      <c r="L224" s="37"/>
      <c r="M224" s="37">
        <v>490000</v>
      </c>
      <c r="N224" s="37">
        <v>498000</v>
      </c>
      <c r="O224" s="37">
        <v>570000</v>
      </c>
      <c r="P224" s="37">
        <v>582000</v>
      </c>
      <c r="Q224" s="37">
        <v>206000</v>
      </c>
      <c r="R224" s="37">
        <v>272000</v>
      </c>
      <c r="S224" s="37">
        <v>152000</v>
      </c>
      <c r="T224" s="37">
        <v>148000</v>
      </c>
      <c r="U224" s="37">
        <v>206000</v>
      </c>
      <c r="V224" s="37">
        <v>316000</v>
      </c>
      <c r="W224" s="37" t="s">
        <v>124</v>
      </c>
      <c r="X224" s="37" t="s">
        <v>124</v>
      </c>
      <c r="Y224" s="37" t="s">
        <v>124</v>
      </c>
      <c r="Z224" s="37" t="s">
        <v>124</v>
      </c>
      <c r="AB224" s="30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 outlineLevel="2" x14ac:dyDescent="0.25">
      <c r="A225" s="29">
        <v>1</v>
      </c>
      <c r="C225" s="25" t="str">
        <f>"        Total Lease Liability"</f>
        <v xml:space="preserve">        Total Lease Liability</v>
      </c>
      <c r="D225" s="45">
        <f t="shared" si="56"/>
        <v>1265500</v>
      </c>
      <c r="E225" s="45">
        <f t="shared" si="57"/>
        <v>1320700</v>
      </c>
      <c r="F225" s="45">
        <f t="shared" si="58"/>
        <v>926000</v>
      </c>
      <c r="G225" s="45">
        <f t="shared" si="59"/>
        <v>1786000</v>
      </c>
      <c r="H225" s="45">
        <f t="shared" si="60"/>
        <v>1048750</v>
      </c>
      <c r="I225" s="45">
        <f t="shared" si="61"/>
        <v>1569750</v>
      </c>
      <c r="J225" s="45">
        <f t="shared" si="62"/>
        <v>317523.07002799027</v>
      </c>
      <c r="K225" s="46">
        <f t="shared" si="63"/>
        <v>0.24042028471870242</v>
      </c>
      <c r="L225" s="47"/>
      <c r="M225" s="47">
        <v>1589000</v>
      </c>
      <c r="N225" s="47">
        <v>1512000</v>
      </c>
      <c r="O225" s="47">
        <v>1786000</v>
      </c>
      <c r="P225" s="47">
        <v>1737000</v>
      </c>
      <c r="Q225" s="47">
        <v>1036000</v>
      </c>
      <c r="R225" s="47">
        <v>1193000</v>
      </c>
      <c r="S225" s="47">
        <v>926000</v>
      </c>
      <c r="T225" s="47">
        <v>1003000</v>
      </c>
      <c r="U225" s="47">
        <v>1087000</v>
      </c>
      <c r="V225" s="47">
        <v>1338000</v>
      </c>
      <c r="W225" s="47" t="s">
        <v>124</v>
      </c>
      <c r="X225" s="47" t="s">
        <v>124</v>
      </c>
      <c r="Y225" s="47" t="s">
        <v>124</v>
      </c>
      <c r="Z225" s="47" t="s">
        <v>124</v>
      </c>
      <c r="AB225" s="30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 outlineLevel="1" x14ac:dyDescent="0.25">
      <c r="A226" s="29">
        <v>1</v>
      </c>
      <c r="C226" s="24" t="str">
        <f>IF(SUBTOTAL(109,A226)=A226,"    Contractual Obligations","    Total Contractual Obligations")</f>
        <v xml:space="preserve">    Contractual Obligations</v>
      </c>
      <c r="D226" s="32" t="str">
        <f t="shared" si="56"/>
        <v/>
      </c>
      <c r="E226" s="32" t="str">
        <f t="shared" si="57"/>
        <v/>
      </c>
      <c r="F226" s="32" t="str">
        <f t="shared" si="58"/>
        <v/>
      </c>
      <c r="G226" s="32" t="str">
        <f t="shared" si="59"/>
        <v/>
      </c>
      <c r="H226" s="32" t="str">
        <f t="shared" si="60"/>
        <v/>
      </c>
      <c r="I226" s="32" t="str">
        <f t="shared" si="61"/>
        <v/>
      </c>
      <c r="J226" s="32" t="str">
        <f t="shared" si="62"/>
        <v/>
      </c>
      <c r="K226" s="33" t="str">
        <f t="shared" si="63"/>
        <v/>
      </c>
      <c r="L226" s="37"/>
      <c r="M226" s="37" t="str">
        <f>IF(SUBTOTAL(109,A226)=A226,"",138568000)</f>
        <v/>
      </c>
      <c r="N226" s="37" t="str">
        <f>IF(SUBTOTAL(109,A226)=A226,"",134238000)</f>
        <v/>
      </c>
      <c r="O226" s="37" t="str">
        <f>IF(SUBTOTAL(109,A226)=A226,"",142785000)</f>
        <v/>
      </c>
      <c r="P226" s="37" t="str">
        <f>IF(SUBTOTAL(109,A226)=A226,"",145396000)</f>
        <v/>
      </c>
      <c r="Q226" s="37" t="str">
        <f>IF(SUBTOTAL(109,A226)=A226,"",123095000)</f>
        <v/>
      </c>
      <c r="R226" s="37" t="str">
        <f>IF(SUBTOTAL(109,A226)=A226,"",25359000)</f>
        <v/>
      </c>
      <c r="S226" s="37" t="str">
        <f>IF(SUBTOTAL(109,A226)=A226,"",87327000)</f>
        <v/>
      </c>
      <c r="T226" s="37" t="str">
        <f>IF(SUBTOTAL(109,A226)=A226,"",23848000)</f>
        <v/>
      </c>
      <c r="U226" s="37" t="str">
        <f>IF(SUBTOTAL(109,A226)=A226,"",62590000)</f>
        <v/>
      </c>
      <c r="V226" s="37" t="str">
        <f>IF(SUBTOTAL(109,A226)=A226,"",37373000)</f>
        <v/>
      </c>
      <c r="W226" s="37" t="str">
        <f>IF(SUBTOTAL(109,A226)=A226,"","")</f>
        <v/>
      </c>
      <c r="X226" s="37" t="str">
        <f>IF(SUBTOTAL(109,A226)=A226,"","")</f>
        <v/>
      </c>
      <c r="Y226" s="37" t="str">
        <f>IF(SUBTOTAL(109,A226)=A226,"","")</f>
        <v/>
      </c>
      <c r="Z226" s="37" t="str">
        <f>IF(SUBTOTAL(109,A226)=A226,"","")</f>
        <v/>
      </c>
      <c r="AB226" s="30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 outlineLevel="2" x14ac:dyDescent="0.25">
      <c r="A227" s="29">
        <v>1</v>
      </c>
      <c r="C227" s="24" t="str">
        <f>"        Total Contractual Obligations due in year 1"</f>
        <v xml:space="preserve">        Total Contractual Obligations due in year 1</v>
      </c>
      <c r="D227" s="32">
        <f t="shared" si="56"/>
        <v>32408000</v>
      </c>
      <c r="E227" s="32">
        <f t="shared" si="57"/>
        <v>29285700</v>
      </c>
      <c r="F227" s="32">
        <f t="shared" si="58"/>
        <v>8146000</v>
      </c>
      <c r="G227" s="32">
        <f t="shared" si="59"/>
        <v>44948000</v>
      </c>
      <c r="H227" s="32">
        <f t="shared" si="60"/>
        <v>18333750</v>
      </c>
      <c r="I227" s="32">
        <f t="shared" si="61"/>
        <v>40251500</v>
      </c>
      <c r="J227" s="32">
        <f t="shared" si="62"/>
        <v>13709694.526542563</v>
      </c>
      <c r="K227" s="33">
        <f t="shared" si="63"/>
        <v>0.46813613902152118</v>
      </c>
      <c r="L227" s="37"/>
      <c r="M227" s="37">
        <v>40421000</v>
      </c>
      <c r="N227" s="37">
        <v>42799000</v>
      </c>
      <c r="O227" s="37">
        <v>44948000</v>
      </c>
      <c r="P227" s="37">
        <v>39743000</v>
      </c>
      <c r="Q227" s="37">
        <v>35660000</v>
      </c>
      <c r="R227" s="37">
        <v>8146000</v>
      </c>
      <c r="S227" s="37">
        <v>29156000</v>
      </c>
      <c r="T227" s="37">
        <v>10563000</v>
      </c>
      <c r="U227" s="37">
        <v>25464000</v>
      </c>
      <c r="V227" s="37">
        <v>15957000</v>
      </c>
      <c r="W227" s="37" t="s">
        <v>124</v>
      </c>
      <c r="X227" s="37" t="s">
        <v>124</v>
      </c>
      <c r="Y227" s="37" t="s">
        <v>124</v>
      </c>
      <c r="Z227" s="37" t="s">
        <v>124</v>
      </c>
      <c r="AB227" s="30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 outlineLevel="2" x14ac:dyDescent="0.25">
      <c r="A228" s="29">
        <v>1</v>
      </c>
      <c r="C228" s="24" t="str">
        <f>"        Total Contractual Obligations due in year 2"</f>
        <v xml:space="preserve">        Total Contractual Obligations due in year 2</v>
      </c>
      <c r="D228" s="32">
        <f t="shared" si="56"/>
        <v>6852000</v>
      </c>
      <c r="E228" s="32">
        <f t="shared" si="57"/>
        <v>9485777.777777778</v>
      </c>
      <c r="F228" s="32">
        <f t="shared" si="58"/>
        <v>218000</v>
      </c>
      <c r="G228" s="32">
        <f t="shared" si="59"/>
        <v>23091000</v>
      </c>
      <c r="H228" s="32">
        <f t="shared" si="60"/>
        <v>286000</v>
      </c>
      <c r="I228" s="32">
        <f t="shared" si="61"/>
        <v>18848000</v>
      </c>
      <c r="J228" s="32">
        <f t="shared" si="62"/>
        <v>9320393.4704734664</v>
      </c>
      <c r="K228" s="33">
        <f t="shared" si="63"/>
        <v>0.98256502406247004</v>
      </c>
      <c r="L228" s="37"/>
      <c r="M228" s="37">
        <v>23091000</v>
      </c>
      <c r="N228" s="37">
        <v>19449000</v>
      </c>
      <c r="O228" s="37" t="s">
        <v>124</v>
      </c>
      <c r="P228" s="37">
        <v>286000</v>
      </c>
      <c r="Q228" s="37">
        <v>18848000</v>
      </c>
      <c r="R228" s="37">
        <v>219000</v>
      </c>
      <c r="S228" s="37">
        <v>13511000</v>
      </c>
      <c r="T228" s="37">
        <v>218000</v>
      </c>
      <c r="U228" s="37">
        <v>6852000</v>
      </c>
      <c r="V228" s="37">
        <v>2898000</v>
      </c>
      <c r="W228" s="37" t="s">
        <v>124</v>
      </c>
      <c r="X228" s="37" t="s">
        <v>124</v>
      </c>
      <c r="Y228" s="37" t="s">
        <v>124</v>
      </c>
      <c r="Z228" s="37" t="s">
        <v>124</v>
      </c>
      <c r="AB228" s="30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 outlineLevel="2" x14ac:dyDescent="0.25">
      <c r="A229" s="29">
        <v>1</v>
      </c>
      <c r="C229" s="24" t="str">
        <f>"        Total Contractual Obligations due in year 3"</f>
        <v xml:space="preserve">        Total Contractual Obligations due in year 3</v>
      </c>
      <c r="D229" s="32">
        <f t="shared" si="56"/>
        <v>17929500</v>
      </c>
      <c r="E229" s="32">
        <f t="shared" si="57"/>
        <v>19941500</v>
      </c>
      <c r="F229" s="32">
        <f t="shared" si="58"/>
        <v>4412000</v>
      </c>
      <c r="G229" s="32">
        <f t="shared" si="59"/>
        <v>47196000</v>
      </c>
      <c r="H229" s="32">
        <f t="shared" si="60"/>
        <v>9326500</v>
      </c>
      <c r="I229" s="32">
        <f t="shared" si="61"/>
        <v>23345750</v>
      </c>
      <c r="J229" s="32">
        <f t="shared" si="62"/>
        <v>14282569.635359349</v>
      </c>
      <c r="K229" s="33">
        <f t="shared" si="63"/>
        <v>0.71622343531626753</v>
      </c>
      <c r="L229" s="37"/>
      <c r="M229" s="37">
        <v>20203000</v>
      </c>
      <c r="N229" s="37">
        <v>24025000</v>
      </c>
      <c r="O229" s="37">
        <v>40439000</v>
      </c>
      <c r="P229" s="37">
        <v>47196000</v>
      </c>
      <c r="Q229" s="37">
        <v>21308000</v>
      </c>
      <c r="R229" s="37">
        <v>5888000</v>
      </c>
      <c r="S229" s="37">
        <v>15656000</v>
      </c>
      <c r="T229" s="37">
        <v>4412000</v>
      </c>
      <c r="U229" s="37">
        <v>11779000</v>
      </c>
      <c r="V229" s="37">
        <v>8509000</v>
      </c>
      <c r="W229" s="37" t="s">
        <v>124</v>
      </c>
      <c r="X229" s="37" t="s">
        <v>124</v>
      </c>
      <c r="Y229" s="37" t="s">
        <v>124</v>
      </c>
      <c r="Z229" s="37" t="s">
        <v>124</v>
      </c>
      <c r="AB229" s="30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 outlineLevel="2" x14ac:dyDescent="0.25">
      <c r="A230" s="29">
        <v>1</v>
      </c>
      <c r="C230" s="24" t="str">
        <f>"        Total Contractual Obligations due in year 4"</f>
        <v xml:space="preserve">        Total Contractual Obligations due in year 4</v>
      </c>
      <c r="D230" s="32">
        <f t="shared" si="56"/>
        <v>2930000</v>
      </c>
      <c r="E230" s="32">
        <f t="shared" si="57"/>
        <v>4066666.6666666665</v>
      </c>
      <c r="F230" s="32">
        <f t="shared" si="58"/>
        <v>115000</v>
      </c>
      <c r="G230" s="32">
        <f t="shared" si="59"/>
        <v>11228000</v>
      </c>
      <c r="H230" s="32">
        <f t="shared" si="60"/>
        <v>180000</v>
      </c>
      <c r="I230" s="32">
        <f t="shared" si="61"/>
        <v>7894000</v>
      </c>
      <c r="J230" s="32">
        <f t="shared" si="62"/>
        <v>4110723.0507539669</v>
      </c>
      <c r="K230" s="33">
        <f t="shared" si="63"/>
        <v>1.0108335370706476</v>
      </c>
      <c r="L230" s="37"/>
      <c r="M230" s="37">
        <v>11228000</v>
      </c>
      <c r="N230" s="37">
        <v>7894000</v>
      </c>
      <c r="O230" s="37" t="s">
        <v>124</v>
      </c>
      <c r="P230" s="37">
        <v>180000</v>
      </c>
      <c r="Q230" s="37">
        <v>8007000</v>
      </c>
      <c r="R230" s="37">
        <v>151000</v>
      </c>
      <c r="S230" s="37">
        <v>4514000</v>
      </c>
      <c r="T230" s="37">
        <v>115000</v>
      </c>
      <c r="U230" s="37">
        <v>2930000</v>
      </c>
      <c r="V230" s="37">
        <v>1581000</v>
      </c>
      <c r="W230" s="37" t="s">
        <v>124</v>
      </c>
      <c r="X230" s="37" t="s">
        <v>124</v>
      </c>
      <c r="Y230" s="37" t="s">
        <v>124</v>
      </c>
      <c r="Z230" s="37" t="s">
        <v>124</v>
      </c>
      <c r="AB230" s="30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 outlineLevel="2" x14ac:dyDescent="0.25">
      <c r="A231" s="29">
        <v>1</v>
      </c>
      <c r="C231" s="24" t="str">
        <f>"        Total Contractual Obligations due in year 5"</f>
        <v xml:space="preserve">        Total Contractual Obligations due in year 5</v>
      </c>
      <c r="D231" s="32">
        <f t="shared" si="56"/>
        <v>7562000</v>
      </c>
      <c r="E231" s="32">
        <f t="shared" si="57"/>
        <v>9765600</v>
      </c>
      <c r="F231" s="32">
        <f t="shared" si="58"/>
        <v>1860000</v>
      </c>
      <c r="G231" s="32">
        <f t="shared" si="59"/>
        <v>27301000</v>
      </c>
      <c r="H231" s="32">
        <f t="shared" si="60"/>
        <v>5208500</v>
      </c>
      <c r="I231" s="32">
        <f t="shared" si="61"/>
        <v>11268250</v>
      </c>
      <c r="J231" s="32">
        <f t="shared" si="62"/>
        <v>7872051.9024937553</v>
      </c>
      <c r="K231" s="33">
        <f t="shared" si="63"/>
        <v>0.80610017843181736</v>
      </c>
      <c r="L231" s="37"/>
      <c r="M231" s="37">
        <v>8902000</v>
      </c>
      <c r="N231" s="37">
        <v>12057000</v>
      </c>
      <c r="O231" s="37">
        <v>18829000</v>
      </c>
      <c r="P231" s="37">
        <v>27301000</v>
      </c>
      <c r="Q231" s="37">
        <v>8241000</v>
      </c>
      <c r="R231" s="37">
        <v>2547000</v>
      </c>
      <c r="S231" s="37">
        <v>6883000</v>
      </c>
      <c r="T231" s="37">
        <v>1860000</v>
      </c>
      <c r="U231" s="37">
        <v>6137000</v>
      </c>
      <c r="V231" s="37">
        <v>4899000</v>
      </c>
      <c r="W231" s="37" t="s">
        <v>124</v>
      </c>
      <c r="X231" s="37" t="s">
        <v>124</v>
      </c>
      <c r="Y231" s="37" t="s">
        <v>124</v>
      </c>
      <c r="Z231" s="37" t="s">
        <v>124</v>
      </c>
      <c r="AB231" s="30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 outlineLevel="2" x14ac:dyDescent="0.25">
      <c r="A232" s="29">
        <v>1</v>
      </c>
      <c r="C232" s="24" t="str">
        <f>"        Total Contractual Obligations due Beyond"</f>
        <v xml:space="preserve">        Total Contractual Obligations due Beyond</v>
      </c>
      <c r="D232" s="32">
        <f t="shared" si="56"/>
        <v>22810500</v>
      </c>
      <c r="E232" s="32">
        <f t="shared" si="57"/>
        <v>21250800</v>
      </c>
      <c r="F232" s="32">
        <f t="shared" si="58"/>
        <v>4546000</v>
      </c>
      <c r="G232" s="32">
        <f t="shared" si="59"/>
        <v>39139000</v>
      </c>
      <c r="H232" s="32">
        <f t="shared" si="60"/>
        <v>8854250</v>
      </c>
      <c r="I232" s="32">
        <f t="shared" si="61"/>
        <v>31743000</v>
      </c>
      <c r="J232" s="32">
        <f t="shared" si="62"/>
        <v>13137788.616556948</v>
      </c>
      <c r="K232" s="33">
        <f t="shared" si="63"/>
        <v>0.61822560169767482</v>
      </c>
      <c r="L232" s="37"/>
      <c r="M232" s="37">
        <v>34723000</v>
      </c>
      <c r="N232" s="37">
        <v>28014000</v>
      </c>
      <c r="O232" s="37">
        <v>39139000</v>
      </c>
      <c r="P232" s="37">
        <v>31887000</v>
      </c>
      <c r="Q232" s="37">
        <v>31311000</v>
      </c>
      <c r="R232" s="37">
        <v>8408000</v>
      </c>
      <c r="S232" s="37">
        <v>17607000</v>
      </c>
      <c r="T232" s="37">
        <v>6680000</v>
      </c>
      <c r="U232" s="37">
        <v>10193000</v>
      </c>
      <c r="V232" s="37">
        <v>4546000</v>
      </c>
      <c r="W232" s="37" t="s">
        <v>124</v>
      </c>
      <c r="X232" s="37" t="s">
        <v>124</v>
      </c>
      <c r="Y232" s="37" t="s">
        <v>124</v>
      </c>
      <c r="Z232" s="37" t="s">
        <v>124</v>
      </c>
      <c r="AB232" s="30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 outlineLevel="2" x14ac:dyDescent="0.25">
      <c r="A233" s="29">
        <v>1</v>
      </c>
      <c r="C233" s="24" t="str">
        <f>"        Total Contractual Obligations - Interests Charges and Other Adjustments"</f>
        <v xml:space="preserve">        Total Contractual Obligations - Interests Charges and Other Adjustments</v>
      </c>
      <c r="D233" s="32">
        <f t="shared" si="56"/>
        <v>-765000</v>
      </c>
      <c r="E233" s="32">
        <f t="shared" si="57"/>
        <v>-765800</v>
      </c>
      <c r="F233" s="32">
        <f t="shared" si="58"/>
        <v>-1197000</v>
      </c>
      <c r="G233" s="32">
        <f t="shared" si="59"/>
        <v>-280000</v>
      </c>
      <c r="H233" s="32">
        <f t="shared" si="60"/>
        <v>-1017000</v>
      </c>
      <c r="I233" s="32">
        <f t="shared" si="61"/>
        <v>-570000</v>
      </c>
      <c r="J233" s="32">
        <f t="shared" si="62"/>
        <v>361723.23674323165</v>
      </c>
      <c r="K233" s="33">
        <f t="shared" si="63"/>
        <v>-0.47234687482793375</v>
      </c>
      <c r="L233" s="37"/>
      <c r="M233" s="37" t="s">
        <v>124</v>
      </c>
      <c r="N233" s="37" t="s">
        <v>124</v>
      </c>
      <c r="O233" s="37">
        <v>-570000</v>
      </c>
      <c r="P233" s="37">
        <v>-1197000</v>
      </c>
      <c r="Q233" s="37">
        <v>-280000</v>
      </c>
      <c r="R233" s="37" t="s">
        <v>124</v>
      </c>
      <c r="S233" s="37" t="s">
        <v>124</v>
      </c>
      <c r="T233" s="37" t="s">
        <v>124</v>
      </c>
      <c r="U233" s="37">
        <v>-765000</v>
      </c>
      <c r="V233" s="37">
        <v>-1017000</v>
      </c>
      <c r="W233" s="37" t="s">
        <v>124</v>
      </c>
      <c r="X233" s="37" t="s">
        <v>124</v>
      </c>
      <c r="Y233" s="37" t="s">
        <v>124</v>
      </c>
      <c r="Z233" s="37" t="s">
        <v>124</v>
      </c>
      <c r="AB233" s="30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 outlineLevel="2" x14ac:dyDescent="0.25">
      <c r="A234" s="29">
        <v>1</v>
      </c>
      <c r="C234" s="25" t="str">
        <f>"        Total Contractual Obligations"</f>
        <v xml:space="preserve">        Total Contractual Obligations</v>
      </c>
      <c r="D234" s="45">
        <f t="shared" si="56"/>
        <v>105211000</v>
      </c>
      <c r="E234" s="45">
        <f t="shared" si="57"/>
        <v>92057900</v>
      </c>
      <c r="F234" s="45">
        <f t="shared" si="58"/>
        <v>23848000</v>
      </c>
      <c r="G234" s="45">
        <f t="shared" si="59"/>
        <v>145396000</v>
      </c>
      <c r="H234" s="45">
        <f t="shared" si="60"/>
        <v>43677250</v>
      </c>
      <c r="I234" s="45">
        <f t="shared" si="61"/>
        <v>137485500</v>
      </c>
      <c r="J234" s="45">
        <f t="shared" si="62"/>
        <v>50888062.290242054</v>
      </c>
      <c r="K234" s="46">
        <f t="shared" si="63"/>
        <v>0.55278321893332405</v>
      </c>
      <c r="L234" s="47"/>
      <c r="M234" s="47">
        <v>138568000</v>
      </c>
      <c r="N234" s="47">
        <v>134238000</v>
      </c>
      <c r="O234" s="47">
        <v>142785000</v>
      </c>
      <c r="P234" s="47">
        <v>145396000</v>
      </c>
      <c r="Q234" s="47">
        <v>123095000</v>
      </c>
      <c r="R234" s="47">
        <v>25359000</v>
      </c>
      <c r="S234" s="47">
        <v>87327000</v>
      </c>
      <c r="T234" s="47">
        <v>23848000</v>
      </c>
      <c r="U234" s="47">
        <v>62590000</v>
      </c>
      <c r="V234" s="47">
        <v>37373000</v>
      </c>
      <c r="W234" s="47" t="s">
        <v>124</v>
      </c>
      <c r="X234" s="47" t="s">
        <v>124</v>
      </c>
      <c r="Y234" s="47" t="s">
        <v>124</v>
      </c>
      <c r="Z234" s="47" t="s">
        <v>124</v>
      </c>
      <c r="AB234" s="30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 x14ac:dyDescent="0.25">
      <c r="A235" s="29">
        <v>1</v>
      </c>
      <c r="C235" s="26" t="str">
        <f>"Financial Health Metrics"</f>
        <v>Financial Health Metrics</v>
      </c>
      <c r="D235" s="44"/>
      <c r="E235" s="44"/>
      <c r="F235" s="44"/>
      <c r="G235" s="44"/>
      <c r="H235" s="44"/>
      <c r="I235" s="44"/>
      <c r="J235" s="44"/>
      <c r="K235" s="44"/>
      <c r="L235" s="44"/>
      <c r="M235" s="44" t="s">
        <v>124</v>
      </c>
      <c r="N235" s="44" t="s">
        <v>124</v>
      </c>
      <c r="O235" s="44" t="s">
        <v>124</v>
      </c>
      <c r="P235" s="44" t="s">
        <v>124</v>
      </c>
      <c r="Q235" s="44" t="s">
        <v>124</v>
      </c>
      <c r="R235" s="44" t="s">
        <v>124</v>
      </c>
      <c r="S235" s="44" t="s">
        <v>124</v>
      </c>
      <c r="T235" s="44" t="s">
        <v>124</v>
      </c>
      <c r="U235" s="44" t="s">
        <v>124</v>
      </c>
      <c r="V235" s="44" t="s">
        <v>124</v>
      </c>
      <c r="W235" s="44" t="s">
        <v>124</v>
      </c>
      <c r="X235" s="44" t="s">
        <v>124</v>
      </c>
      <c r="Y235" s="44" t="s">
        <v>124</v>
      </c>
      <c r="Z235" s="44" t="s">
        <v>124</v>
      </c>
      <c r="AB235" s="30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 outlineLevel="1" x14ac:dyDescent="0.25">
      <c r="A236" s="29">
        <v>1</v>
      </c>
      <c r="C236" s="24" t="str">
        <f>"    Total Debt"</f>
        <v xml:space="preserve">    Total Debt</v>
      </c>
      <c r="D236" s="32">
        <f t="shared" ref="D236:D246" si="64">IF(COUNT(M236:Z236)&gt;0,MEDIAN(M236:Z236),"")</f>
        <v>54888000</v>
      </c>
      <c r="E236" s="32">
        <f t="shared" ref="E236:E246" si="65">IF(COUNT(M236:Z236)&gt;0,AVERAGE(M236:Z236),"")</f>
        <v>60516000</v>
      </c>
      <c r="F236" s="32">
        <f t="shared" ref="F236:F246" si="66">IF(COUNT(M236:Z236)&gt;0,MIN(M236:Z236),"")</f>
        <v>10758000</v>
      </c>
      <c r="G236" s="32">
        <f t="shared" ref="G236:G246" si="67">IF(COUNT(M236:Z236)&gt;0,MAX(M236:Z236),"")</f>
        <v>110863000</v>
      </c>
      <c r="H236" s="32">
        <f t="shared" ref="H236:H246" si="68">IF(COUNT(M236:Z236)&gt;0,QUARTILE(M236:Z236,1),"")</f>
        <v>21083250</v>
      </c>
      <c r="I236" s="32">
        <f t="shared" ref="I236:I246" si="69">IF(COUNT(M236:Z236)&gt;0,QUARTILE(M236:Z236,3),"")</f>
        <v>101805250</v>
      </c>
      <c r="J236" s="32">
        <f t="shared" ref="J236:J246" si="70">IF(COUNT(M236:Z236)&gt;1,STDEV(M236:Z236),"")</f>
        <v>39218296.524807043</v>
      </c>
      <c r="K236" s="33">
        <f t="shared" ref="K236:K246" si="71">IF(COUNT(M236:Z236)&gt;1,STDEV(M236:Z236)/AVERAGE(M236:Z236),"")</f>
        <v>0.64806491712616565</v>
      </c>
      <c r="L236" s="37"/>
      <c r="M236" s="37">
        <v>110391000</v>
      </c>
      <c r="N236" s="37">
        <v>110863000</v>
      </c>
      <c r="O236" s="37">
        <v>104334000</v>
      </c>
      <c r="P236" s="37">
        <v>104951000</v>
      </c>
      <c r="Q236" s="37">
        <v>94219000</v>
      </c>
      <c r="R236" s="37">
        <v>75123000</v>
      </c>
      <c r="S236" s="37">
        <v>63111000</v>
      </c>
      <c r="T236" s="37">
        <v>46665000</v>
      </c>
      <c r="U236" s="37">
        <v>36183000</v>
      </c>
      <c r="V236" s="37">
        <v>16050000</v>
      </c>
      <c r="W236" s="37">
        <v>12855000</v>
      </c>
      <c r="X236" s="37">
        <v>10758000</v>
      </c>
      <c r="Y236" s="37">
        <v>15783000</v>
      </c>
      <c r="Z236" s="37">
        <v>45938000</v>
      </c>
      <c r="AB236" s="30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 outlineLevel="1" x14ac:dyDescent="0.25">
      <c r="A237" s="29">
        <v>1</v>
      </c>
      <c r="C237" s="135" t="str">
        <f>"    Net Debt"</f>
        <v xml:space="preserve">    Net Debt</v>
      </c>
      <c r="D237" s="136">
        <f t="shared" si="64"/>
        <v>35727000</v>
      </c>
      <c r="E237" s="136">
        <f t="shared" si="65"/>
        <v>34813928.571428575</v>
      </c>
      <c r="F237" s="136">
        <f t="shared" si="66"/>
        <v>-19364000</v>
      </c>
      <c r="G237" s="136">
        <f t="shared" si="67"/>
        <v>81825000</v>
      </c>
      <c r="H237" s="136">
        <f t="shared" si="68"/>
        <v>-3475000</v>
      </c>
      <c r="I237" s="136">
        <f t="shared" si="69"/>
        <v>76204250</v>
      </c>
      <c r="J237" s="136">
        <f t="shared" si="70"/>
        <v>39609571.311187454</v>
      </c>
      <c r="K237" s="137">
        <f t="shared" si="71"/>
        <v>1.1377506916497384</v>
      </c>
      <c r="L237" s="138"/>
      <c r="M237" s="138">
        <v>81715000</v>
      </c>
      <c r="N237" s="138">
        <v>81825000</v>
      </c>
      <c r="O237" s="138">
        <v>81091000</v>
      </c>
      <c r="P237" s="138">
        <v>78141000</v>
      </c>
      <c r="Q237" s="138">
        <v>70394000</v>
      </c>
      <c r="R237" s="37">
        <v>50708000</v>
      </c>
      <c r="S237" s="37">
        <v>39710000</v>
      </c>
      <c r="T237" s="37">
        <v>18489000</v>
      </c>
      <c r="U237" s="37">
        <v>7190000</v>
      </c>
      <c r="V237" s="37">
        <v>-11360000</v>
      </c>
      <c r="W237" s="37">
        <v>-19364000</v>
      </c>
      <c r="X237" s="37">
        <v>-15858000</v>
      </c>
      <c r="Y237" s="37">
        <v>-7030000</v>
      </c>
      <c r="Z237" s="37">
        <v>31744000</v>
      </c>
      <c r="AB237" s="30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 outlineLevel="1" x14ac:dyDescent="0.25">
      <c r="A238" s="29">
        <v>1</v>
      </c>
      <c r="C238" s="24" t="str">
        <f>"    Total Capital Lease Obligations"</f>
        <v xml:space="preserve">    Total Capital Lease Obligations</v>
      </c>
      <c r="D238" s="32">
        <f t="shared" si="64"/>
        <v>992000</v>
      </c>
      <c r="E238" s="32">
        <f t="shared" si="65"/>
        <v>796600</v>
      </c>
      <c r="F238" s="32">
        <f t="shared" si="66"/>
        <v>0</v>
      </c>
      <c r="G238" s="32">
        <f t="shared" si="67"/>
        <v>1012000</v>
      </c>
      <c r="H238" s="32">
        <f t="shared" si="68"/>
        <v>969000</v>
      </c>
      <c r="I238" s="32">
        <f t="shared" si="69"/>
        <v>1010000</v>
      </c>
      <c r="J238" s="32">
        <f t="shared" si="70"/>
        <v>445648.74060183321</v>
      </c>
      <c r="K238" s="33">
        <f t="shared" si="71"/>
        <v>0.55943853954535927</v>
      </c>
      <c r="L238" s="37"/>
      <c r="M238" s="37">
        <v>1012000</v>
      </c>
      <c r="N238" s="37">
        <v>969000</v>
      </c>
      <c r="O238" s="37">
        <v>1010000</v>
      </c>
      <c r="P238" s="37">
        <v>0</v>
      </c>
      <c r="Q238" s="37" t="s">
        <v>124</v>
      </c>
      <c r="R238" s="37" t="s">
        <v>124</v>
      </c>
      <c r="S238" s="37" t="s">
        <v>124</v>
      </c>
      <c r="T238" s="37" t="s">
        <v>124</v>
      </c>
      <c r="U238" s="37" t="s">
        <v>124</v>
      </c>
      <c r="V238" s="37" t="s">
        <v>124</v>
      </c>
      <c r="W238" s="37">
        <v>992000</v>
      </c>
      <c r="X238" s="37" t="s">
        <v>124</v>
      </c>
      <c r="Y238" s="37" t="s">
        <v>124</v>
      </c>
      <c r="Z238" s="37" t="s">
        <v>124</v>
      </c>
      <c r="AB238" s="30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 outlineLevel="1" x14ac:dyDescent="0.25">
      <c r="A239" s="29">
        <v>1</v>
      </c>
      <c r="C239" s="24" t="str">
        <f>"    Common Equity Book Value"</f>
        <v xml:space="preserve">    Common Equity Book Value</v>
      </c>
      <c r="D239" s="32">
        <f t="shared" si="64"/>
        <v>37158500</v>
      </c>
      <c r="E239" s="32">
        <f t="shared" si="65"/>
        <v>28153500</v>
      </c>
      <c r="F239" s="32">
        <f t="shared" si="66"/>
        <v>-85560000</v>
      </c>
      <c r="G239" s="32">
        <f t="shared" si="67"/>
        <v>59744000</v>
      </c>
      <c r="H239" s="32">
        <f t="shared" si="68"/>
        <v>26322000</v>
      </c>
      <c r="I239" s="32">
        <f t="shared" si="69"/>
        <v>41311750</v>
      </c>
      <c r="J239" s="32">
        <f t="shared" si="70"/>
        <v>34177227.001323558</v>
      </c>
      <c r="K239" s="33">
        <f t="shared" si="71"/>
        <v>1.2139601470980006</v>
      </c>
      <c r="L239" s="37"/>
      <c r="M239" s="37">
        <v>59744000</v>
      </c>
      <c r="N239" s="37">
        <v>45030000</v>
      </c>
      <c r="O239" s="37">
        <v>41792000</v>
      </c>
      <c r="P239" s="37">
        <v>38860000</v>
      </c>
      <c r="Q239" s="37">
        <v>35001000</v>
      </c>
      <c r="R239" s="37">
        <v>43836000</v>
      </c>
      <c r="S239" s="37">
        <v>39871000</v>
      </c>
      <c r="T239" s="37">
        <v>35457000</v>
      </c>
      <c r="U239" s="37">
        <v>39498000</v>
      </c>
      <c r="V239" s="37">
        <v>25853000</v>
      </c>
      <c r="W239" s="37">
        <v>27729000</v>
      </c>
      <c r="X239" s="37">
        <v>25789000</v>
      </c>
      <c r="Y239" s="37">
        <v>21249000</v>
      </c>
      <c r="Z239" s="37">
        <v>-85560000</v>
      </c>
      <c r="AB239" s="30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 outlineLevel="1" x14ac:dyDescent="0.25">
      <c r="A240" s="29">
        <v>1</v>
      </c>
      <c r="C240" s="24" t="str">
        <f>"    Total Liabilities &amp; Equity"</f>
        <v xml:space="preserve">    Total Liabilities &amp; Equity</v>
      </c>
      <c r="D240" s="32">
        <f t="shared" si="64"/>
        <v>185919500</v>
      </c>
      <c r="E240" s="32">
        <f t="shared" si="65"/>
        <v>183421428.57142857</v>
      </c>
      <c r="F240" s="32">
        <f t="shared" si="66"/>
        <v>91039000</v>
      </c>
      <c r="G240" s="32">
        <f t="shared" si="67"/>
        <v>244718000</v>
      </c>
      <c r="H240" s="32">
        <f t="shared" si="68"/>
        <v>145807750</v>
      </c>
      <c r="I240" s="32">
        <f t="shared" si="69"/>
        <v>225926750</v>
      </c>
      <c r="J240" s="32">
        <f t="shared" si="70"/>
        <v>46832281.494243279</v>
      </c>
      <c r="K240" s="33">
        <f t="shared" si="71"/>
        <v>0.25532611897636431</v>
      </c>
      <c r="L240" s="37"/>
      <c r="M240" s="37">
        <v>244718000</v>
      </c>
      <c r="N240" s="37">
        <v>235194000</v>
      </c>
      <c r="O240" s="37">
        <v>228037000</v>
      </c>
      <c r="P240" s="37">
        <v>227339000</v>
      </c>
      <c r="Q240" s="37">
        <v>212482000</v>
      </c>
      <c r="R240" s="37">
        <v>221690000</v>
      </c>
      <c r="S240" s="37">
        <v>194338000</v>
      </c>
      <c r="T240" s="37">
        <v>177501000</v>
      </c>
      <c r="U240" s="37">
        <v>166344000</v>
      </c>
      <c r="V240" s="37">
        <v>149422000</v>
      </c>
      <c r="W240" s="37">
        <v>144603000</v>
      </c>
      <c r="X240" s="37">
        <v>138898000</v>
      </c>
      <c r="Y240" s="37">
        <v>136295000</v>
      </c>
      <c r="Z240" s="37">
        <v>91039000</v>
      </c>
      <c r="AB240" s="30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 outlineLevel="1" x14ac:dyDescent="0.25">
      <c r="A241" s="29">
        <v>1</v>
      </c>
      <c r="C241" s="24" t="str">
        <f>"    Net Tangible Assets"</f>
        <v xml:space="preserve">    Net Tangible Assets</v>
      </c>
      <c r="D241" s="32">
        <f t="shared" si="64"/>
        <v>179741000</v>
      </c>
      <c r="E241" s="32">
        <f t="shared" si="65"/>
        <v>169866071.42857143</v>
      </c>
      <c r="F241" s="32">
        <f t="shared" si="66"/>
        <v>90774000</v>
      </c>
      <c r="G241" s="32">
        <f t="shared" si="67"/>
        <v>239631000</v>
      </c>
      <c r="H241" s="32">
        <f t="shared" si="68"/>
        <v>114337500</v>
      </c>
      <c r="I241" s="32">
        <f t="shared" si="69"/>
        <v>220205250</v>
      </c>
      <c r="J241" s="32">
        <f t="shared" si="70"/>
        <v>56078572.573823445</v>
      </c>
      <c r="K241" s="33">
        <f t="shared" si="71"/>
        <v>0.33013404090765969</v>
      </c>
      <c r="L241" s="37"/>
      <c r="M241" s="37">
        <v>239631000</v>
      </c>
      <c r="N241" s="37">
        <v>229964000</v>
      </c>
      <c r="O241" s="37">
        <v>222700000</v>
      </c>
      <c r="P241" s="37">
        <v>221760000</v>
      </c>
      <c r="Q241" s="37">
        <v>206633000</v>
      </c>
      <c r="R241" s="37">
        <v>215541000</v>
      </c>
      <c r="S241" s="37">
        <v>188391000</v>
      </c>
      <c r="T241" s="37">
        <v>171091000</v>
      </c>
      <c r="U241" s="37">
        <v>159116000</v>
      </c>
      <c r="V241" s="37">
        <v>140640000</v>
      </c>
      <c r="W241" s="37">
        <v>105570000</v>
      </c>
      <c r="X241" s="37">
        <v>95238000</v>
      </c>
      <c r="Y241" s="37">
        <v>91076000</v>
      </c>
      <c r="Z241" s="37">
        <v>90774000</v>
      </c>
      <c r="AB241" s="30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 outlineLevel="1" x14ac:dyDescent="0.25">
      <c r="A242" s="29">
        <v>1</v>
      </c>
      <c r="C242" s="24" t="str">
        <f>"    Tangible Book Value"</f>
        <v xml:space="preserve">    Tangible Book Value</v>
      </c>
      <c r="D242" s="32">
        <f t="shared" si="64"/>
        <v>32363500</v>
      </c>
      <c r="E242" s="32">
        <f t="shared" si="65"/>
        <v>18877000</v>
      </c>
      <c r="F242" s="32">
        <f t="shared" si="66"/>
        <v>-85341000</v>
      </c>
      <c r="G242" s="32">
        <f t="shared" si="67"/>
        <v>60728000</v>
      </c>
      <c r="H242" s="32">
        <f t="shared" si="68"/>
        <v>7023000</v>
      </c>
      <c r="I242" s="32">
        <f t="shared" si="69"/>
        <v>37744000</v>
      </c>
      <c r="J242" s="32">
        <f t="shared" si="70"/>
        <v>37294494.097654685</v>
      </c>
      <c r="K242" s="33">
        <f t="shared" si="71"/>
        <v>1.9756578957278532</v>
      </c>
      <c r="L242" s="37"/>
      <c r="M242" s="37">
        <v>60728000</v>
      </c>
      <c r="N242" s="37">
        <v>44447000</v>
      </c>
      <c r="O242" s="37">
        <v>40620000</v>
      </c>
      <c r="P242" s="37">
        <v>37198000</v>
      </c>
      <c r="Q242" s="37">
        <v>30351000</v>
      </c>
      <c r="R242" s="37">
        <v>37926000</v>
      </c>
      <c r="S242" s="37">
        <v>34376000</v>
      </c>
      <c r="T242" s="37">
        <v>29614000</v>
      </c>
      <c r="U242" s="37">
        <v>35946000</v>
      </c>
      <c r="V242" s="37">
        <v>28218000</v>
      </c>
      <c r="W242" s="37">
        <v>-42000</v>
      </c>
      <c r="X242" s="37">
        <v>-6501000</v>
      </c>
      <c r="Y242" s="37">
        <v>-23262000</v>
      </c>
      <c r="Z242" s="37">
        <v>-85341000</v>
      </c>
      <c r="AB242" s="30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 outlineLevel="1" x14ac:dyDescent="0.25">
      <c r="A243" s="29">
        <v>1</v>
      </c>
      <c r="C243" s="24" t="str">
        <f>"    Working Capital"</f>
        <v xml:space="preserve">    Working Capital</v>
      </c>
      <c r="D243" s="32">
        <f t="shared" si="64"/>
        <v>3455000</v>
      </c>
      <c r="E243" s="32">
        <f t="shared" si="65"/>
        <v>1360357.142857143</v>
      </c>
      <c r="F243" s="32">
        <f t="shared" si="66"/>
        <v>-31341000</v>
      </c>
      <c r="G243" s="32">
        <f t="shared" si="67"/>
        <v>19089000</v>
      </c>
      <c r="H243" s="32">
        <f t="shared" si="68"/>
        <v>-7845500</v>
      </c>
      <c r="I243" s="32">
        <f t="shared" si="69"/>
        <v>10696500</v>
      </c>
      <c r="J243" s="32">
        <f t="shared" si="70"/>
        <v>13797160.670041682</v>
      </c>
      <c r="K243" s="33">
        <f t="shared" si="71"/>
        <v>10.142307659783857</v>
      </c>
      <c r="L243" s="37"/>
      <c r="M243" s="37">
        <v>7695000</v>
      </c>
      <c r="N243" s="37">
        <v>1014000</v>
      </c>
      <c r="O243" s="37">
        <v>-9913000</v>
      </c>
      <c r="P243" s="37">
        <v>-6944000</v>
      </c>
      <c r="Q243" s="37">
        <v>-8146000</v>
      </c>
      <c r="R243" s="37">
        <v>-8978000</v>
      </c>
      <c r="S243" s="37">
        <v>-1809000</v>
      </c>
      <c r="T243" s="37">
        <v>17969000</v>
      </c>
      <c r="U243" s="37">
        <v>19089000</v>
      </c>
      <c r="V243" s="37">
        <v>16004000</v>
      </c>
      <c r="W243" s="37">
        <v>11697000</v>
      </c>
      <c r="X243" s="37">
        <v>5896000</v>
      </c>
      <c r="Y243" s="37">
        <v>6812000</v>
      </c>
      <c r="Z243" s="37">
        <v>-31341000</v>
      </c>
      <c r="AB243" s="30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 outlineLevel="1" x14ac:dyDescent="0.25">
      <c r="A244" s="29">
        <v>1</v>
      </c>
      <c r="C244" s="24" t="str">
        <f>"    Invested Capital"</f>
        <v xml:space="preserve">    Invested Capital</v>
      </c>
      <c r="D244" s="32">
        <f t="shared" si="64"/>
        <v>93061500</v>
      </c>
      <c r="E244" s="32">
        <f t="shared" si="65"/>
        <v>92948357.142857149</v>
      </c>
      <c r="F244" s="32">
        <f t="shared" si="66"/>
        <v>-39138000</v>
      </c>
      <c r="G244" s="32">
        <f t="shared" si="67"/>
        <v>176206000</v>
      </c>
      <c r="H244" s="32">
        <f t="shared" si="68"/>
        <v>52147000</v>
      </c>
      <c r="I244" s="32">
        <f t="shared" si="69"/>
        <v>143400750</v>
      </c>
      <c r="J244" s="32">
        <f t="shared" si="70"/>
        <v>59540773.620471008</v>
      </c>
      <c r="K244" s="33">
        <f t="shared" si="71"/>
        <v>0.64057908553412846</v>
      </c>
      <c r="L244" s="37"/>
      <c r="M244" s="37">
        <v>176206000</v>
      </c>
      <c r="N244" s="37">
        <v>160540000</v>
      </c>
      <c r="O244" s="37">
        <v>150291000</v>
      </c>
      <c r="P244" s="37">
        <v>147728000</v>
      </c>
      <c r="Q244" s="37">
        <v>130419000</v>
      </c>
      <c r="R244" s="37">
        <v>119198000</v>
      </c>
      <c r="S244" s="37">
        <v>103434000</v>
      </c>
      <c r="T244" s="37">
        <v>82689000</v>
      </c>
      <c r="U244" s="37">
        <v>79357000</v>
      </c>
      <c r="V244" s="37">
        <v>53050000</v>
      </c>
      <c r="W244" s="37">
        <v>51846000</v>
      </c>
      <c r="X244" s="37">
        <v>47917000</v>
      </c>
      <c r="Y244" s="37">
        <v>37740000</v>
      </c>
      <c r="Z244" s="37">
        <v>-39138000</v>
      </c>
      <c r="AB244" s="30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 outlineLevel="1" x14ac:dyDescent="0.25">
      <c r="A245" s="29">
        <v>1</v>
      </c>
      <c r="C245" s="24" t="str">
        <f>"    Total Shares Outstanding (TSO)"</f>
        <v xml:space="preserve">    Total Shares Outstanding (TSO)</v>
      </c>
      <c r="D245" s="32">
        <f t="shared" si="64"/>
        <v>1500000000</v>
      </c>
      <c r="E245" s="32">
        <f t="shared" si="65"/>
        <v>1472985329.1666667</v>
      </c>
      <c r="F245" s="32">
        <f t="shared" si="66"/>
        <v>1366373526</v>
      </c>
      <c r="G245" s="32">
        <f t="shared" si="67"/>
        <v>1600000000</v>
      </c>
      <c r="H245" s="32">
        <f t="shared" si="68"/>
        <v>1400000000</v>
      </c>
      <c r="I245" s="32">
        <f t="shared" si="69"/>
        <v>1506188745.75</v>
      </c>
      <c r="J245" s="32">
        <f t="shared" si="70"/>
        <v>73974422.057819992</v>
      </c>
      <c r="K245" s="33">
        <f t="shared" si="71"/>
        <v>5.0220745986431926E-2</v>
      </c>
      <c r="L245" s="37"/>
      <c r="M245" s="37">
        <v>1500000000</v>
      </c>
      <c r="N245" s="37">
        <v>1400000000</v>
      </c>
      <c r="O245" s="37">
        <v>1400000000</v>
      </c>
      <c r="P245" s="37">
        <v>1400000000</v>
      </c>
      <c r="Q245" s="37">
        <v>1420407560</v>
      </c>
      <c r="R245" s="37">
        <v>1524343989</v>
      </c>
      <c r="S245" s="37">
        <v>1500000000</v>
      </c>
      <c r="T245" s="37">
        <v>1600000000</v>
      </c>
      <c r="U245" s="37">
        <v>1500000000</v>
      </c>
      <c r="V245" s="37">
        <v>1366373526</v>
      </c>
      <c r="W245" s="37">
        <v>1564561877</v>
      </c>
      <c r="X245" s="37">
        <v>1500136998</v>
      </c>
      <c r="Y245" s="37" t="s">
        <v>124</v>
      </c>
      <c r="Z245" s="37" t="s">
        <v>124</v>
      </c>
      <c r="AB245" s="30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 outlineLevel="1" x14ac:dyDescent="0.25">
      <c r="A246" s="29">
        <v>1</v>
      </c>
      <c r="C246" s="24" t="str">
        <f>"    Number of Employees"</f>
        <v xml:space="preserve">    Number of Employees</v>
      </c>
      <c r="D246" s="32">
        <f t="shared" si="64"/>
        <v>207500</v>
      </c>
      <c r="E246" s="32">
        <f t="shared" si="65"/>
        <v>196333.33333333334</v>
      </c>
      <c r="F246" s="32">
        <f t="shared" si="66"/>
        <v>155000</v>
      </c>
      <c r="G246" s="32">
        <f t="shared" si="67"/>
        <v>225000</v>
      </c>
      <c r="H246" s="32">
        <f t="shared" si="68"/>
        <v>170750</v>
      </c>
      <c r="I246" s="32">
        <f t="shared" si="69"/>
        <v>215250</v>
      </c>
      <c r="J246" s="32">
        <f t="shared" si="70"/>
        <v>26296.675674220751</v>
      </c>
      <c r="K246" s="33">
        <f t="shared" si="71"/>
        <v>0.13393892533558954</v>
      </c>
      <c r="L246" s="37"/>
      <c r="M246" s="37">
        <v>157000</v>
      </c>
      <c r="N246" s="37">
        <v>155000</v>
      </c>
      <c r="O246" s="37">
        <v>164000</v>
      </c>
      <c r="P246" s="37">
        <v>173000</v>
      </c>
      <c r="Q246" s="37">
        <v>225000</v>
      </c>
      <c r="R246" s="37">
        <v>215000</v>
      </c>
      <c r="S246" s="37">
        <v>215000</v>
      </c>
      <c r="T246" s="37">
        <v>216000</v>
      </c>
      <c r="U246" s="37">
        <v>219000</v>
      </c>
      <c r="V246" s="37">
        <v>213000</v>
      </c>
      <c r="W246" s="37">
        <v>202000</v>
      </c>
      <c r="X246" s="37">
        <v>202000</v>
      </c>
      <c r="Y246" s="37" t="s">
        <v>124</v>
      </c>
      <c r="Z246" s="37" t="s">
        <v>124</v>
      </c>
      <c r="AB246" s="30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 x14ac:dyDescent="0.25">
      <c r="A247" s="29">
        <v>1</v>
      </c>
      <c r="C247" s="26" t="str">
        <f>"Per Share Calculations"</f>
        <v>Per Share Calculations</v>
      </c>
      <c r="D247" s="44"/>
      <c r="E247" s="44"/>
      <c r="F247" s="44"/>
      <c r="G247" s="44"/>
      <c r="H247" s="44"/>
      <c r="I247" s="44"/>
      <c r="J247" s="44"/>
      <c r="K247" s="44"/>
      <c r="L247" s="44"/>
      <c r="M247" s="44" t="s">
        <v>124</v>
      </c>
      <c r="N247" s="44" t="s">
        <v>124</v>
      </c>
      <c r="O247" s="44" t="s">
        <v>124</v>
      </c>
      <c r="P247" s="44" t="s">
        <v>124</v>
      </c>
      <c r="Q247" s="44" t="s">
        <v>124</v>
      </c>
      <c r="R247" s="44" t="s">
        <v>124</v>
      </c>
      <c r="S247" s="44" t="s">
        <v>124</v>
      </c>
      <c r="T247" s="44" t="s">
        <v>124</v>
      </c>
      <c r="U247" s="44" t="s">
        <v>124</v>
      </c>
      <c r="V247" s="44" t="s">
        <v>124</v>
      </c>
      <c r="W247" s="44" t="s">
        <v>124</v>
      </c>
      <c r="X247" s="44" t="s">
        <v>124</v>
      </c>
      <c r="Y247" s="44" t="s">
        <v>124</v>
      </c>
      <c r="Z247" s="44" t="s">
        <v>124</v>
      </c>
      <c r="AB247" s="30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 outlineLevel="1" x14ac:dyDescent="0.25">
      <c r="A248" s="29">
        <v>1</v>
      </c>
      <c r="C248" s="123" t="str">
        <f>"    Book Value per Share"</f>
        <v xml:space="preserve">    Book Value per Share</v>
      </c>
      <c r="D248" s="124">
        <f>IF(COUNT(M248:Z248)&gt;0,MEDIAN(M248:Z248),"")</f>
        <v>26.456333333333333</v>
      </c>
      <c r="E248" s="124">
        <f>IF(COUNT(M248:Z248)&gt;0,AVERAGE(M248:Z248),"")</f>
        <v>26.061123298070594</v>
      </c>
      <c r="F248" s="124">
        <f>IF(COUNT(M248:Z248)&gt;0,MIN(M248:Z248),"")</f>
        <v>17.191096569434787</v>
      </c>
      <c r="G248" s="124">
        <f>IF(COUNT(M248:Z248)&gt;0,MAX(M248:Z248),"")</f>
        <v>39.829333333333331</v>
      </c>
      <c r="H248" s="124">
        <f>IF(COUNT(M248:Z248)&gt;0,QUARTILE(M248:Z248,1),"")</f>
        <v>21.350690667370493</v>
      </c>
      <c r="I248" s="124">
        <f>IF(COUNT(M248:Z248)&gt;0,QUARTILE(M248:Z248,3),"")</f>
        <v>29.380857142857142</v>
      </c>
      <c r="J248" s="124">
        <f>IF(COUNT(M248:Z248)&gt;1,STDEV(M248:Z248),"")</f>
        <v>6.536287159004865</v>
      </c>
      <c r="K248" s="124">
        <f>IF(COUNT(M248:Z248)&gt;1,STDEV(M248:Z248)/AVERAGE(M248:Z248),"")</f>
        <v>0.2508060410231347</v>
      </c>
      <c r="L248" s="125"/>
      <c r="M248" s="125">
        <v>39.829333333333331</v>
      </c>
      <c r="N248" s="125">
        <v>32.164285714285711</v>
      </c>
      <c r="O248" s="125">
        <v>29.851428571428571</v>
      </c>
      <c r="P248" s="125">
        <v>27.757142857142856</v>
      </c>
      <c r="Q248" s="125">
        <v>25.000714285714285</v>
      </c>
      <c r="R248" s="38">
        <v>29.224</v>
      </c>
      <c r="S248" s="38">
        <v>26.580666666666666</v>
      </c>
      <c r="T248" s="38">
        <v>22.160625</v>
      </c>
      <c r="U248" s="38">
        <v>26.332000000000001</v>
      </c>
      <c r="V248" s="38">
        <v>18.920887669481967</v>
      </c>
      <c r="W248" s="38">
        <v>17.721298909359021</v>
      </c>
      <c r="X248" s="38">
        <v>17.191096569434787</v>
      </c>
      <c r="Y248" s="38" t="s">
        <v>124</v>
      </c>
      <c r="Z248" s="38" t="s">
        <v>124</v>
      </c>
      <c r="AB248" s="30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 outlineLevel="1" x14ac:dyDescent="0.25">
      <c r="A249" s="29">
        <v>1</v>
      </c>
      <c r="C249" s="24" t="str">
        <f>"    Cash And Cash Equivalents per Share"</f>
        <v xml:space="preserve">    Cash And Cash Equivalents per Share</v>
      </c>
      <c r="D249" s="33">
        <f>IF(COUNT(M249:Z249)&gt;0,MEDIAN(M249:Z249),"")</f>
        <v>13.362666666666666</v>
      </c>
      <c r="E249" s="33">
        <f>IF(COUNT(M249:Z249)&gt;0,AVERAGE(M249:Z249),"")</f>
        <v>12.39789918472659</v>
      </c>
      <c r="F249" s="33">
        <f>IF(COUNT(M249:Z249)&gt;0,MIN(M249:Z249),"")</f>
        <v>8.3826666666666672</v>
      </c>
      <c r="G249" s="33">
        <f>IF(COUNT(M249:Z249)&gt;0,MAX(M249:Z249),"")</f>
        <v>14.888571428571428</v>
      </c>
      <c r="H249" s="33">
        <f>IF(COUNT(M249:Z249)&gt;0,QUARTILE(M249:Z249,1),"")</f>
        <v>10.877699833859037</v>
      </c>
      <c r="I249" s="33">
        <f>IF(COUNT(M249:Z249)&gt;0,QUARTILE(M249:Z249,3),"")</f>
        <v>13.725381819687883</v>
      </c>
      <c r="J249" s="33">
        <f>IF(COUNT(M249:Z249)&gt;1,STDEV(M249:Z249),"")</f>
        <v>2.0152973891067179</v>
      </c>
      <c r="K249" s="33">
        <f>IF(COUNT(M249:Z249)&gt;1,STDEV(M249:Z249)/AVERAGE(M249:Z249),"")</f>
        <v>0.1625515225667776</v>
      </c>
      <c r="L249" s="38"/>
      <c r="M249" s="38">
        <v>13.378</v>
      </c>
      <c r="N249" s="38">
        <v>14.28</v>
      </c>
      <c r="O249" s="38">
        <v>13.620714285714286</v>
      </c>
      <c r="P249" s="38">
        <v>14.888571428571428</v>
      </c>
      <c r="Q249" s="38">
        <v>11.08</v>
      </c>
      <c r="R249" s="38">
        <v>8.3826666666666672</v>
      </c>
      <c r="S249" s="38">
        <v>10.158666666666667</v>
      </c>
      <c r="T249" s="38">
        <v>11.84625</v>
      </c>
      <c r="U249" s="38">
        <v>13.347333333333333</v>
      </c>
      <c r="V249" s="38">
        <v>13.482404078721883</v>
      </c>
      <c r="W249" s="38">
        <v>10.270799335436145</v>
      </c>
      <c r="X249" s="38">
        <v>14.039384421608672</v>
      </c>
      <c r="Y249" s="38" t="s">
        <v>124</v>
      </c>
      <c r="Z249" s="38" t="s">
        <v>124</v>
      </c>
      <c r="AB249" s="30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 outlineLevel="1" x14ac:dyDescent="0.25">
      <c r="A250" s="29">
        <v>1</v>
      </c>
      <c r="C250" s="24" t="str">
        <f>"    Cash, Cash Equivalents And Short Term Investments per Share"</f>
        <v xml:space="preserve">    Cash, Cash Equivalents And Short Term Investments per Share</v>
      </c>
      <c r="D250" s="33">
        <f>IF(COUNT(M250:Z250)&gt;0,MEDIAN(M250:Z250),"")</f>
        <v>18.429856443162002</v>
      </c>
      <c r="E250" s="33">
        <f>IF(COUNT(M250:Z250)&gt;0,AVERAGE(M250:Z250),"")</f>
        <v>18.319862530130234</v>
      </c>
      <c r="F250" s="33">
        <f>IF(COUNT(M250:Z250)&gt;0,MIN(M250:Z250),"")</f>
        <v>15.600666666666667</v>
      </c>
      <c r="G250" s="33">
        <f>IF(COUNT(M250:Z250)&gt;0,MAX(M250:Z250),"")</f>
        <v>20.741428571428571</v>
      </c>
      <c r="H250" s="33">
        <f>IF(COUNT(M250:Z250)&gt;0,QUARTILE(M250:Z250,1),"")</f>
        <v>16.913928571428571</v>
      </c>
      <c r="I250" s="33">
        <f>IF(COUNT(M250:Z250)&gt;0,QUARTILE(M250:Z250,3),"")</f>
        <v>19.511600094964809</v>
      </c>
      <c r="J250" s="33">
        <f>IF(COUNT(M250:Z250)&gt;1,STDEV(M250:Z250),"")</f>
        <v>1.7436969418887087</v>
      </c>
      <c r="K250" s="33">
        <f>IF(COUNT(M250:Z250)&gt;1,STDEV(M250:Z250)/AVERAGE(M250:Z250),"")</f>
        <v>9.5180678294986804E-2</v>
      </c>
      <c r="L250" s="38"/>
      <c r="M250" s="38">
        <v>19.117333333333335</v>
      </c>
      <c r="N250" s="38">
        <v>20.741428571428571</v>
      </c>
      <c r="O250" s="38">
        <v>16.602142857142859</v>
      </c>
      <c r="P250" s="38">
        <v>19.149999999999999</v>
      </c>
      <c r="Q250" s="38">
        <v>17.017857142857142</v>
      </c>
      <c r="R250" s="38">
        <v>16.276666666666667</v>
      </c>
      <c r="S250" s="38">
        <v>15.600666666666667</v>
      </c>
      <c r="T250" s="38">
        <v>17.61</v>
      </c>
      <c r="U250" s="38">
        <v>19.328666666666667</v>
      </c>
      <c r="V250" s="38">
        <v>20.060400379859232</v>
      </c>
      <c r="W250" s="38">
        <v>20.59080852395104</v>
      </c>
      <c r="X250" s="38">
        <v>17.742379552990666</v>
      </c>
      <c r="Y250" s="38" t="s">
        <v>124</v>
      </c>
      <c r="Z250" s="38" t="s">
        <v>124</v>
      </c>
      <c r="AB250" s="30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 outlineLevel="1" x14ac:dyDescent="0.25">
      <c r="A251" s="29">
        <v>1</v>
      </c>
      <c r="C251" s="24" t="str">
        <f>"    Net Intangible Assets per Share"</f>
        <v xml:space="preserve">    Net Intangible Assets per Share</v>
      </c>
      <c r="D251" s="33">
        <f>IF(COUNT(M251:Z251)&gt;0,MEDIAN(M251:Z251),"")</f>
        <v>4.0527916666666659</v>
      </c>
      <c r="E251" s="33">
        <f>IF(COUNT(M251:Z251)&gt;0,AVERAGE(M251:Z251),"")</f>
        <v>8.0389805048295901</v>
      </c>
      <c r="F251" s="33">
        <f>IF(COUNT(M251:Z251)&gt;0,MIN(M251:Z251),"")</f>
        <v>3.3913333333333333</v>
      </c>
      <c r="G251" s="33">
        <f>IF(COUNT(M251:Z251)&gt;0,MAX(M251:Z251),"")</f>
        <v>29.104008539358748</v>
      </c>
      <c r="H251" s="33">
        <f>IF(COUNT(M251:Z251)&gt;0,QUARTILE(M251:Z251,1),"")</f>
        <v>3.9265357142857145</v>
      </c>
      <c r="I251" s="33">
        <f>IF(COUNT(M251:Z251)&gt;0,QUARTILE(M251:Z251,3),"")</f>
        <v>5.2208080639905496</v>
      </c>
      <c r="J251" s="33">
        <f>IF(COUNT(M251:Z251)&gt;1,STDEV(M251:Z251),"")</f>
        <v>8.9455306455446699</v>
      </c>
      <c r="K251" s="33">
        <f>IF(COUNT(M251:Z251)&gt;1,STDEV(M251:Z251)/AVERAGE(M251:Z251),"")</f>
        <v>1.1127692920974805</v>
      </c>
      <c r="L251" s="38"/>
      <c r="M251" s="38">
        <v>3.3913333333333333</v>
      </c>
      <c r="N251" s="38">
        <v>3.7357142857142858</v>
      </c>
      <c r="O251" s="38">
        <v>3.8121428571428573</v>
      </c>
      <c r="P251" s="38">
        <v>3.9849999999999999</v>
      </c>
      <c r="Q251" s="38">
        <v>4.1778571428571425</v>
      </c>
      <c r="R251" s="38">
        <v>4.0993333333333331</v>
      </c>
      <c r="S251" s="38">
        <v>3.9646666666666666</v>
      </c>
      <c r="T251" s="38">
        <v>4.0062499999999996</v>
      </c>
      <c r="U251" s="38">
        <v>4.8186666666666671</v>
      </c>
      <c r="V251" s="38">
        <v>6.4272322559621955</v>
      </c>
      <c r="W251" s="38">
        <v>24.945560976919857</v>
      </c>
      <c r="X251" s="38">
        <v>29.104008539358748</v>
      </c>
      <c r="Y251" s="38" t="s">
        <v>124</v>
      </c>
      <c r="Z251" s="38" t="s">
        <v>124</v>
      </c>
      <c r="AB251" s="30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 outlineLevel="1" x14ac:dyDescent="0.25">
      <c r="A252" s="29">
        <v>1</v>
      </c>
      <c r="C252" s="24" t="str">
        <f>"    Total Asset per Share"</f>
        <v xml:space="preserve">    Total Asset per Share</v>
      </c>
      <c r="D252" s="33">
        <f>IF(COUNT(M252:Z252)&gt;0,MEDIAN(M252:Z252),"")</f>
        <v>138.67599999999999</v>
      </c>
      <c r="E252" s="33">
        <f>IF(COUNT(M252:Z252)&gt;0,AVERAGE(M252:Z252),"")</f>
        <v>133.47746876702675</v>
      </c>
      <c r="F252" s="33">
        <f>IF(COUNT(M252:Z252)&gt;0,MIN(M252:Z252),"")</f>
        <v>92.414186814888481</v>
      </c>
      <c r="G252" s="33">
        <f>IF(COUNT(M252:Z252)&gt;0,MAX(M252:Z252),"")</f>
        <v>167.99571428571429</v>
      </c>
      <c r="H252" s="33">
        <f>IF(COUNT(M252:Z252)&gt;0,QUARTILE(M252:Z252,1),"")</f>
        <v>110.51115674534228</v>
      </c>
      <c r="I252" s="33">
        <f>IF(COUNT(M252:Z252)&gt;0,QUARTILE(M252:Z252,3),"")</f>
        <v>162.50964285714286</v>
      </c>
      <c r="J252" s="33">
        <f>IF(COUNT(M252:Z252)&gt;1,STDEV(M252:Z252),"")</f>
        <v>29.052927743700447</v>
      </c>
      <c r="K252" s="33">
        <f>IF(COUNT(M252:Z252)&gt;1,STDEV(M252:Z252)/AVERAGE(M252:Z252),"")</f>
        <v>0.21766166239194865</v>
      </c>
      <c r="L252" s="38"/>
      <c r="M252" s="38">
        <v>163.14533333333333</v>
      </c>
      <c r="N252" s="38">
        <v>167.99571428571429</v>
      </c>
      <c r="O252" s="38">
        <v>162.88357142857143</v>
      </c>
      <c r="P252" s="38">
        <v>162.38499999999999</v>
      </c>
      <c r="Q252" s="38">
        <v>151.77285714285713</v>
      </c>
      <c r="R252" s="38">
        <v>147.79333333333332</v>
      </c>
      <c r="S252" s="38">
        <v>129.55866666666665</v>
      </c>
      <c r="T252" s="38">
        <v>110.938125</v>
      </c>
      <c r="U252" s="38">
        <v>110.896</v>
      </c>
      <c r="V252" s="38">
        <v>109.35662698136908</v>
      </c>
      <c r="W252" s="38">
        <v>92.414186814888481</v>
      </c>
      <c r="X252" s="38">
        <v>92.590210217587071</v>
      </c>
      <c r="Y252" s="38" t="s">
        <v>124</v>
      </c>
      <c r="Z252" s="38" t="s">
        <v>124</v>
      </c>
      <c r="AB252" s="30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 x14ac:dyDescent="0.25">
      <c r="A253" s="29">
        <v>1</v>
      </c>
      <c r="C253" s="26" t="str">
        <f>"Data Origination"</f>
        <v>Data Origination</v>
      </c>
      <c r="D253" s="44"/>
      <c r="E253" s="44"/>
      <c r="F253" s="44"/>
      <c r="G253" s="44"/>
      <c r="H253" s="44"/>
      <c r="I253" s="44"/>
      <c r="J253" s="44"/>
      <c r="K253" s="44"/>
      <c r="L253" s="44"/>
      <c r="M253" s="44" t="s">
        <v>124</v>
      </c>
      <c r="N253" s="44" t="s">
        <v>124</v>
      </c>
      <c r="O253" s="44" t="s">
        <v>124</v>
      </c>
      <c r="P253" s="44" t="s">
        <v>124</v>
      </c>
      <c r="Q253" s="44" t="s">
        <v>124</v>
      </c>
      <c r="R253" s="44" t="s">
        <v>124</v>
      </c>
      <c r="S253" s="44" t="s">
        <v>124</v>
      </c>
      <c r="T253" s="44" t="s">
        <v>124</v>
      </c>
      <c r="U253" s="44" t="s">
        <v>124</v>
      </c>
      <c r="V253" s="44" t="s">
        <v>124</v>
      </c>
      <c r="W253" s="44" t="s">
        <v>124</v>
      </c>
      <c r="X253" s="44" t="s">
        <v>124</v>
      </c>
      <c r="Y253" s="44" t="s">
        <v>124</v>
      </c>
      <c r="Z253" s="44" t="s">
        <v>124</v>
      </c>
      <c r="AB253" s="30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 x14ac:dyDescent="0.25">
      <c r="A254" s="29">
        <v>1</v>
      </c>
      <c r="C254" s="24" t="str">
        <f>"    Preliminary"</f>
        <v xml:space="preserve">    Preliminary</v>
      </c>
      <c r="D254" s="36"/>
      <c r="E254" s="36"/>
      <c r="F254" s="36"/>
      <c r="G254" s="36"/>
      <c r="H254" s="36"/>
      <c r="I254" s="36"/>
      <c r="J254" s="36"/>
      <c r="K254" s="36"/>
      <c r="L254" s="41"/>
      <c r="M254" s="41" t="s">
        <v>125</v>
      </c>
      <c r="N254" s="41" t="s">
        <v>125</v>
      </c>
      <c r="O254" s="41" t="s">
        <v>125</v>
      </c>
      <c r="P254" s="41" t="s">
        <v>125</v>
      </c>
      <c r="Q254" s="41" t="s">
        <v>125</v>
      </c>
      <c r="R254" s="41" t="s">
        <v>125</v>
      </c>
      <c r="S254" s="41" t="s">
        <v>125</v>
      </c>
      <c r="T254" s="41" t="s">
        <v>125</v>
      </c>
      <c r="U254" s="41" t="s">
        <v>125</v>
      </c>
      <c r="V254" s="41" t="s">
        <v>125</v>
      </c>
      <c r="W254" s="41" t="s">
        <v>125</v>
      </c>
      <c r="X254" s="41" t="s">
        <v>125</v>
      </c>
      <c r="Y254" s="41" t="s">
        <v>125</v>
      </c>
      <c r="Z254" s="41" t="s">
        <v>125</v>
      </c>
      <c r="AB254" s="30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 x14ac:dyDescent="0.25">
      <c r="A255" s="29">
        <v>1</v>
      </c>
      <c r="C255" s="24" t="str">
        <f>"    Original"</f>
        <v xml:space="preserve">    Original</v>
      </c>
      <c r="D255" s="36"/>
      <c r="E255" s="36"/>
      <c r="F255" s="36"/>
      <c r="G255" s="36"/>
      <c r="H255" s="36"/>
      <c r="I255" s="36"/>
      <c r="J255" s="36"/>
      <c r="K255" s="36"/>
      <c r="L255" s="41"/>
      <c r="M255" s="41" t="s">
        <v>125</v>
      </c>
      <c r="N255" s="41" t="s">
        <v>125</v>
      </c>
      <c r="O255" s="41" t="s">
        <v>125</v>
      </c>
      <c r="P255" s="41" t="s">
        <v>125</v>
      </c>
      <c r="Q255" s="41" t="s">
        <v>125</v>
      </c>
      <c r="R255" s="41" t="s">
        <v>125</v>
      </c>
      <c r="S255" s="41" t="s">
        <v>125</v>
      </c>
      <c r="T255" s="41" t="s">
        <v>125</v>
      </c>
      <c r="U255" s="41" t="s">
        <v>125</v>
      </c>
      <c r="V255" s="41" t="s">
        <v>125</v>
      </c>
      <c r="W255" s="41" t="s">
        <v>125</v>
      </c>
      <c r="X255" s="41" t="s">
        <v>125</v>
      </c>
      <c r="Y255" s="41" t="s">
        <v>125</v>
      </c>
      <c r="Z255" s="41" t="s">
        <v>125</v>
      </c>
      <c r="AB255" s="30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 x14ac:dyDescent="0.25">
      <c r="A256" s="29">
        <v>1</v>
      </c>
      <c r="C256" s="24" t="str">
        <f>"    Restated"</f>
        <v xml:space="preserve">    Restated</v>
      </c>
      <c r="D256" s="36"/>
      <c r="E256" s="36"/>
      <c r="F256" s="36"/>
      <c r="G256" s="36"/>
      <c r="H256" s="36"/>
      <c r="I256" s="36"/>
      <c r="J256" s="36"/>
      <c r="K256" s="36"/>
      <c r="L256" s="41"/>
      <c r="M256" s="41" t="s">
        <v>125</v>
      </c>
      <c r="N256" s="41" t="s">
        <v>125</v>
      </c>
      <c r="O256" s="41" t="s">
        <v>125</v>
      </c>
      <c r="P256" s="41" t="s">
        <v>125</v>
      </c>
      <c r="Q256" s="41" t="s">
        <v>125</v>
      </c>
      <c r="R256" s="41" t="s">
        <v>125</v>
      </c>
      <c r="S256" s="41" t="s">
        <v>125</v>
      </c>
      <c r="T256" s="41" t="s">
        <v>125</v>
      </c>
      <c r="U256" s="41" t="s">
        <v>125</v>
      </c>
      <c r="V256" s="41" t="s">
        <v>125</v>
      </c>
      <c r="W256" s="41" t="s">
        <v>125</v>
      </c>
      <c r="X256" s="41" t="s">
        <v>125</v>
      </c>
      <c r="Y256" s="41" t="s">
        <v>125</v>
      </c>
      <c r="Z256" s="41" t="s">
        <v>125</v>
      </c>
      <c r="AB256" s="30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 x14ac:dyDescent="0.25">
      <c r="A257" s="29">
        <v>1</v>
      </c>
      <c r="C257" s="24" t="str">
        <f>"    Calculated"</f>
        <v xml:space="preserve">    Calculated</v>
      </c>
      <c r="D257" s="36"/>
      <c r="E257" s="36"/>
      <c r="F257" s="36"/>
      <c r="G257" s="36"/>
      <c r="H257" s="36"/>
      <c r="I257" s="36"/>
      <c r="J257" s="36"/>
      <c r="K257" s="36"/>
      <c r="L257" s="41"/>
      <c r="M257" s="41" t="s">
        <v>125</v>
      </c>
      <c r="N257" s="41" t="s">
        <v>125</v>
      </c>
      <c r="O257" s="41" t="s">
        <v>125</v>
      </c>
      <c r="P257" s="41" t="s">
        <v>125</v>
      </c>
      <c r="Q257" s="41" t="s">
        <v>125</v>
      </c>
      <c r="R257" s="41" t="s">
        <v>125</v>
      </c>
      <c r="S257" s="41" t="s">
        <v>125</v>
      </c>
      <c r="T257" s="41" t="s">
        <v>125</v>
      </c>
      <c r="U257" s="41" t="s">
        <v>125</v>
      </c>
      <c r="V257" s="41" t="s">
        <v>125</v>
      </c>
      <c r="W257" s="41" t="s">
        <v>125</v>
      </c>
      <c r="X257" s="41" t="s">
        <v>125</v>
      </c>
      <c r="Y257" s="41" t="s">
        <v>125</v>
      </c>
      <c r="Z257" s="41" t="s">
        <v>125</v>
      </c>
      <c r="AB257" s="30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 x14ac:dyDescent="0.25">
      <c r="A258" s="29"/>
      <c r="AB258" s="30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 x14ac:dyDescent="0.25">
      <c r="A259" s="29"/>
      <c r="AB259" s="30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 x14ac:dyDescent="0.25">
      <c r="A260" s="29"/>
      <c r="C260" s="110" t="s">
        <v>89</v>
      </c>
      <c r="AB260" s="30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 x14ac:dyDescent="0.25">
      <c r="A261" s="29"/>
      <c r="C261" s="110" t="s">
        <v>11</v>
      </c>
      <c r="AB261" s="30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 x14ac:dyDescent="0.25">
      <c r="A262" s="29"/>
      <c r="AB262" s="30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 x14ac:dyDescent="0.25">
      <c r="A263" s="27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10:Z10 D104:Z104 D164:Z164 D180:Z180 D187:Z187 D234:Z234 D246:Z246 D252:Z252">
    <cfRule type="expression" dxfId="4" priority="1">
      <formula>NOT(SUBTOTAL(109,$A11)=$A11)</formula>
    </cfRule>
  </conditionalFormatting>
  <hyperlinks>
    <hyperlink ref="M5" r:id="rId1" xr:uid="{00000000-0004-0000-0300-000000000000}"/>
    <hyperlink ref="M10" r:id="rId2" xr:uid="{00000000-0004-0000-0300-000001000000}"/>
    <hyperlink ref="N5" r:id="rId3" xr:uid="{00000000-0004-0000-0300-000002000000}"/>
    <hyperlink ref="N10" r:id="rId4" xr:uid="{00000000-0004-0000-0300-000003000000}"/>
    <hyperlink ref="O5" r:id="rId5" xr:uid="{00000000-0004-0000-0300-000004000000}"/>
    <hyperlink ref="O10" r:id="rId6" xr:uid="{00000000-0004-0000-0300-000005000000}"/>
    <hyperlink ref="P5" r:id="rId7" xr:uid="{00000000-0004-0000-0300-000006000000}"/>
    <hyperlink ref="P10" r:id="rId8" xr:uid="{00000000-0004-0000-0300-000007000000}"/>
    <hyperlink ref="Q5" r:id="rId9" xr:uid="{00000000-0004-0000-0300-000008000000}"/>
    <hyperlink ref="Q10" r:id="rId10" xr:uid="{00000000-0004-0000-0300-000009000000}"/>
    <hyperlink ref="R5" r:id="rId11" xr:uid="{00000000-0004-0000-0300-00000A000000}"/>
    <hyperlink ref="R10" r:id="rId12" xr:uid="{00000000-0004-0000-0300-00000B000000}"/>
    <hyperlink ref="S5" r:id="rId13" xr:uid="{00000000-0004-0000-0300-00000C000000}"/>
    <hyperlink ref="S10" r:id="rId14" xr:uid="{00000000-0004-0000-0300-00000D000000}"/>
    <hyperlink ref="T5" r:id="rId15" xr:uid="{00000000-0004-0000-0300-00000E000000}"/>
    <hyperlink ref="T10" r:id="rId16" xr:uid="{00000000-0004-0000-0300-00000F000000}"/>
    <hyperlink ref="U5" r:id="rId17" xr:uid="{00000000-0004-0000-0300-000010000000}"/>
    <hyperlink ref="U10" r:id="rId18" xr:uid="{00000000-0004-0000-0300-000011000000}"/>
    <hyperlink ref="V5" r:id="rId19" xr:uid="{00000000-0004-0000-0300-000012000000}"/>
    <hyperlink ref="V10" r:id="rId20" xr:uid="{00000000-0004-0000-0300-000013000000}"/>
    <hyperlink ref="W5" r:id="rId21" xr:uid="{00000000-0004-0000-0300-000014000000}"/>
    <hyperlink ref="W10" r:id="rId22" xr:uid="{00000000-0004-0000-0300-000015000000}"/>
    <hyperlink ref="X5" r:id="rId23" xr:uid="{00000000-0004-0000-0300-000016000000}"/>
    <hyperlink ref="X10" r:id="rId24" xr:uid="{00000000-0004-0000-0300-000017000000}"/>
    <hyperlink ref="Y5" r:id="rId25" xr:uid="{00000000-0004-0000-0300-000018000000}"/>
    <hyperlink ref="Y10" r:id="rId26" xr:uid="{00000000-0004-0000-0300-000019000000}"/>
    <hyperlink ref="Z5" r:id="rId27" xr:uid="{00000000-0004-0000-0300-00001A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MK148"/>
  <sheetViews>
    <sheetView showGridLines="0" zoomScaleNormal="100" workbookViewId="0">
      <pane xSplit="3" ySplit="10" topLeftCell="M11" activePane="bottomRight" state="frozen"/>
      <selection pane="topRight" activeCell="D1" sqref="D1"/>
      <selection pane="bottomLeft" activeCell="A11" sqref="A11"/>
      <selection pane="bottomRight" activeCell="Q4" sqref="Q4"/>
    </sheetView>
  </sheetViews>
  <sheetFormatPr defaultColWidth="8.85546875" defaultRowHeight="15" outlineLevelRow="6" outlineLevelCol="1" x14ac:dyDescent="0.25"/>
  <cols>
    <col min="1" max="1" width="1" style="1" customWidth="1"/>
    <col min="2" max="2" width="2" style="1" customWidth="1"/>
    <col min="3" max="3" width="50.5703125" style="1" customWidth="1"/>
    <col min="4" max="10" width="12.5703125" style="1" hidden="1" customWidth="1" outlineLevel="1"/>
    <col min="11" max="11" width="10.5703125" style="1" hidden="1" customWidth="1" outlineLevel="1" collapsed="1"/>
    <col min="12" max="12" width="2.5703125" style="1" customWidth="1" collapsed="1"/>
    <col min="13" max="17" width="14.5703125" style="1" customWidth="1" collapsed="1"/>
    <col min="18" max="26" width="14.5703125" style="1" hidden="1" customWidth="1" collapsed="1"/>
    <col min="27" max="27" width="1.85546875" style="1" hidden="1" customWidth="1"/>
    <col min="28" max="1025" width="14.5703125" style="1" customWidth="1" collapsed="1"/>
  </cols>
  <sheetData>
    <row r="1" spans="1:49" ht="6.4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39.75" customHeight="1" x14ac:dyDescent="0.25">
      <c r="A2" s="29"/>
      <c r="AB2" s="30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 ht="18.75" customHeight="1" x14ac:dyDescent="0.25">
      <c r="A3" s="29"/>
      <c r="C3" s="6" t="s">
        <v>129</v>
      </c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21" x14ac:dyDescent="0.35">
      <c r="A4" s="29"/>
      <c r="C4" s="7" t="s">
        <v>94</v>
      </c>
      <c r="D4" s="42" t="s">
        <v>1</v>
      </c>
      <c r="E4" s="26"/>
      <c r="F4" s="26"/>
      <c r="G4" s="26"/>
      <c r="H4" s="26"/>
      <c r="I4" s="26"/>
      <c r="J4" s="26"/>
      <c r="K4" s="26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 x14ac:dyDescent="0.25">
      <c r="A5" s="29"/>
      <c r="C5" s="7" t="s">
        <v>95</v>
      </c>
      <c r="D5" s="147" t="s">
        <v>2</v>
      </c>
      <c r="E5" s="147" t="s">
        <v>3</v>
      </c>
      <c r="F5" s="147" t="s">
        <v>4</v>
      </c>
      <c r="G5" s="147" t="s">
        <v>5</v>
      </c>
      <c r="H5" s="147" t="s">
        <v>6</v>
      </c>
      <c r="I5" s="147" t="s">
        <v>7</v>
      </c>
      <c r="J5" s="147" t="s">
        <v>8</v>
      </c>
      <c r="K5" s="147" t="s">
        <v>9</v>
      </c>
      <c r="M5" s="48" t="s">
        <v>97</v>
      </c>
      <c r="N5" s="48" t="s">
        <v>100</v>
      </c>
      <c r="O5" s="48" t="s">
        <v>101</v>
      </c>
      <c r="P5" s="48" t="s">
        <v>102</v>
      </c>
      <c r="Q5" s="48" t="s">
        <v>104</v>
      </c>
      <c r="R5" s="48" t="s">
        <v>106</v>
      </c>
      <c r="S5" s="48" t="s">
        <v>108</v>
      </c>
      <c r="T5" s="48" t="s">
        <v>110</v>
      </c>
      <c r="U5" s="48" t="s">
        <v>112</v>
      </c>
      <c r="V5" s="48" t="s">
        <v>114</v>
      </c>
      <c r="W5" s="48" t="s">
        <v>116</v>
      </c>
      <c r="X5" s="48" t="s">
        <v>118</v>
      </c>
      <c r="Y5" s="48" t="s">
        <v>120</v>
      </c>
      <c r="Z5" s="48" t="s">
        <v>122</v>
      </c>
      <c r="AB5" s="3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 x14ac:dyDescent="0.25">
      <c r="A6" s="29"/>
      <c r="D6" s="147"/>
      <c r="E6" s="147"/>
      <c r="F6" s="147"/>
      <c r="G6" s="147"/>
      <c r="H6" s="147"/>
      <c r="I6" s="147"/>
      <c r="J6" s="147"/>
      <c r="K6" s="147"/>
      <c r="AB6" s="3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 ht="24" x14ac:dyDescent="0.25">
      <c r="A7" s="29"/>
      <c r="C7" s="8" t="s">
        <v>96</v>
      </c>
      <c r="D7" s="26"/>
      <c r="E7" s="26"/>
      <c r="F7" s="26"/>
      <c r="G7" s="26"/>
      <c r="H7" s="26"/>
      <c r="I7" s="26"/>
      <c r="J7" s="26"/>
      <c r="K7" s="26"/>
      <c r="AB7" s="3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 x14ac:dyDescent="0.25">
      <c r="A8" s="29"/>
      <c r="D8" s="26"/>
      <c r="E8" s="26"/>
      <c r="F8" s="26"/>
      <c r="G8" s="26"/>
      <c r="H8" s="26"/>
      <c r="I8" s="26"/>
      <c r="J8" s="26"/>
      <c r="K8" s="26"/>
      <c r="AB8" s="3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 x14ac:dyDescent="0.25">
      <c r="A9" s="29"/>
      <c r="D9" s="26"/>
      <c r="E9" s="26"/>
      <c r="F9" s="26"/>
      <c r="G9" s="26"/>
      <c r="H9" s="26"/>
      <c r="I9" s="26"/>
      <c r="J9" s="26"/>
      <c r="K9" s="26"/>
      <c r="M9" s="49" t="s">
        <v>98</v>
      </c>
      <c r="N9" s="49" t="s">
        <v>98</v>
      </c>
      <c r="O9" s="49" t="s">
        <v>98</v>
      </c>
      <c r="P9" s="49" t="s">
        <v>103</v>
      </c>
      <c r="Q9" s="49" t="s">
        <v>105</v>
      </c>
      <c r="R9" s="49" t="s">
        <v>107</v>
      </c>
      <c r="S9" s="49" t="s">
        <v>109</v>
      </c>
      <c r="T9" s="49" t="s">
        <v>111</v>
      </c>
      <c r="U9" s="49" t="s">
        <v>113</v>
      </c>
      <c r="V9" s="49" t="s">
        <v>115</v>
      </c>
      <c r="W9" s="49" t="s">
        <v>117</v>
      </c>
      <c r="X9" s="49" t="s">
        <v>119</v>
      </c>
      <c r="Y9" s="49" t="s">
        <v>121</v>
      </c>
      <c r="Z9" s="49" t="s">
        <v>123</v>
      </c>
      <c r="AB9" s="3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 x14ac:dyDescent="0.25">
      <c r="A10" s="29"/>
      <c r="D10" s="26"/>
      <c r="E10" s="26"/>
      <c r="F10" s="26"/>
      <c r="G10" s="26"/>
      <c r="H10" s="26"/>
      <c r="I10" s="26"/>
      <c r="J10" s="26"/>
      <c r="K10" s="26"/>
      <c r="M10" s="50" t="s">
        <v>99</v>
      </c>
      <c r="N10" s="50" t="s">
        <v>99</v>
      </c>
      <c r="O10" s="50" t="s">
        <v>99</v>
      </c>
      <c r="P10" s="50" t="s">
        <v>99</v>
      </c>
      <c r="Q10" s="50" t="s">
        <v>99</v>
      </c>
      <c r="R10" s="50" t="s">
        <v>99</v>
      </c>
      <c r="S10" s="50" t="s">
        <v>99</v>
      </c>
      <c r="T10" s="50" t="s">
        <v>99</v>
      </c>
      <c r="U10" s="50" t="s">
        <v>99</v>
      </c>
      <c r="V10" s="50" t="s">
        <v>99</v>
      </c>
      <c r="W10" s="50" t="s">
        <v>99</v>
      </c>
      <c r="X10" s="50" t="s">
        <v>99</v>
      </c>
      <c r="Y10" s="50" t="s">
        <v>99</v>
      </c>
      <c r="AB10" s="3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 x14ac:dyDescent="0.25">
      <c r="A11" s="29">
        <v>1</v>
      </c>
      <c r="C11" s="26" t="str">
        <f>IF(SUBTOTAL(109,A11)=A11,"Cash Flow from Operating Activities, Indirect","Cash Flow from Operating Activities, Indirect")</f>
        <v>Cash Flow from Operating Activities, Indirect</v>
      </c>
      <c r="D11" s="43" t="str">
        <f t="shared" ref="D11:D42" si="0">IF(COUNT(M11:Z11)&gt;0,MEDIAN(M11:Z11),"")</f>
        <v/>
      </c>
      <c r="E11" s="43" t="str">
        <f t="shared" ref="E11:E42" si="1">IF(COUNT(M11:Z11)&gt;0,AVERAGE(M11:Z11),"")</f>
        <v/>
      </c>
      <c r="F11" s="43" t="str">
        <f t="shared" ref="F11:F42" si="2">IF(COUNT(M11:Z11)&gt;0,MIN(M11:Z11),"")</f>
        <v/>
      </c>
      <c r="G11" s="43" t="str">
        <f t="shared" ref="G11:G42" si="3">IF(COUNT(M11:Z11)&gt;0,MAX(M11:Z11),"")</f>
        <v/>
      </c>
      <c r="H11" s="43" t="str">
        <f t="shared" ref="H11:H42" si="4">IF(COUNT(M11:Z11)&gt;0,QUARTILE(M11:Z11,1),"")</f>
        <v/>
      </c>
      <c r="I11" s="43" t="str">
        <f t="shared" ref="I11:I42" si="5">IF(COUNT(M11:Z11)&gt;0,QUARTILE(M11:Z11,3),"")</f>
        <v/>
      </c>
      <c r="J11" s="43" t="str">
        <f t="shared" ref="J11:J42" si="6">IF(COUNT(M11:Z11)&gt;1,STDEV(M11:Z11),"")</f>
        <v/>
      </c>
      <c r="K11" s="44" t="str">
        <f t="shared" ref="K11:K42" si="7">IF(COUNT(M11:Z11)&gt;1,STDEV(M11:Z11)/AVERAGE(M11:Z11),"")</f>
        <v/>
      </c>
      <c r="L11" s="43"/>
      <c r="M11" s="43" t="str">
        <f>IF(SUBTOTAL(109,A11)=A11,"",15188000)</f>
        <v/>
      </c>
      <c r="N11" s="43" t="str">
        <f>IF(SUBTOTAL(109,A11)=A11,"",16670000)</f>
        <v/>
      </c>
      <c r="O11" s="43" t="str">
        <f>IF(SUBTOTAL(109,A11)=A11,"",15021000)</f>
        <v/>
      </c>
      <c r="P11" s="43" t="str">
        <f>IF(SUBTOTAL(109,A11)=A11,"",15256000)</f>
        <v/>
      </c>
      <c r="Q11" s="43" t="str">
        <f>IF(SUBTOTAL(109,A11)=A11,"",17328000)</f>
        <v/>
      </c>
      <c r="R11" s="43" t="str">
        <f>IF(SUBTOTAL(109,A11)=A11,"",16607000)</f>
        <v/>
      </c>
      <c r="S11" s="43" t="str">
        <f>IF(SUBTOTAL(109,A11)=A11,"",11769000)</f>
        <v/>
      </c>
      <c r="T11" s="43" t="str">
        <f>IF(SUBTOTAL(109,A11)=A11,"",10061000)</f>
        <v/>
      </c>
      <c r="U11" s="43" t="str">
        <f>IF(SUBTOTAL(109,A11)=A11,"",12630000)</f>
        <v/>
      </c>
      <c r="V11" s="43" t="str">
        <f>IF(SUBTOTAL(109,A11)=A11,"",10605000)</f>
        <v/>
      </c>
      <c r="W11" s="43" t="str">
        <f>IF(SUBTOTAL(109,A11)=A11,"",8166000)</f>
        <v/>
      </c>
      <c r="X11" s="43" t="str">
        <f>IF(SUBTOTAL(109,A11)=A11,"",6780000)</f>
        <v/>
      </c>
      <c r="Y11" s="43" t="str">
        <f>IF(SUBTOTAL(109,A11)=A11,"",-17239000)</f>
        <v/>
      </c>
      <c r="Z11" s="43" t="str">
        <f>IF(SUBTOTAL(109,A11)=A11,"",-12065000)</f>
        <v/>
      </c>
      <c r="AB11" s="3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outlineLevel="1" collapsed="1" x14ac:dyDescent="0.25">
      <c r="A12" s="29">
        <v>1</v>
      </c>
      <c r="C12" s="24" t="str">
        <f>IF(SUBTOTAL(109,A12)=A12,"    Net Cash Flow from Continuing Operating Activities, Indirect","    Net Cash Flow from Continuing Operating Activities, Indirect")</f>
        <v xml:space="preserve">    Net Cash Flow from Continuing Operating Activities, Indirect</v>
      </c>
      <c r="D12" s="32" t="str">
        <f t="shared" si="0"/>
        <v/>
      </c>
      <c r="E12" s="32" t="str">
        <f t="shared" si="1"/>
        <v/>
      </c>
      <c r="F12" s="32" t="str">
        <f t="shared" si="2"/>
        <v/>
      </c>
      <c r="G12" s="32" t="str">
        <f t="shared" si="3"/>
        <v/>
      </c>
      <c r="H12" s="32" t="str">
        <f t="shared" si="4"/>
        <v/>
      </c>
      <c r="I12" s="32" t="str">
        <f t="shared" si="5"/>
        <v/>
      </c>
      <c r="J12" s="32" t="str">
        <f t="shared" si="6"/>
        <v/>
      </c>
      <c r="K12" s="33" t="str">
        <f t="shared" si="7"/>
        <v/>
      </c>
      <c r="L12" s="37"/>
      <c r="M12" s="37" t="str">
        <f>IF(SUBTOTAL(109,A12)=A12,"",15188000)</f>
        <v/>
      </c>
      <c r="N12" s="37" t="str">
        <f>IF(SUBTOTAL(109,A12)=A12,"",16670000)</f>
        <v/>
      </c>
      <c r="O12" s="37" t="str">
        <f>IF(SUBTOTAL(109,A12)=A12,"",15021000)</f>
        <v/>
      </c>
      <c r="P12" s="37" t="str">
        <f>IF(SUBTOTAL(109,A12)=A12,"",15256000)</f>
        <v/>
      </c>
      <c r="Q12" s="37" t="str">
        <f>IF(SUBTOTAL(109,A12)=A12,"",17338000)</f>
        <v/>
      </c>
      <c r="R12" s="37" t="str">
        <f>IF(SUBTOTAL(109,A12)=A12,"",16993000)</f>
        <v/>
      </c>
      <c r="S12" s="37" t="str">
        <f>IF(SUBTOTAL(109,A12)=A12,"",12610000)</f>
        <v/>
      </c>
      <c r="T12" s="37" t="str">
        <f>IF(SUBTOTAL(109,A12)=A12,"",10061000)</f>
        <v/>
      </c>
      <c r="U12" s="37" t="str">
        <f>IF(SUBTOTAL(109,A12)=A12,"",12630000)</f>
        <v/>
      </c>
      <c r="V12" s="37" t="str">
        <f>IF(SUBTOTAL(109,A12)=A12,"",10605000)</f>
        <v/>
      </c>
      <c r="W12" s="37" t="str">
        <f>IF(SUBTOTAL(109,A12)=A12,"",8166000)</f>
        <v/>
      </c>
      <c r="X12" s="37" t="str">
        <f>IF(SUBTOTAL(109,A12)=A12,"",6780000)</f>
        <v/>
      </c>
      <c r="Y12" s="37" t="str">
        <f>IF(SUBTOTAL(109,A12)=A12,"",-17239000)</f>
        <v/>
      </c>
      <c r="Z12" s="37" t="str">
        <f>IF(SUBTOTAL(109,A12)=A12,"",-12065000)</f>
        <v/>
      </c>
      <c r="AB12" s="30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hidden="1" outlineLevel="2" collapsed="1" x14ac:dyDescent="0.25">
      <c r="A13" s="29">
        <v>1</v>
      </c>
      <c r="C13" s="24" t="str">
        <f>IF(SUBTOTAL(109,A13)=A13,"        Cash Generated from Operating Activities","        Cash Generated from Operating Activities")</f>
        <v xml:space="preserve">        Cash Generated from Operating Activities</v>
      </c>
      <c r="D13" s="32">
        <f t="shared" si="0"/>
        <v>14698000</v>
      </c>
      <c r="E13" s="32">
        <f t="shared" si="1"/>
        <v>11748714.285714285</v>
      </c>
      <c r="F13" s="32">
        <f t="shared" si="2"/>
        <v>-17239000</v>
      </c>
      <c r="G13" s="32">
        <f t="shared" si="3"/>
        <v>21341000</v>
      </c>
      <c r="H13" s="32">
        <f t="shared" si="4"/>
        <v>11574500</v>
      </c>
      <c r="I13" s="32">
        <f t="shared" si="5"/>
        <v>18928500</v>
      </c>
      <c r="J13" s="32">
        <f t="shared" si="6"/>
        <v>11322160.798313065</v>
      </c>
      <c r="K13" s="33">
        <f t="shared" si="7"/>
        <v>0.9636936028038503</v>
      </c>
      <c r="L13" s="37"/>
      <c r="M13" s="37">
        <f>IF(SUBTOTAL(109,A13)=A13,"",18705000)</f>
        <v>18705000</v>
      </c>
      <c r="N13" s="37">
        <f>IF(SUBTOTAL(109,A13)=A13,"",19624000)</f>
        <v>19624000</v>
      </c>
      <c r="O13" s="37">
        <f>IF(SUBTOTAL(109,A13)=A13,"",16879000)</f>
        <v>16879000</v>
      </c>
      <c r="P13" s="37">
        <f>IF(SUBTOTAL(109,A13)=A13,"",19003000)</f>
        <v>19003000</v>
      </c>
      <c r="Q13" s="37">
        <f>IF(SUBTOTAL(109,A13)=A13,"",19442000)</f>
        <v>19442000</v>
      </c>
      <c r="R13" s="37">
        <f>IF(SUBTOTAL(109,A13)=A13,"",21341000)</f>
        <v>21341000</v>
      </c>
      <c r="S13" s="37">
        <f>IF(SUBTOTAL(109,A13)=A13,"",14567000)</f>
        <v>14567000</v>
      </c>
      <c r="T13" s="37">
        <f>IF(SUBTOTAL(109,A13)=A13,"",11302000)</f>
        <v>11302000</v>
      </c>
      <c r="U13" s="37">
        <f>IF(SUBTOTAL(109,A13)=A13,"",14829000)</f>
        <v>14829000</v>
      </c>
      <c r="V13" s="37">
        <f>IF(SUBTOTAL(109,A13)=A13,"",13575000)</f>
        <v>13575000</v>
      </c>
      <c r="W13" s="37">
        <f>IF(SUBTOTAL(109,A13)=A13,"",9769000)</f>
        <v>9769000</v>
      </c>
      <c r="X13" s="37">
        <f>IF(SUBTOTAL(109,A13)=A13,"",12392000)</f>
        <v>12392000</v>
      </c>
      <c r="Y13" s="37">
        <f>IF(SUBTOTAL(109,A13)=A13,"",-17239000)</f>
        <v>-17239000</v>
      </c>
      <c r="Z13" s="37">
        <f>IF(SUBTOTAL(109,A13)=A13,"",-9707000)</f>
        <v>-9707000</v>
      </c>
      <c r="AB13" s="30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 hidden="1" outlineLevel="3" x14ac:dyDescent="0.25">
      <c r="A14" s="29">
        <v>1</v>
      </c>
      <c r="C14" s="24" t="str">
        <f>"            Income/(Loss) before Non-Cash Adjustment"</f>
        <v xml:space="preserve">            Income/(Loss) before Non-Cash Adjustment</v>
      </c>
      <c r="D14" s="32">
        <f t="shared" si="0"/>
        <v>6585000</v>
      </c>
      <c r="E14" s="32">
        <f t="shared" si="1"/>
        <v>11117000</v>
      </c>
      <c r="F14" s="32">
        <f t="shared" si="2"/>
        <v>-31051000</v>
      </c>
      <c r="G14" s="32">
        <f t="shared" si="3"/>
        <v>105217000</v>
      </c>
      <c r="H14" s="32">
        <f t="shared" si="4"/>
        <v>5532250</v>
      </c>
      <c r="I14" s="32">
        <f t="shared" si="5"/>
        <v>9282500</v>
      </c>
      <c r="J14" s="32">
        <f t="shared" si="6"/>
        <v>29011681.657831982</v>
      </c>
      <c r="K14" s="33">
        <f t="shared" si="7"/>
        <v>2.609668225045604</v>
      </c>
      <c r="L14" s="37"/>
      <c r="M14" s="37">
        <v>9945000</v>
      </c>
      <c r="N14" s="37">
        <v>6321000</v>
      </c>
      <c r="O14" s="37">
        <v>6667000</v>
      </c>
      <c r="P14" s="37">
        <v>8075000</v>
      </c>
      <c r="Q14" s="37">
        <v>330000</v>
      </c>
      <c r="R14" s="37">
        <v>9269000</v>
      </c>
      <c r="S14" s="37">
        <v>9590000</v>
      </c>
      <c r="T14" s="37">
        <v>4018000</v>
      </c>
      <c r="U14" s="37">
        <v>5331000</v>
      </c>
      <c r="V14" s="37">
        <v>6136000</v>
      </c>
      <c r="W14" s="37">
        <v>9287000</v>
      </c>
      <c r="X14" s="37">
        <v>6503000</v>
      </c>
      <c r="Y14" s="37">
        <v>105217000</v>
      </c>
      <c r="Z14" s="37">
        <v>-31051000</v>
      </c>
      <c r="AB14" s="30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 hidden="1" outlineLevel="3" collapsed="1" x14ac:dyDescent="0.25">
      <c r="A15" s="29">
        <v>1</v>
      </c>
      <c r="C15" s="24" t="str">
        <f>IF(SUBTOTAL(109,A15)=A15,"            Adjustments for Non-Cash Items","            Total Adjustments for Non-Cash Items")</f>
        <v xml:space="preserve">            Total Adjustments for Non-Cash Items</v>
      </c>
      <c r="D15" s="32">
        <f t="shared" si="0"/>
        <v>11158000</v>
      </c>
      <c r="E15" s="32">
        <f t="shared" si="1"/>
        <v>2408357.1428571427</v>
      </c>
      <c r="F15" s="32">
        <f t="shared" si="2"/>
        <v>-115599000</v>
      </c>
      <c r="G15" s="32">
        <f t="shared" si="3"/>
        <v>22127000</v>
      </c>
      <c r="H15" s="32">
        <f t="shared" si="4"/>
        <v>6820500</v>
      </c>
      <c r="I15" s="32">
        <f t="shared" si="5"/>
        <v>13352500</v>
      </c>
      <c r="J15" s="32">
        <f t="shared" si="6"/>
        <v>34369981.205892541</v>
      </c>
      <c r="K15" s="33">
        <f t="shared" si="7"/>
        <v>14.27113138424224</v>
      </c>
      <c r="L15" s="37"/>
      <c r="M15" s="37">
        <f>IF(SUBTOTAL(109,A15)=A15,"",12126000)</f>
        <v>12126000</v>
      </c>
      <c r="N15" s="37">
        <f>IF(SUBTOTAL(109,A15)=A15,"",13702000)</f>
        <v>13702000</v>
      </c>
      <c r="O15" s="37">
        <f>IF(SUBTOTAL(109,A15)=A15,"",14001000)</f>
        <v>14001000</v>
      </c>
      <c r="P15" s="37">
        <f>IF(SUBTOTAL(109,A15)=A15,"",12304000)</f>
        <v>12304000</v>
      </c>
      <c r="Q15" s="37">
        <f>IF(SUBTOTAL(109,A15)=A15,"",22127000)</f>
        <v>22127000</v>
      </c>
      <c r="R15" s="37">
        <f>IF(SUBTOTAL(109,A15)=A15,"",11492000)</f>
        <v>11492000</v>
      </c>
      <c r="S15" s="37">
        <f>IF(SUBTOTAL(109,A15)=A15,"",6185000)</f>
        <v>6185000</v>
      </c>
      <c r="T15" s="37">
        <f>IF(SUBTOTAL(109,A15)=A15,"",7037000)</f>
        <v>7037000</v>
      </c>
      <c r="U15" s="37">
        <f>IF(SUBTOTAL(109,A15)=A15,"",10824000)</f>
        <v>10824000</v>
      </c>
      <c r="V15" s="37">
        <f>IF(SUBTOTAL(109,A15)=A15,"",6809000)</f>
        <v>6809000</v>
      </c>
      <c r="W15" s="37">
        <f>IF(SUBTOTAL(109,A15)=A15,"",4604000)</f>
        <v>4604000</v>
      </c>
      <c r="X15" s="37">
        <f>IF(SUBTOTAL(109,A15)=A15,"",6855000)</f>
        <v>6855000</v>
      </c>
      <c r="Y15" s="37">
        <f>IF(SUBTOTAL(109,A15)=A15,"",-115599000)</f>
        <v>-115599000</v>
      </c>
      <c r="Z15" s="37">
        <f>IF(SUBTOTAL(109,A15)=A15,"",21250000)</f>
        <v>21250000</v>
      </c>
      <c r="AB15" s="3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hidden="1" outlineLevel="4" collapsed="1" x14ac:dyDescent="0.25">
      <c r="A16" s="29">
        <v>1</v>
      </c>
      <c r="C16" s="24" t="str">
        <f>IF(SUBTOTAL(109,A16)=A16,"                Depreciation, Amortization and Depletion, Non-Cash Adjustment","                Depreciation, Amortization and Depletion, Non-Cash Adjustment")</f>
        <v xml:space="preserve">                Depreciation, Amortization and Depletion, Non-Cash Adjustment</v>
      </c>
      <c r="D16" s="32">
        <f t="shared" si="0"/>
        <v>10793500</v>
      </c>
      <c r="E16" s="32">
        <f t="shared" si="1"/>
        <v>12300357.142857144</v>
      </c>
      <c r="F16" s="32">
        <f t="shared" si="2"/>
        <v>6930000</v>
      </c>
      <c r="G16" s="32">
        <f t="shared" si="3"/>
        <v>38762000</v>
      </c>
      <c r="H16" s="32">
        <f t="shared" si="4"/>
        <v>7625500</v>
      </c>
      <c r="I16" s="32">
        <f t="shared" si="5"/>
        <v>12676500</v>
      </c>
      <c r="J16" s="32">
        <f t="shared" si="6"/>
        <v>8022316.1014677137</v>
      </c>
      <c r="K16" s="33">
        <f t="shared" si="7"/>
        <v>0.65220188392060618</v>
      </c>
      <c r="L16" s="37"/>
      <c r="M16" s="37">
        <f>IF(SUBTOTAL(109,A16)=A16,"",12051000)</f>
        <v>12051000</v>
      </c>
      <c r="N16" s="37">
        <f>IF(SUBTOTAL(109,A16)=A16,"",12815000)</f>
        <v>12815000</v>
      </c>
      <c r="O16" s="37">
        <f>IF(SUBTOTAL(109,A16)=A16,"",14118000)</f>
        <v>14118000</v>
      </c>
      <c r="P16" s="37">
        <f>IF(SUBTOTAL(109,A16)=A16,"",13669000)</f>
        <v>13669000</v>
      </c>
      <c r="Q16" s="37">
        <f>IF(SUBTOTAL(109,A16)=A16,"",12261000)</f>
        <v>12261000</v>
      </c>
      <c r="R16" s="37">
        <f>IF(SUBTOTAL(109,A16)=A16,"",9819000)</f>
        <v>9819000</v>
      </c>
      <c r="S16" s="37">
        <f>IF(SUBTOTAL(109,A16)=A16,"",7487000)</f>
        <v>7487000</v>
      </c>
      <c r="T16" s="37">
        <f>IF(SUBTOTAL(109,A16)=A16,"",7238000)</f>
        <v>7238000</v>
      </c>
      <c r="U16" s="37">
        <f>IF(SUBTOTAL(109,A16)=A16,"",8041000)</f>
        <v>8041000</v>
      </c>
      <c r="V16" s="37">
        <f>IF(SUBTOTAL(109,A16)=A16,"",38762000)</f>
        <v>38762000</v>
      </c>
      <c r="W16" s="37">
        <f>IF(SUBTOTAL(109,A16)=A16,"",7427000)</f>
        <v>7427000</v>
      </c>
      <c r="X16" s="37">
        <f>IF(SUBTOTAL(109,A16)=A16,"",6930000)</f>
        <v>6930000</v>
      </c>
      <c r="Y16" s="37">
        <f>IF(SUBTOTAL(109,A16)=A16,"",11384000)</f>
        <v>11384000</v>
      </c>
      <c r="Z16" s="37">
        <f>IF(SUBTOTAL(109,A16)=A16,"",10203000)</f>
        <v>10203000</v>
      </c>
      <c r="AB16" s="3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hidden="1" outlineLevel="5" collapsed="1" x14ac:dyDescent="0.25">
      <c r="A17" s="29">
        <v>1</v>
      </c>
      <c r="C17" s="24" t="str">
        <f>IF(SUBTOTAL(109,A17)=A17,"                    Depreciation and Amortization, Non-Cash Adjustment","                    Depreciation and Amortization, Non-Cash Adjustment")</f>
        <v xml:space="preserve">                    Depreciation and Amortization, Non-Cash Adjustment</v>
      </c>
      <c r="D17" s="32">
        <f t="shared" si="0"/>
        <v>10793500</v>
      </c>
      <c r="E17" s="32">
        <f t="shared" si="1"/>
        <v>12300357.142857144</v>
      </c>
      <c r="F17" s="32">
        <f t="shared" si="2"/>
        <v>6930000</v>
      </c>
      <c r="G17" s="32">
        <f t="shared" si="3"/>
        <v>38762000</v>
      </c>
      <c r="H17" s="32">
        <f t="shared" si="4"/>
        <v>7625500</v>
      </c>
      <c r="I17" s="32">
        <f t="shared" si="5"/>
        <v>12676500</v>
      </c>
      <c r="J17" s="32">
        <f t="shared" si="6"/>
        <v>8022316.1014677137</v>
      </c>
      <c r="K17" s="33">
        <f t="shared" si="7"/>
        <v>0.65220188392060618</v>
      </c>
      <c r="L17" s="37"/>
      <c r="M17" s="37">
        <f>IF(SUBTOTAL(109,A17)=A17,"",12051000)</f>
        <v>12051000</v>
      </c>
      <c r="N17" s="37">
        <f>IF(SUBTOTAL(109,A17)=A17,"",12815000)</f>
        <v>12815000</v>
      </c>
      <c r="O17" s="37">
        <f>IF(SUBTOTAL(109,A17)=A17,"",14118000)</f>
        <v>14118000</v>
      </c>
      <c r="P17" s="37">
        <f>IF(SUBTOTAL(109,A17)=A17,"",13669000)</f>
        <v>13669000</v>
      </c>
      <c r="Q17" s="37">
        <f>IF(SUBTOTAL(109,A17)=A17,"",12261000)</f>
        <v>12261000</v>
      </c>
      <c r="R17" s="37">
        <f>IF(SUBTOTAL(109,A17)=A17,"",9819000)</f>
        <v>9819000</v>
      </c>
      <c r="S17" s="37">
        <f>IF(SUBTOTAL(109,A17)=A17,"",7487000)</f>
        <v>7487000</v>
      </c>
      <c r="T17" s="37">
        <f>IF(SUBTOTAL(109,A17)=A17,"",7238000)</f>
        <v>7238000</v>
      </c>
      <c r="U17" s="37">
        <f>IF(SUBTOTAL(109,A17)=A17,"",8041000)</f>
        <v>8041000</v>
      </c>
      <c r="V17" s="37">
        <f>IF(SUBTOTAL(109,A17)=A17,"",38762000)</f>
        <v>38762000</v>
      </c>
      <c r="W17" s="37">
        <f>IF(SUBTOTAL(109,A17)=A17,"",7427000)</f>
        <v>7427000</v>
      </c>
      <c r="X17" s="37">
        <f>IF(SUBTOTAL(109,A17)=A17,"",6930000)</f>
        <v>6930000</v>
      </c>
      <c r="Y17" s="37">
        <f>IF(SUBTOTAL(109,A17)=A17,"",11384000)</f>
        <v>11384000</v>
      </c>
      <c r="Z17" s="37">
        <f>IF(SUBTOTAL(109,A17)=A17,"",10203000)</f>
        <v>10203000</v>
      </c>
      <c r="AB17" s="30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hidden="1" outlineLevel="6" x14ac:dyDescent="0.25">
      <c r="A18" s="29">
        <v>1</v>
      </c>
      <c r="C18" s="24" t="str">
        <f>"                        Depreciation, Non-Cash Adjustment"</f>
        <v xml:space="preserve">                        Depreciation, Non-Cash Adjustment</v>
      </c>
      <c r="D18" s="32">
        <f t="shared" si="0"/>
        <v>10699000</v>
      </c>
      <c r="E18" s="32">
        <f t="shared" si="1"/>
        <v>12286857.142857144</v>
      </c>
      <c r="F18" s="32">
        <f t="shared" si="2"/>
        <v>6930000</v>
      </c>
      <c r="G18" s="32">
        <f t="shared" si="3"/>
        <v>38762000</v>
      </c>
      <c r="H18" s="32">
        <f t="shared" si="4"/>
        <v>7625500</v>
      </c>
      <c r="I18" s="32">
        <f t="shared" si="5"/>
        <v>12676500</v>
      </c>
      <c r="J18" s="32">
        <f t="shared" si="6"/>
        <v>8026275.0902380506</v>
      </c>
      <c r="K18" s="33">
        <f t="shared" si="7"/>
        <v>0.65324069425711973</v>
      </c>
      <c r="L18" s="37"/>
      <c r="M18" s="37">
        <v>12051000</v>
      </c>
      <c r="N18" s="37">
        <v>12815000</v>
      </c>
      <c r="O18" s="37">
        <v>14118000</v>
      </c>
      <c r="P18" s="37">
        <v>13669000</v>
      </c>
      <c r="Q18" s="37">
        <v>12261000</v>
      </c>
      <c r="R18" s="37">
        <v>9819000</v>
      </c>
      <c r="S18" s="37">
        <v>7487000</v>
      </c>
      <c r="T18" s="37">
        <v>7238000</v>
      </c>
      <c r="U18" s="37">
        <v>8041000</v>
      </c>
      <c r="V18" s="37">
        <v>38762000</v>
      </c>
      <c r="W18" s="37">
        <v>7427000</v>
      </c>
      <c r="X18" s="37">
        <v>6930000</v>
      </c>
      <c r="Y18" s="37">
        <v>11384000</v>
      </c>
      <c r="Z18" s="37">
        <v>10014000</v>
      </c>
      <c r="AB18" s="3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hidden="1" outlineLevel="6" x14ac:dyDescent="0.25">
      <c r="A19" s="29">
        <v>1</v>
      </c>
      <c r="C19" s="24" t="str">
        <f>"                        Amortization, Non-Cash Adjustment"</f>
        <v xml:space="preserve">                        Amortization, Non-Cash Adjustment</v>
      </c>
      <c r="D19" s="32">
        <f t="shared" si="0"/>
        <v>189000</v>
      </c>
      <c r="E19" s="32">
        <f t="shared" si="1"/>
        <v>189000</v>
      </c>
      <c r="F19" s="32">
        <f t="shared" si="2"/>
        <v>189000</v>
      </c>
      <c r="G19" s="32">
        <f t="shared" si="3"/>
        <v>189000</v>
      </c>
      <c r="H19" s="32">
        <f t="shared" si="4"/>
        <v>189000</v>
      </c>
      <c r="I19" s="32">
        <f t="shared" si="5"/>
        <v>189000</v>
      </c>
      <c r="J19" s="32" t="str">
        <f t="shared" si="6"/>
        <v/>
      </c>
      <c r="K19" s="33" t="str">
        <f t="shared" si="7"/>
        <v/>
      </c>
      <c r="L19" s="37"/>
      <c r="M19" s="37" t="s">
        <v>124</v>
      </c>
      <c r="N19" s="37" t="s">
        <v>124</v>
      </c>
      <c r="O19" s="37" t="s">
        <v>124</v>
      </c>
      <c r="P19" s="37" t="s">
        <v>124</v>
      </c>
      <c r="Q19" s="37" t="s">
        <v>124</v>
      </c>
      <c r="R19" s="37" t="s">
        <v>124</v>
      </c>
      <c r="S19" s="37" t="s">
        <v>124</v>
      </c>
      <c r="T19" s="37" t="s">
        <v>124</v>
      </c>
      <c r="U19" s="37" t="s">
        <v>124</v>
      </c>
      <c r="V19" s="37" t="s">
        <v>124</v>
      </c>
      <c r="W19" s="37" t="s">
        <v>124</v>
      </c>
      <c r="X19" s="37" t="s">
        <v>124</v>
      </c>
      <c r="Y19" s="37" t="s">
        <v>124</v>
      </c>
      <c r="Z19" s="37">
        <v>189000</v>
      </c>
      <c r="AB19" s="3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hidden="1" outlineLevel="6" x14ac:dyDescent="0.25">
      <c r="A20" s="29">
        <v>1</v>
      </c>
      <c r="C20" s="25" t="str">
        <f>"                        Total Depreciation and Amortization, Non-Cash Adjustment"</f>
        <v xml:space="preserve">                        Total Depreciation and Amortization, Non-Cash Adjustment</v>
      </c>
      <c r="D20" s="45">
        <f t="shared" si="0"/>
        <v>10793500</v>
      </c>
      <c r="E20" s="45">
        <f t="shared" si="1"/>
        <v>12300357.142857144</v>
      </c>
      <c r="F20" s="45">
        <f t="shared" si="2"/>
        <v>6930000</v>
      </c>
      <c r="G20" s="45">
        <f t="shared" si="3"/>
        <v>38762000</v>
      </c>
      <c r="H20" s="45">
        <f t="shared" si="4"/>
        <v>7625500</v>
      </c>
      <c r="I20" s="45">
        <f t="shared" si="5"/>
        <v>12676500</v>
      </c>
      <c r="J20" s="45">
        <f t="shared" si="6"/>
        <v>8022316.1014677137</v>
      </c>
      <c r="K20" s="46">
        <f t="shared" si="7"/>
        <v>0.65220188392060618</v>
      </c>
      <c r="L20" s="47"/>
      <c r="M20" s="47">
        <v>12051000</v>
      </c>
      <c r="N20" s="47">
        <v>12815000</v>
      </c>
      <c r="O20" s="47">
        <v>14118000</v>
      </c>
      <c r="P20" s="47">
        <v>13669000</v>
      </c>
      <c r="Q20" s="47">
        <v>12261000</v>
      </c>
      <c r="R20" s="47">
        <v>9819000</v>
      </c>
      <c r="S20" s="47">
        <v>7487000</v>
      </c>
      <c r="T20" s="47">
        <v>7238000</v>
      </c>
      <c r="U20" s="47">
        <v>8041000</v>
      </c>
      <c r="V20" s="47">
        <v>38762000</v>
      </c>
      <c r="W20" s="47">
        <v>7427000</v>
      </c>
      <c r="X20" s="47">
        <v>6930000</v>
      </c>
      <c r="Y20" s="47">
        <v>11384000</v>
      </c>
      <c r="Z20" s="47">
        <v>10203000</v>
      </c>
      <c r="AB20" s="30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hidden="1" outlineLevel="5" x14ac:dyDescent="0.25">
      <c r="A21" s="29">
        <v>1</v>
      </c>
      <c r="C21" s="25" t="str">
        <f>"                    Total Depreciation, Amortization and Depletion, Non-Cash Adjustment"</f>
        <v xml:space="preserve">                    Total Depreciation, Amortization and Depletion, Non-Cash Adjustment</v>
      </c>
      <c r="D21" s="45">
        <f t="shared" si="0"/>
        <v>10793500</v>
      </c>
      <c r="E21" s="45">
        <f t="shared" si="1"/>
        <v>12300357.142857144</v>
      </c>
      <c r="F21" s="45">
        <f t="shared" si="2"/>
        <v>6930000</v>
      </c>
      <c r="G21" s="45">
        <f t="shared" si="3"/>
        <v>38762000</v>
      </c>
      <c r="H21" s="45">
        <f t="shared" si="4"/>
        <v>7625500</v>
      </c>
      <c r="I21" s="45">
        <f t="shared" si="5"/>
        <v>12676500</v>
      </c>
      <c r="J21" s="45">
        <f t="shared" si="6"/>
        <v>8022316.1014677137</v>
      </c>
      <c r="K21" s="46">
        <f t="shared" si="7"/>
        <v>0.65220188392060618</v>
      </c>
      <c r="L21" s="47"/>
      <c r="M21" s="47">
        <v>12051000</v>
      </c>
      <c r="N21" s="47">
        <v>12815000</v>
      </c>
      <c r="O21" s="47">
        <v>14118000</v>
      </c>
      <c r="P21" s="47">
        <v>13669000</v>
      </c>
      <c r="Q21" s="47">
        <v>12261000</v>
      </c>
      <c r="R21" s="47">
        <v>9819000</v>
      </c>
      <c r="S21" s="47">
        <v>7487000</v>
      </c>
      <c r="T21" s="47">
        <v>7238000</v>
      </c>
      <c r="U21" s="47">
        <v>8041000</v>
      </c>
      <c r="V21" s="47">
        <v>38762000</v>
      </c>
      <c r="W21" s="47">
        <v>7427000</v>
      </c>
      <c r="X21" s="47">
        <v>6930000</v>
      </c>
      <c r="Y21" s="47">
        <v>11384000</v>
      </c>
      <c r="Z21" s="47">
        <v>10203000</v>
      </c>
      <c r="AB21" s="30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hidden="1" outlineLevel="4" x14ac:dyDescent="0.25">
      <c r="A22" s="29">
        <v>1</v>
      </c>
      <c r="C22" s="24" t="str">
        <f>"                Amortization of Securities, Non-Cash Adjustment"</f>
        <v xml:space="preserve">                Amortization of Securities, Non-Cash Adjustment</v>
      </c>
      <c r="D22" s="32">
        <f t="shared" si="0"/>
        <v>4037000</v>
      </c>
      <c r="E22" s="32">
        <f t="shared" si="1"/>
        <v>4037000</v>
      </c>
      <c r="F22" s="32">
        <f t="shared" si="2"/>
        <v>4037000</v>
      </c>
      <c r="G22" s="32">
        <f t="shared" si="3"/>
        <v>4037000</v>
      </c>
      <c r="H22" s="32">
        <f t="shared" si="4"/>
        <v>4037000</v>
      </c>
      <c r="I22" s="32">
        <f t="shared" si="5"/>
        <v>4037000</v>
      </c>
      <c r="J22" s="32" t="str">
        <f t="shared" si="6"/>
        <v/>
      </c>
      <c r="K22" s="33" t="str">
        <f t="shared" si="7"/>
        <v/>
      </c>
      <c r="L22" s="37"/>
      <c r="M22" s="37" t="s">
        <v>124</v>
      </c>
      <c r="N22" s="37" t="s">
        <v>124</v>
      </c>
      <c r="O22" s="37" t="s">
        <v>124</v>
      </c>
      <c r="P22" s="37" t="s">
        <v>124</v>
      </c>
      <c r="Q22" s="37" t="s">
        <v>124</v>
      </c>
      <c r="R22" s="37" t="s">
        <v>124</v>
      </c>
      <c r="S22" s="37" t="s">
        <v>124</v>
      </c>
      <c r="T22" s="37" t="s">
        <v>124</v>
      </c>
      <c r="U22" s="37" t="s">
        <v>124</v>
      </c>
      <c r="V22" s="37" t="s">
        <v>124</v>
      </c>
      <c r="W22" s="37" t="s">
        <v>124</v>
      </c>
      <c r="X22" s="37" t="s">
        <v>124</v>
      </c>
      <c r="Y22" s="37">
        <v>4037000</v>
      </c>
      <c r="Z22" s="37" t="s">
        <v>124</v>
      </c>
      <c r="AB22" s="30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hidden="1" outlineLevel="4" x14ac:dyDescent="0.25">
      <c r="A23" s="29">
        <v>1</v>
      </c>
      <c r="C23" s="24" t="str">
        <f>"                Pension and Employee Benefit Expense, Non-Cash Adjustment"</f>
        <v xml:space="preserve">                Pension and Employee Benefit Expense, Non-Cash Adjustment</v>
      </c>
      <c r="D23" s="32">
        <f t="shared" si="0"/>
        <v>-619500</v>
      </c>
      <c r="E23" s="32">
        <f t="shared" si="1"/>
        <v>36214.285714285717</v>
      </c>
      <c r="F23" s="32">
        <f t="shared" si="2"/>
        <v>-1605000</v>
      </c>
      <c r="G23" s="32">
        <f t="shared" si="3"/>
        <v>3795000</v>
      </c>
      <c r="H23" s="32">
        <f t="shared" si="4"/>
        <v>-892750</v>
      </c>
      <c r="I23" s="32">
        <f t="shared" si="5"/>
        <v>432250</v>
      </c>
      <c r="J23" s="32">
        <f t="shared" si="6"/>
        <v>1639031.9459303468</v>
      </c>
      <c r="K23" s="33">
        <f t="shared" si="7"/>
        <v>45.259264779141724</v>
      </c>
      <c r="L23" s="37"/>
      <c r="M23" s="37">
        <v>-1605000</v>
      </c>
      <c r="N23" s="37">
        <v>-765000</v>
      </c>
      <c r="O23" s="37">
        <v>-484000</v>
      </c>
      <c r="P23" s="37">
        <v>-1280000</v>
      </c>
      <c r="Q23" s="37">
        <v>-934000</v>
      </c>
      <c r="R23" s="37">
        <v>-769000</v>
      </c>
      <c r="S23" s="37">
        <v>83000</v>
      </c>
      <c r="T23" s="37">
        <v>439000</v>
      </c>
      <c r="U23" s="37">
        <v>638000</v>
      </c>
      <c r="V23" s="37">
        <v>3232000</v>
      </c>
      <c r="W23" s="37">
        <v>-755000</v>
      </c>
      <c r="X23" s="37">
        <v>412000</v>
      </c>
      <c r="Y23" s="37">
        <v>-1500000</v>
      </c>
      <c r="Z23" s="37">
        <v>3795000</v>
      </c>
      <c r="AB23" s="30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hidden="1" outlineLevel="4" x14ac:dyDescent="0.25">
      <c r="A24" s="29">
        <v>1</v>
      </c>
      <c r="C24" s="24" t="str">
        <f>"                Taxes, Non-Cash Adjustment"</f>
        <v xml:space="preserve">                Taxes, Non-Cash Adjustment</v>
      </c>
      <c r="D24" s="32">
        <f t="shared" si="0"/>
        <v>71000</v>
      </c>
      <c r="E24" s="32">
        <f t="shared" si="1"/>
        <v>-1539000</v>
      </c>
      <c r="F24" s="32">
        <f t="shared" si="2"/>
        <v>-35561000</v>
      </c>
      <c r="G24" s="32">
        <f t="shared" si="3"/>
        <v>10880000</v>
      </c>
      <c r="H24" s="32">
        <f t="shared" si="4"/>
        <v>-510000</v>
      </c>
      <c r="I24" s="32">
        <f t="shared" si="5"/>
        <v>1461500</v>
      </c>
      <c r="J24" s="32">
        <f t="shared" si="6"/>
        <v>10277423.786742847</v>
      </c>
      <c r="K24" s="33">
        <f t="shared" si="7"/>
        <v>-6.6779881655249174</v>
      </c>
      <c r="L24" s="37"/>
      <c r="M24" s="37">
        <v>2214000</v>
      </c>
      <c r="N24" s="37">
        <v>925000</v>
      </c>
      <c r="O24" s="37">
        <v>-133000</v>
      </c>
      <c r="P24" s="37">
        <v>-112000</v>
      </c>
      <c r="Q24" s="37">
        <v>10880000</v>
      </c>
      <c r="R24" s="37">
        <v>2228000</v>
      </c>
      <c r="S24" s="37">
        <v>-2046000</v>
      </c>
      <c r="T24" s="37">
        <v>-574000</v>
      </c>
      <c r="U24" s="37">
        <v>1561000</v>
      </c>
      <c r="V24" s="37">
        <v>-35561000</v>
      </c>
      <c r="W24" s="37">
        <v>-318000</v>
      </c>
      <c r="X24" s="37">
        <v>254000</v>
      </c>
      <c r="Y24" s="37">
        <v>-2027000</v>
      </c>
      <c r="Z24" s="37">
        <v>1163000</v>
      </c>
      <c r="AB24" s="30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hidden="1" outlineLevel="4" x14ac:dyDescent="0.25">
      <c r="A25" s="29">
        <v>1</v>
      </c>
      <c r="C25" s="24" t="str">
        <f>"                Interest and Finance (Income)/Expenses, Non-Cash Adjustment"</f>
        <v xml:space="preserve">                Interest and Finance (Income)/Expenses, Non-Cash Adjustment</v>
      </c>
      <c r="D25" s="32">
        <f t="shared" si="0"/>
        <v>147500</v>
      </c>
      <c r="E25" s="32">
        <f t="shared" si="1"/>
        <v>149250</v>
      </c>
      <c r="F25" s="32">
        <f t="shared" si="2"/>
        <v>114000</v>
      </c>
      <c r="G25" s="32">
        <f t="shared" si="3"/>
        <v>188000</v>
      </c>
      <c r="H25" s="32">
        <f t="shared" si="4"/>
        <v>129750</v>
      </c>
      <c r="I25" s="32">
        <f t="shared" si="5"/>
        <v>167000</v>
      </c>
      <c r="J25" s="32">
        <f t="shared" si="6"/>
        <v>31951.786595848855</v>
      </c>
      <c r="K25" s="33">
        <f t="shared" si="7"/>
        <v>0.2140823222502436</v>
      </c>
      <c r="L25" s="37"/>
      <c r="M25" s="37" t="s">
        <v>124</v>
      </c>
      <c r="N25" s="37" t="s">
        <v>124</v>
      </c>
      <c r="O25" s="37" t="s">
        <v>124</v>
      </c>
      <c r="P25" s="37" t="s">
        <v>124</v>
      </c>
      <c r="Q25" s="37" t="s">
        <v>124</v>
      </c>
      <c r="R25" s="37" t="s">
        <v>124</v>
      </c>
      <c r="S25" s="37" t="s">
        <v>124</v>
      </c>
      <c r="T25" s="37" t="s">
        <v>124</v>
      </c>
      <c r="U25" s="37">
        <v>114000</v>
      </c>
      <c r="V25" s="37">
        <v>188000</v>
      </c>
      <c r="W25" s="37">
        <v>160000</v>
      </c>
      <c r="X25" s="37">
        <v>135000</v>
      </c>
      <c r="Y25" s="37" t="s">
        <v>124</v>
      </c>
      <c r="Z25" s="37" t="s">
        <v>124</v>
      </c>
      <c r="AB25" s="30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hidden="1" outlineLevel="4" collapsed="1" x14ac:dyDescent="0.25">
      <c r="A26" s="29">
        <v>1</v>
      </c>
      <c r="C26" s="24" t="str">
        <f>IF(SUBTOTAL(109,A26)=A26,"                Net Investment (Income)/Loss, Non-Cash Adjustment","                Net Investment (Income)/Loss, Non-Cash Adjustment")</f>
        <v xml:space="preserve">                Net Investment (Income)/Loss, Non-Cash Adjustment</v>
      </c>
      <c r="D26" s="32">
        <f t="shared" si="0"/>
        <v>136000</v>
      </c>
      <c r="E26" s="32">
        <f t="shared" si="1"/>
        <v>126615.38461538461</v>
      </c>
      <c r="F26" s="32">
        <f t="shared" si="2"/>
        <v>-1892000</v>
      </c>
      <c r="G26" s="32">
        <f t="shared" si="3"/>
        <v>2371000</v>
      </c>
      <c r="H26" s="32">
        <f t="shared" si="4"/>
        <v>-80000</v>
      </c>
      <c r="I26" s="32">
        <f t="shared" si="5"/>
        <v>500000</v>
      </c>
      <c r="J26" s="32">
        <f t="shared" si="6"/>
        <v>961670.90164823178</v>
      </c>
      <c r="K26" s="33">
        <f t="shared" si="7"/>
        <v>7.5952136825194492</v>
      </c>
      <c r="L26" s="37"/>
      <c r="M26" s="37">
        <f>IF(SUBTOTAL(109,A26)=A26,"",-534000)</f>
        <v>-534000</v>
      </c>
      <c r="N26" s="37">
        <f>IF(SUBTOTAL(109,A26)=A26,"",727000)</f>
        <v>727000</v>
      </c>
      <c r="O26" s="37">
        <f>IF(SUBTOTAL(109,A26)=A26,"",500000)</f>
        <v>500000</v>
      </c>
      <c r="P26" s="37">
        <f>IF(SUBTOTAL(109,A26)=A26,"",27000)</f>
        <v>27000</v>
      </c>
      <c r="Q26" s="37">
        <f>IF(SUBTOTAL(109,A26)=A26,"",-80000)</f>
        <v>-80000</v>
      </c>
      <c r="R26" s="37">
        <f>IF(SUBTOTAL(109,A26)=A26,"",214000)</f>
        <v>214000</v>
      </c>
      <c r="S26" s="37">
        <f>IF(SUBTOTAL(109,A26)=A26,"",661000)</f>
        <v>661000</v>
      </c>
      <c r="T26" s="37">
        <f>IF(SUBTOTAL(109,A26)=A26,"",136000)</f>
        <v>136000</v>
      </c>
      <c r="U26" s="37">
        <f>IF(SUBTOTAL(109,A26)=A26,"",258000)</f>
        <v>258000</v>
      </c>
      <c r="V26" s="37">
        <f>IF(SUBTOTAL(109,A26)=A26,"",-62000)</f>
        <v>-62000</v>
      </c>
      <c r="W26" s="37">
        <f>IF(SUBTOTAL(109,A26)=A26,"",-1892000)</f>
        <v>-1892000</v>
      </c>
      <c r="X26" s="37">
        <f>IF(SUBTOTAL(109,A26)=A26,"",-680000)</f>
        <v>-680000</v>
      </c>
      <c r="Y26" s="37">
        <f>IF(SUBTOTAL(109,A26)=A26,"",2371000)</f>
        <v>2371000</v>
      </c>
      <c r="Z26" s="37" t="str">
        <f>IF(SUBTOTAL(109,A26)=A26,"","")</f>
        <v/>
      </c>
      <c r="AB26" s="3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hidden="1" outlineLevel="5" x14ac:dyDescent="0.25">
      <c r="A27" s="29">
        <v>1</v>
      </c>
      <c r="C27" s="24" t="str">
        <f>"                    Share of (Profit)/Loss from Associates, Joint Ventures and other Equity Investments, Non-Cash Adjustment"</f>
        <v xml:space="preserve">                    Share of (Profit)/Loss from Associates, Joint Ventures and other Equity Investments, Non-Cash Adjustment</v>
      </c>
      <c r="D27" s="32">
        <f t="shared" si="0"/>
        <v>-141000</v>
      </c>
      <c r="E27" s="32">
        <f t="shared" si="1"/>
        <v>-198000</v>
      </c>
      <c r="F27" s="32">
        <f t="shared" si="2"/>
        <v>-1947000</v>
      </c>
      <c r="G27" s="32">
        <f t="shared" si="3"/>
        <v>585000</v>
      </c>
      <c r="H27" s="32">
        <f t="shared" si="4"/>
        <v>-301000</v>
      </c>
      <c r="I27" s="32">
        <f t="shared" si="5"/>
        <v>-15000</v>
      </c>
      <c r="J27" s="32">
        <f t="shared" si="6"/>
        <v>659067.3966547983</v>
      </c>
      <c r="K27" s="33">
        <f t="shared" si="7"/>
        <v>-3.3286232154282742</v>
      </c>
      <c r="L27" s="37"/>
      <c r="M27" s="37">
        <v>-517000</v>
      </c>
      <c r="N27" s="37">
        <v>524000</v>
      </c>
      <c r="O27" s="37">
        <v>585000</v>
      </c>
      <c r="P27" s="37">
        <v>-141000</v>
      </c>
      <c r="Q27" s="37">
        <v>-132000</v>
      </c>
      <c r="R27" s="37">
        <v>-15000</v>
      </c>
      <c r="S27" s="37">
        <v>-145000</v>
      </c>
      <c r="T27" s="37">
        <v>-301000</v>
      </c>
      <c r="U27" s="37">
        <v>-92000</v>
      </c>
      <c r="V27" s="37">
        <v>-179000</v>
      </c>
      <c r="W27" s="37">
        <v>-1947000</v>
      </c>
      <c r="X27" s="37">
        <v>-753000</v>
      </c>
      <c r="Y27" s="37">
        <v>539000</v>
      </c>
      <c r="Z27" s="37" t="s">
        <v>124</v>
      </c>
      <c r="AB27" s="30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hidden="1" outlineLevel="5" x14ac:dyDescent="0.25">
      <c r="A28" s="29">
        <v>1</v>
      </c>
      <c r="C28" s="24" t="str">
        <f>"                    Net Foreign Exchange (Gain)/Loss, Non-Cash Adjustment"</f>
        <v xml:space="preserve">                    Net Foreign Exchange (Gain)/Loss, Non-Cash Adjustment</v>
      </c>
      <c r="D28" s="32">
        <f t="shared" si="0"/>
        <v>203000</v>
      </c>
      <c r="E28" s="32">
        <f t="shared" si="1"/>
        <v>335153.84615384613</v>
      </c>
      <c r="F28" s="32">
        <f t="shared" si="2"/>
        <v>-85000</v>
      </c>
      <c r="G28" s="32">
        <f t="shared" si="3"/>
        <v>1832000</v>
      </c>
      <c r="H28" s="32">
        <f t="shared" si="4"/>
        <v>55000</v>
      </c>
      <c r="I28" s="32">
        <f t="shared" si="5"/>
        <v>350000</v>
      </c>
      <c r="J28" s="32">
        <f t="shared" si="6"/>
        <v>504312.2125155286</v>
      </c>
      <c r="K28" s="33">
        <f t="shared" si="7"/>
        <v>1.5047185592613892</v>
      </c>
      <c r="L28" s="37"/>
      <c r="M28" s="37">
        <v>-17000</v>
      </c>
      <c r="N28" s="37">
        <v>203000</v>
      </c>
      <c r="O28" s="37">
        <v>-85000</v>
      </c>
      <c r="P28" s="37">
        <v>168000</v>
      </c>
      <c r="Q28" s="37">
        <v>52000</v>
      </c>
      <c r="R28" s="37">
        <v>229000</v>
      </c>
      <c r="S28" s="37">
        <v>806000</v>
      </c>
      <c r="T28" s="37">
        <v>437000</v>
      </c>
      <c r="U28" s="37">
        <v>350000</v>
      </c>
      <c r="V28" s="37">
        <v>117000</v>
      </c>
      <c r="W28" s="37">
        <v>55000</v>
      </c>
      <c r="X28" s="37">
        <v>210000</v>
      </c>
      <c r="Y28" s="37">
        <v>1832000</v>
      </c>
      <c r="Z28" s="37" t="s">
        <v>124</v>
      </c>
      <c r="AB28" s="30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hidden="1" outlineLevel="5" x14ac:dyDescent="0.25">
      <c r="A29" s="29">
        <v>1</v>
      </c>
      <c r="C29" s="24" t="str">
        <f>"                    (Gain)/Loss on Other Investments, Non-Cash Adjustment"</f>
        <v xml:space="preserve">                    (Gain)/Loss on Other Investments, Non-Cash Adjustment</v>
      </c>
      <c r="D29" s="32">
        <f t="shared" si="0"/>
        <v>-137000</v>
      </c>
      <c r="E29" s="32">
        <f t="shared" si="1"/>
        <v>-137000</v>
      </c>
      <c r="F29" s="32">
        <f t="shared" si="2"/>
        <v>-137000</v>
      </c>
      <c r="G29" s="32">
        <f t="shared" si="3"/>
        <v>-137000</v>
      </c>
      <c r="H29" s="32">
        <f t="shared" si="4"/>
        <v>-137000</v>
      </c>
      <c r="I29" s="32">
        <f t="shared" si="5"/>
        <v>-137000</v>
      </c>
      <c r="J29" s="32" t="str">
        <f t="shared" si="6"/>
        <v/>
      </c>
      <c r="K29" s="33" t="str">
        <f t="shared" si="7"/>
        <v/>
      </c>
      <c r="L29" s="37"/>
      <c r="M29" s="37" t="s">
        <v>124</v>
      </c>
      <c r="N29" s="37" t="s">
        <v>124</v>
      </c>
      <c r="O29" s="37" t="s">
        <v>124</v>
      </c>
      <c r="P29" s="37" t="s">
        <v>124</v>
      </c>
      <c r="Q29" s="37" t="s">
        <v>124</v>
      </c>
      <c r="R29" s="37" t="s">
        <v>124</v>
      </c>
      <c r="S29" s="37" t="s">
        <v>124</v>
      </c>
      <c r="T29" s="37" t="s">
        <v>124</v>
      </c>
      <c r="U29" s="37" t="s">
        <v>124</v>
      </c>
      <c r="V29" s="37" t="s">
        <v>124</v>
      </c>
      <c r="W29" s="37" t="s">
        <v>124</v>
      </c>
      <c r="X29" s="37">
        <v>-137000</v>
      </c>
      <c r="Y29" s="37" t="s">
        <v>124</v>
      </c>
      <c r="Z29" s="37" t="s">
        <v>124</v>
      </c>
      <c r="AB29" s="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hidden="1" outlineLevel="5" x14ac:dyDescent="0.25">
      <c r="A30" s="29">
        <v>1</v>
      </c>
      <c r="C30" s="25" t="str">
        <f>"                    Total Net Investment (Income)/Loss, Non-Cash Adjustment"</f>
        <v xml:space="preserve">                    Total Net Investment (Income)/Loss, Non-Cash Adjustment</v>
      </c>
      <c r="D30" s="45">
        <f t="shared" si="0"/>
        <v>136000</v>
      </c>
      <c r="E30" s="45">
        <f t="shared" si="1"/>
        <v>126615.38461538461</v>
      </c>
      <c r="F30" s="45">
        <f t="shared" si="2"/>
        <v>-1892000</v>
      </c>
      <c r="G30" s="45">
        <f t="shared" si="3"/>
        <v>2371000</v>
      </c>
      <c r="H30" s="45">
        <f t="shared" si="4"/>
        <v>-80000</v>
      </c>
      <c r="I30" s="45">
        <f t="shared" si="5"/>
        <v>500000</v>
      </c>
      <c r="J30" s="45">
        <f t="shared" si="6"/>
        <v>961670.90164823178</v>
      </c>
      <c r="K30" s="46">
        <f t="shared" si="7"/>
        <v>7.5952136825194492</v>
      </c>
      <c r="L30" s="47"/>
      <c r="M30" s="47">
        <v>-534000</v>
      </c>
      <c r="N30" s="47">
        <v>727000</v>
      </c>
      <c r="O30" s="47">
        <v>500000</v>
      </c>
      <c r="P30" s="47">
        <v>27000</v>
      </c>
      <c r="Q30" s="47">
        <v>-80000</v>
      </c>
      <c r="R30" s="47">
        <v>214000</v>
      </c>
      <c r="S30" s="47">
        <v>661000</v>
      </c>
      <c r="T30" s="47">
        <v>136000</v>
      </c>
      <c r="U30" s="47">
        <v>258000</v>
      </c>
      <c r="V30" s="47">
        <v>-62000</v>
      </c>
      <c r="W30" s="47">
        <v>-1892000</v>
      </c>
      <c r="X30" s="47">
        <v>-680000</v>
      </c>
      <c r="Y30" s="47">
        <v>2371000</v>
      </c>
      <c r="Z30" s="47" t="s">
        <v>124</v>
      </c>
      <c r="AB30" s="30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hidden="1" outlineLevel="4" collapsed="1" x14ac:dyDescent="0.25">
      <c r="A31" s="29">
        <v>1</v>
      </c>
      <c r="C31" s="24" t="str">
        <f>IF(SUBTOTAL(109,A31)=A31,"                Irregular (Income)/Loss, Non-Cash Adjustment","                Irregular (Income)/Loss, Non-Cash Adjustment")</f>
        <v xml:space="preserve">                Irregular (Income)/Loss, Non-Cash Adjustment</v>
      </c>
      <c r="D31" s="32">
        <f t="shared" si="0"/>
        <v>212000</v>
      </c>
      <c r="E31" s="32">
        <f t="shared" si="1"/>
        <v>1420714.2857142857</v>
      </c>
      <c r="F31" s="32">
        <f t="shared" si="2"/>
        <v>-202000</v>
      </c>
      <c r="G31" s="32">
        <f t="shared" si="3"/>
        <v>8710000</v>
      </c>
      <c r="H31" s="32">
        <f t="shared" si="4"/>
        <v>-107000</v>
      </c>
      <c r="I31" s="32">
        <f t="shared" si="5"/>
        <v>719500</v>
      </c>
      <c r="J31" s="32">
        <f t="shared" si="6"/>
        <v>3248994.8555558799</v>
      </c>
      <c r="K31" s="33">
        <f t="shared" si="7"/>
        <v>2.2868742070277688</v>
      </c>
      <c r="L31" s="37"/>
      <c r="M31" s="37" t="str">
        <f>IF(SUBTOTAL(109,A31)=A31,"","")</f>
        <v/>
      </c>
      <c r="N31" s="37" t="str">
        <f>IF(SUBTOTAL(109,A31)=A31,"","")</f>
        <v/>
      </c>
      <c r="O31" s="37" t="str">
        <f>IF(SUBTOTAL(109,A31)=A31,"","")</f>
        <v/>
      </c>
      <c r="P31" s="37" t="str">
        <f>IF(SUBTOTAL(109,A31)=A31,"","")</f>
        <v/>
      </c>
      <c r="Q31" s="37" t="str">
        <f>IF(SUBTOTAL(109,A31)=A31,"","")</f>
        <v/>
      </c>
      <c r="R31" s="37" t="str">
        <f>IF(SUBTOTAL(109,A31)=A31,"","")</f>
        <v/>
      </c>
      <c r="S31" s="37" t="str">
        <f>IF(SUBTOTAL(109,A31)=A31,"","")</f>
        <v/>
      </c>
      <c r="T31" s="37">
        <f>IF(SUBTOTAL(109,A31)=A31,"",-202000)</f>
        <v>-202000</v>
      </c>
      <c r="U31" s="37">
        <f>IF(SUBTOTAL(109,A31)=A31,"",212000)</f>
        <v>212000</v>
      </c>
      <c r="V31" s="37">
        <f>IF(SUBTOTAL(109,A31)=A31,"",250000)</f>
        <v>250000</v>
      </c>
      <c r="W31" s="37">
        <f>IF(SUBTOTAL(109,A31)=A31,"",-18000)</f>
        <v>-18000</v>
      </c>
      <c r="X31" s="37">
        <f>IF(SUBTOTAL(109,A31)=A31,"",-196000)</f>
        <v>-196000</v>
      </c>
      <c r="Y31" s="37">
        <f>IF(SUBTOTAL(109,A31)=A31,"",1189000)</f>
        <v>1189000</v>
      </c>
      <c r="Z31" s="37">
        <f>IF(SUBTOTAL(109,A31)=A31,"",8710000)</f>
        <v>8710000</v>
      </c>
      <c r="AB31" s="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hidden="1" outlineLevel="5" x14ac:dyDescent="0.25">
      <c r="A32" s="29">
        <v>1</v>
      </c>
      <c r="C32" s="24" t="str">
        <f>"                    Impairment/Write Off/Write Down of Capital Assets Loss/Reversal, Non-Cash Adjustment"</f>
        <v xml:space="preserve">                    Impairment/Write Off/Write Down of Capital Assets Loss/Reversal, Non-Cash Adjustment</v>
      </c>
      <c r="D32" s="32">
        <f t="shared" si="0"/>
        <v>8710000</v>
      </c>
      <c r="E32" s="32">
        <f t="shared" si="1"/>
        <v>8710000</v>
      </c>
      <c r="F32" s="32">
        <f t="shared" si="2"/>
        <v>8710000</v>
      </c>
      <c r="G32" s="32">
        <f t="shared" si="3"/>
        <v>8710000</v>
      </c>
      <c r="H32" s="32">
        <f t="shared" si="4"/>
        <v>8710000</v>
      </c>
      <c r="I32" s="32">
        <f t="shared" si="5"/>
        <v>8710000</v>
      </c>
      <c r="J32" s="32" t="str">
        <f t="shared" si="6"/>
        <v/>
      </c>
      <c r="K32" s="33" t="str">
        <f t="shared" si="7"/>
        <v/>
      </c>
      <c r="L32" s="37"/>
      <c r="M32" s="37" t="s">
        <v>124</v>
      </c>
      <c r="N32" s="37" t="s">
        <v>124</v>
      </c>
      <c r="O32" s="37" t="s">
        <v>124</v>
      </c>
      <c r="P32" s="37" t="s">
        <v>124</v>
      </c>
      <c r="Q32" s="37" t="s">
        <v>124</v>
      </c>
      <c r="R32" s="37" t="s">
        <v>124</v>
      </c>
      <c r="S32" s="37" t="s">
        <v>124</v>
      </c>
      <c r="T32" s="37" t="s">
        <v>124</v>
      </c>
      <c r="U32" s="37" t="s">
        <v>124</v>
      </c>
      <c r="V32" s="37" t="s">
        <v>124</v>
      </c>
      <c r="W32" s="37" t="s">
        <v>124</v>
      </c>
      <c r="X32" s="37" t="s">
        <v>124</v>
      </c>
      <c r="Y32" s="37" t="s">
        <v>124</v>
      </c>
      <c r="Z32" s="37">
        <v>8710000</v>
      </c>
      <c r="AB32" s="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hidden="1" outlineLevel="5" x14ac:dyDescent="0.25">
      <c r="A33" s="29">
        <v>1</v>
      </c>
      <c r="C33" s="24" t="str">
        <f>"                    (Gain)/Loss on Extinguishment of Debt, Non-Cash Adjustment"</f>
        <v xml:space="preserve">                    (Gain)/Loss on Extinguishment of Debt, Non-Cash Adjustment</v>
      </c>
      <c r="D33" s="32">
        <f t="shared" si="0"/>
        <v>97000</v>
      </c>
      <c r="E33" s="32">
        <f t="shared" si="1"/>
        <v>205833.33333333334</v>
      </c>
      <c r="F33" s="32">
        <f t="shared" si="2"/>
        <v>-202000</v>
      </c>
      <c r="G33" s="32">
        <f t="shared" si="3"/>
        <v>1189000</v>
      </c>
      <c r="H33" s="32">
        <f t="shared" si="4"/>
        <v>-151500</v>
      </c>
      <c r="I33" s="32">
        <f t="shared" si="5"/>
        <v>240500</v>
      </c>
      <c r="J33" s="32">
        <f t="shared" si="6"/>
        <v>518942.16119589534</v>
      </c>
      <c r="K33" s="33">
        <f t="shared" si="7"/>
        <v>2.5211764916399773</v>
      </c>
      <c r="L33" s="37"/>
      <c r="M33" s="37" t="s">
        <v>124</v>
      </c>
      <c r="N33" s="37" t="s">
        <v>124</v>
      </c>
      <c r="O33" s="37" t="s">
        <v>124</v>
      </c>
      <c r="P33" s="37" t="s">
        <v>124</v>
      </c>
      <c r="Q33" s="37" t="s">
        <v>124</v>
      </c>
      <c r="R33" s="37" t="s">
        <v>124</v>
      </c>
      <c r="S33" s="37" t="s">
        <v>124</v>
      </c>
      <c r="T33" s="37">
        <v>-202000</v>
      </c>
      <c r="U33" s="37">
        <v>212000</v>
      </c>
      <c r="V33" s="37">
        <v>250000</v>
      </c>
      <c r="W33" s="37">
        <v>-18000</v>
      </c>
      <c r="X33" s="37">
        <v>-196000</v>
      </c>
      <c r="Y33" s="37">
        <v>1189000</v>
      </c>
      <c r="Z33" s="37" t="s">
        <v>124</v>
      </c>
      <c r="AB33" s="30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hidden="1" outlineLevel="5" x14ac:dyDescent="0.25">
      <c r="A34" s="29">
        <v>1</v>
      </c>
      <c r="C34" s="25" t="str">
        <f>"                    Total Irregular (Income)/Loss, Non-Cash Adjustment"</f>
        <v xml:space="preserve">                    Total Irregular (Income)/Loss, Non-Cash Adjustment</v>
      </c>
      <c r="D34" s="45">
        <f t="shared" si="0"/>
        <v>212000</v>
      </c>
      <c r="E34" s="45">
        <f t="shared" si="1"/>
        <v>1420714.2857142857</v>
      </c>
      <c r="F34" s="45">
        <f t="shared" si="2"/>
        <v>-202000</v>
      </c>
      <c r="G34" s="45">
        <f t="shared" si="3"/>
        <v>8710000</v>
      </c>
      <c r="H34" s="45">
        <f t="shared" si="4"/>
        <v>-107000</v>
      </c>
      <c r="I34" s="45">
        <f t="shared" si="5"/>
        <v>719500</v>
      </c>
      <c r="J34" s="45">
        <f t="shared" si="6"/>
        <v>3248994.8555558799</v>
      </c>
      <c r="K34" s="46">
        <f t="shared" si="7"/>
        <v>2.2868742070277688</v>
      </c>
      <c r="L34" s="47"/>
      <c r="M34" s="47" t="s">
        <v>124</v>
      </c>
      <c r="N34" s="47" t="s">
        <v>124</v>
      </c>
      <c r="O34" s="47" t="s">
        <v>124</v>
      </c>
      <c r="P34" s="47" t="s">
        <v>124</v>
      </c>
      <c r="Q34" s="47" t="s">
        <v>124</v>
      </c>
      <c r="R34" s="47" t="s">
        <v>124</v>
      </c>
      <c r="S34" s="47" t="s">
        <v>124</v>
      </c>
      <c r="T34" s="47">
        <v>-202000</v>
      </c>
      <c r="U34" s="47">
        <v>212000</v>
      </c>
      <c r="V34" s="47">
        <v>250000</v>
      </c>
      <c r="W34" s="47">
        <v>-18000</v>
      </c>
      <c r="X34" s="47">
        <v>-196000</v>
      </c>
      <c r="Y34" s="47">
        <v>1189000</v>
      </c>
      <c r="Z34" s="47">
        <v>8710000</v>
      </c>
      <c r="AB34" s="30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hidden="1" outlineLevel="4" x14ac:dyDescent="0.25">
      <c r="A35" s="29">
        <v>1</v>
      </c>
      <c r="C35" s="24" t="str">
        <f>"                Other Operating (Gain)/Loss, Non-Cash Adjustment"</f>
        <v xml:space="preserve">                Other Operating (Gain)/Loss, Non-Cash Adjustment</v>
      </c>
      <c r="D35" s="32">
        <f t="shared" si="0"/>
        <v>-130621000</v>
      </c>
      <c r="E35" s="32">
        <f t="shared" si="1"/>
        <v>-130621000</v>
      </c>
      <c r="F35" s="32">
        <f t="shared" si="2"/>
        <v>-130621000</v>
      </c>
      <c r="G35" s="32">
        <f t="shared" si="3"/>
        <v>-130621000</v>
      </c>
      <c r="H35" s="32">
        <f t="shared" si="4"/>
        <v>-130621000</v>
      </c>
      <c r="I35" s="32">
        <f t="shared" si="5"/>
        <v>-130621000</v>
      </c>
      <c r="J35" s="32" t="str">
        <f t="shared" si="6"/>
        <v/>
      </c>
      <c r="K35" s="33" t="str">
        <f t="shared" si="7"/>
        <v/>
      </c>
      <c r="L35" s="37"/>
      <c r="M35" s="37" t="s">
        <v>124</v>
      </c>
      <c r="N35" s="37" t="s">
        <v>124</v>
      </c>
      <c r="O35" s="37" t="s">
        <v>124</v>
      </c>
      <c r="P35" s="37" t="s">
        <v>124</v>
      </c>
      <c r="Q35" s="37" t="s">
        <v>124</v>
      </c>
      <c r="R35" s="37" t="s">
        <v>124</v>
      </c>
      <c r="S35" s="37" t="s">
        <v>124</v>
      </c>
      <c r="T35" s="37" t="s">
        <v>124</v>
      </c>
      <c r="U35" s="37" t="s">
        <v>124</v>
      </c>
      <c r="V35" s="37" t="s">
        <v>124</v>
      </c>
      <c r="W35" s="37" t="s">
        <v>124</v>
      </c>
      <c r="X35" s="37" t="s">
        <v>124</v>
      </c>
      <c r="Y35" s="37">
        <v>-130621000</v>
      </c>
      <c r="Z35" s="37" t="s">
        <v>124</v>
      </c>
      <c r="AB35" s="30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hidden="1" outlineLevel="4" x14ac:dyDescent="0.25">
      <c r="A36" s="29">
        <v>1</v>
      </c>
      <c r="C36" s="24" t="str">
        <f>"                Other Non-Cash Items"</f>
        <v xml:space="preserve">                Other Non-Cash Items</v>
      </c>
      <c r="D36" s="32">
        <f t="shared" si="0"/>
        <v>-1526500</v>
      </c>
      <c r="E36" s="32">
        <f t="shared" si="1"/>
        <v>-1526500</v>
      </c>
      <c r="F36" s="32">
        <f t="shared" si="2"/>
        <v>-2621000</v>
      </c>
      <c r="G36" s="32">
        <f t="shared" si="3"/>
        <v>-432000</v>
      </c>
      <c r="H36" s="32">
        <f t="shared" si="4"/>
        <v>-2073750</v>
      </c>
      <c r="I36" s="32">
        <f t="shared" si="5"/>
        <v>-979250</v>
      </c>
      <c r="J36" s="32">
        <f t="shared" si="6"/>
        <v>1547856.7440173526</v>
      </c>
      <c r="K36" s="33">
        <f t="shared" si="7"/>
        <v>-1.0139906610005585</v>
      </c>
      <c r="L36" s="37"/>
      <c r="M36" s="37" t="s">
        <v>124</v>
      </c>
      <c r="N36" s="37" t="s">
        <v>124</v>
      </c>
      <c r="O36" s="37" t="s">
        <v>124</v>
      </c>
      <c r="P36" s="37" t="s">
        <v>124</v>
      </c>
      <c r="Q36" s="37" t="s">
        <v>124</v>
      </c>
      <c r="R36" s="37" t="s">
        <v>124</v>
      </c>
      <c r="S36" s="37" t="s">
        <v>124</v>
      </c>
      <c r="T36" s="37" t="s">
        <v>124</v>
      </c>
      <c r="U36" s="37" t="s">
        <v>124</v>
      </c>
      <c r="V36" s="37" t="s">
        <v>124</v>
      </c>
      <c r="W36" s="37" t="s">
        <v>124</v>
      </c>
      <c r="X36" s="37" t="s">
        <v>124</v>
      </c>
      <c r="Y36" s="37">
        <v>-432000</v>
      </c>
      <c r="Z36" s="37">
        <v>-2621000</v>
      </c>
      <c r="AB36" s="30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hidden="1" outlineLevel="4" x14ac:dyDescent="0.25">
      <c r="A37" s="29">
        <v>1</v>
      </c>
      <c r="C37" s="25" t="str">
        <f>"                Total Adjustments for Non-Cash Items"</f>
        <v xml:space="preserve">                Total Adjustments for Non-Cash Items</v>
      </c>
      <c r="D37" s="45">
        <f t="shared" si="0"/>
        <v>11158000</v>
      </c>
      <c r="E37" s="45">
        <f t="shared" si="1"/>
        <v>2408357.1428571427</v>
      </c>
      <c r="F37" s="45">
        <f t="shared" si="2"/>
        <v>-115599000</v>
      </c>
      <c r="G37" s="45">
        <f t="shared" si="3"/>
        <v>22127000</v>
      </c>
      <c r="H37" s="45">
        <f t="shared" si="4"/>
        <v>6820500</v>
      </c>
      <c r="I37" s="45">
        <f t="shared" si="5"/>
        <v>13352500</v>
      </c>
      <c r="J37" s="45">
        <f t="shared" si="6"/>
        <v>34369981.205892541</v>
      </c>
      <c r="K37" s="46">
        <f t="shared" si="7"/>
        <v>14.27113138424224</v>
      </c>
      <c r="L37" s="47"/>
      <c r="M37" s="47">
        <v>12126000</v>
      </c>
      <c r="N37" s="47">
        <v>13702000</v>
      </c>
      <c r="O37" s="47">
        <v>14001000</v>
      </c>
      <c r="P37" s="47">
        <v>12304000</v>
      </c>
      <c r="Q37" s="47">
        <v>22127000</v>
      </c>
      <c r="R37" s="47">
        <v>11492000</v>
      </c>
      <c r="S37" s="47">
        <v>6185000</v>
      </c>
      <c r="T37" s="47">
        <v>7037000</v>
      </c>
      <c r="U37" s="47">
        <v>10824000</v>
      </c>
      <c r="V37" s="47">
        <v>6809000</v>
      </c>
      <c r="W37" s="47">
        <v>4604000</v>
      </c>
      <c r="X37" s="47">
        <v>6855000</v>
      </c>
      <c r="Y37" s="47">
        <v>-115599000</v>
      </c>
      <c r="Z37" s="47">
        <v>21250000</v>
      </c>
      <c r="AB37" s="30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hidden="1" outlineLevel="3" collapsed="1" x14ac:dyDescent="0.25">
      <c r="A38" s="29">
        <v>1</v>
      </c>
      <c r="C38" s="24" t="str">
        <f>IF(SUBTOTAL(109,A38)=A38,"            Changes in Operating Capital","            Changes in Operating Capital")</f>
        <v xml:space="preserve">            Changes in Operating Capital</v>
      </c>
      <c r="D38" s="32">
        <f t="shared" si="0"/>
        <v>-1267000</v>
      </c>
      <c r="E38" s="32">
        <f t="shared" si="1"/>
        <v>-1776642.857142857</v>
      </c>
      <c r="F38" s="32">
        <f t="shared" si="2"/>
        <v>-6857000</v>
      </c>
      <c r="G38" s="32">
        <f t="shared" si="3"/>
        <v>630000</v>
      </c>
      <c r="H38" s="32">
        <f t="shared" si="4"/>
        <v>-3278250</v>
      </c>
      <c r="I38" s="32">
        <f t="shared" si="5"/>
        <v>-29250</v>
      </c>
      <c r="J38" s="32">
        <f t="shared" si="6"/>
        <v>2176836.3638420445</v>
      </c>
      <c r="K38" s="33">
        <f t="shared" si="7"/>
        <v>-1.2252526471993175</v>
      </c>
      <c r="L38" s="37"/>
      <c r="M38" s="37">
        <f>IF(SUBTOTAL(109,A38)=A38,"",-3366000)</f>
        <v>-3366000</v>
      </c>
      <c r="N38" s="37">
        <f>IF(SUBTOTAL(109,A38)=A38,"",-399000)</f>
        <v>-399000</v>
      </c>
      <c r="O38" s="37">
        <f>IF(SUBTOTAL(109,A38)=A38,"",-3789000)</f>
        <v>-3789000</v>
      </c>
      <c r="P38" s="37">
        <f>IF(SUBTOTAL(109,A38)=A38,"",-1376000)</f>
        <v>-1376000</v>
      </c>
      <c r="Q38" s="37">
        <f>IF(SUBTOTAL(109,A38)=A38,"",-3015000)</f>
        <v>-3015000</v>
      </c>
      <c r="R38" s="37">
        <f>IF(SUBTOTAL(109,A38)=A38,"",580000)</f>
        <v>580000</v>
      </c>
      <c r="S38" s="37">
        <f>IF(SUBTOTAL(109,A38)=A38,"",-1208000)</f>
        <v>-1208000</v>
      </c>
      <c r="T38" s="37">
        <f>IF(SUBTOTAL(109,A38)=A38,"",247000)</f>
        <v>247000</v>
      </c>
      <c r="U38" s="37">
        <f>IF(SUBTOTAL(109,A38)=A38,"",-1326000)</f>
        <v>-1326000</v>
      </c>
      <c r="V38" s="37">
        <f>IF(SUBTOTAL(109,A38)=A38,"",630000)</f>
        <v>630000</v>
      </c>
      <c r="W38" s="37">
        <f>IF(SUBTOTAL(109,A38)=A38,"",-4122000)</f>
        <v>-4122000</v>
      </c>
      <c r="X38" s="37">
        <f>IF(SUBTOTAL(109,A38)=A38,"",-966000)</f>
        <v>-966000</v>
      </c>
      <c r="Y38" s="37">
        <f>IF(SUBTOTAL(109,A38)=A38,"",-6857000)</f>
        <v>-6857000</v>
      </c>
      <c r="Z38" s="37">
        <f>IF(SUBTOTAL(109,A38)=A38,"",94000)</f>
        <v>94000</v>
      </c>
      <c r="AB38" s="30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hidden="1" outlineLevel="4" x14ac:dyDescent="0.25">
      <c r="A39" s="29">
        <v>1</v>
      </c>
      <c r="C39" s="24" t="str">
        <f>"                Change in Inventories"</f>
        <v xml:space="preserve">                Change in Inventories</v>
      </c>
      <c r="D39" s="32">
        <f t="shared" si="0"/>
        <v>-206500</v>
      </c>
      <c r="E39" s="32">
        <f t="shared" si="1"/>
        <v>-482785.71428571426</v>
      </c>
      <c r="F39" s="32">
        <f t="shared" si="2"/>
        <v>-3155000</v>
      </c>
      <c r="G39" s="32">
        <f t="shared" si="3"/>
        <v>3194000</v>
      </c>
      <c r="H39" s="32">
        <f t="shared" si="4"/>
        <v>-1097000</v>
      </c>
      <c r="I39" s="32">
        <f t="shared" si="5"/>
        <v>72500</v>
      </c>
      <c r="J39" s="32">
        <f t="shared" si="6"/>
        <v>1571372.8529082914</v>
      </c>
      <c r="K39" s="33">
        <f t="shared" si="7"/>
        <v>-3.2548039563124842</v>
      </c>
      <c r="L39" s="37"/>
      <c r="M39" s="37">
        <v>-3155000</v>
      </c>
      <c r="N39" s="37">
        <v>-104000</v>
      </c>
      <c r="O39" s="37">
        <v>-761000</v>
      </c>
      <c r="P39" s="37">
        <v>399000</v>
      </c>
      <c r="Q39" s="37">
        <v>440000</v>
      </c>
      <c r="R39" s="37">
        <v>-75000</v>
      </c>
      <c r="S39" s="37">
        <v>-1209000</v>
      </c>
      <c r="T39" s="37">
        <v>-309000</v>
      </c>
      <c r="U39" s="37">
        <v>59000</v>
      </c>
      <c r="V39" s="37">
        <v>-326000</v>
      </c>
      <c r="W39" s="37">
        <v>-2760000</v>
      </c>
      <c r="X39" s="37">
        <v>-2229000</v>
      </c>
      <c r="Y39" s="37">
        <v>3194000</v>
      </c>
      <c r="Z39" s="37">
        <v>77000</v>
      </c>
      <c r="AB39" s="30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hidden="1" outlineLevel="4" collapsed="1" x14ac:dyDescent="0.25">
      <c r="A40" s="29">
        <v>1</v>
      </c>
      <c r="C40" s="24" t="str">
        <f>IF(SUBTOTAL(109,A40)=A40,"                Change in Trade and Other Receivables","                Change in Trade and Other Receivables")</f>
        <v xml:space="preserve">                Change in Trade and Other Receivables</v>
      </c>
      <c r="D40" s="32">
        <f t="shared" si="0"/>
        <v>-550500</v>
      </c>
      <c r="E40" s="32">
        <f t="shared" si="1"/>
        <v>-459714.28571428574</v>
      </c>
      <c r="F40" s="32">
        <f t="shared" si="2"/>
        <v>-3433000</v>
      </c>
      <c r="G40" s="32">
        <f t="shared" si="3"/>
        <v>3347000</v>
      </c>
      <c r="H40" s="32">
        <f t="shared" si="4"/>
        <v>-1388000</v>
      </c>
      <c r="I40" s="32">
        <f t="shared" si="5"/>
        <v>319000</v>
      </c>
      <c r="J40" s="32">
        <f t="shared" si="6"/>
        <v>1822665.1841812236</v>
      </c>
      <c r="K40" s="33">
        <f t="shared" si="7"/>
        <v>-3.9647782129485907</v>
      </c>
      <c r="L40" s="37"/>
      <c r="M40" s="37">
        <f>IF(SUBTOTAL(109,A40)=A40,"",3347000)</f>
        <v>3347000</v>
      </c>
      <c r="N40" s="37">
        <f>IF(SUBTOTAL(109,A40)=A40,"",1403000)</f>
        <v>1403000</v>
      </c>
      <c r="O40" s="37">
        <f>IF(SUBTOTAL(109,A40)=A40,"",100000)</f>
        <v>100000</v>
      </c>
      <c r="P40" s="37">
        <f>IF(SUBTOTAL(109,A40)=A40,"",-2114000)</f>
        <v>-2114000</v>
      </c>
      <c r="Q40" s="37">
        <f>IF(SUBTOTAL(109,A40)=A40,"",-697000)</f>
        <v>-697000</v>
      </c>
      <c r="R40" s="37">
        <f>IF(SUBTOTAL(109,A40)=A40,"",-3433000)</f>
        <v>-3433000</v>
      </c>
      <c r="S40" s="37">
        <f>IF(SUBTOTAL(109,A40)=A40,"",-836000)</f>
        <v>-836000</v>
      </c>
      <c r="T40" s="37">
        <f>IF(SUBTOTAL(109,A40)=A40,"",-3248000)</f>
        <v>-3248000</v>
      </c>
      <c r="U40" s="37">
        <f>IF(SUBTOTAL(109,A40)=A40,"",8000)</f>
        <v>8000</v>
      </c>
      <c r="V40" s="37">
        <f>IF(SUBTOTAL(109,A40)=A40,"",-460000)</f>
        <v>-460000</v>
      </c>
      <c r="W40" s="37">
        <f>IF(SUBTOTAL(109,A40)=A40,"",-1572000)</f>
        <v>-1572000</v>
      </c>
      <c r="X40" s="37">
        <f>IF(SUBTOTAL(109,A40)=A40,"",-641000)</f>
        <v>-641000</v>
      </c>
      <c r="Y40" s="37">
        <f>IF(SUBTOTAL(109,A40)=A40,"",392000)</f>
        <v>392000</v>
      </c>
      <c r="Z40" s="37">
        <f>IF(SUBTOTAL(109,A40)=A40,"",1315000)</f>
        <v>1315000</v>
      </c>
      <c r="AB40" s="30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hidden="1" outlineLevel="5" x14ac:dyDescent="0.25">
      <c r="A41" s="29">
        <v>1</v>
      </c>
      <c r="C41" s="24" t="str">
        <f>"                    Change in Trade/Accounts Receivable"</f>
        <v xml:space="preserve">                    Change in Trade/Accounts Receivable</v>
      </c>
      <c r="D41" s="32">
        <f t="shared" si="0"/>
        <v>-238000</v>
      </c>
      <c r="E41" s="32">
        <f t="shared" si="1"/>
        <v>-213428.57142857142</v>
      </c>
      <c r="F41" s="32">
        <f t="shared" si="2"/>
        <v>-1572000</v>
      </c>
      <c r="G41" s="32">
        <f t="shared" si="3"/>
        <v>1402000</v>
      </c>
      <c r="H41" s="32">
        <f t="shared" si="4"/>
        <v>-1096250</v>
      </c>
      <c r="I41" s="32">
        <f t="shared" si="5"/>
        <v>467000</v>
      </c>
      <c r="J41" s="32">
        <f t="shared" si="6"/>
        <v>961674.07834828994</v>
      </c>
      <c r="K41" s="33">
        <f t="shared" si="7"/>
        <v>-4.5058357084591902</v>
      </c>
      <c r="L41" s="37"/>
      <c r="M41" s="37">
        <v>493000</v>
      </c>
      <c r="N41" s="37">
        <v>-1341000</v>
      </c>
      <c r="O41" s="37">
        <v>-563000</v>
      </c>
      <c r="P41" s="37">
        <v>492000</v>
      </c>
      <c r="Q41" s="37">
        <v>1402000</v>
      </c>
      <c r="R41" s="37">
        <v>-1249000</v>
      </c>
      <c r="S41" s="37">
        <v>-16000</v>
      </c>
      <c r="T41" s="37">
        <v>-1248000</v>
      </c>
      <c r="U41" s="37">
        <v>8000</v>
      </c>
      <c r="V41" s="37">
        <v>-460000</v>
      </c>
      <c r="W41" s="37">
        <v>-1572000</v>
      </c>
      <c r="X41" s="37">
        <v>-641000</v>
      </c>
      <c r="Y41" s="37">
        <v>392000</v>
      </c>
      <c r="Z41" s="37">
        <v>1315000</v>
      </c>
      <c r="AB41" s="30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hidden="1" outlineLevel="5" x14ac:dyDescent="0.25">
      <c r="A42" s="29">
        <v>1</v>
      </c>
      <c r="C42" s="24" t="str">
        <f>"                    Change in Other Receivables"</f>
        <v xml:space="preserve">                    Change in Other Receivables</v>
      </c>
      <c r="D42" s="32">
        <f t="shared" si="0"/>
        <v>-410000</v>
      </c>
      <c r="E42" s="32">
        <f t="shared" si="1"/>
        <v>-344800</v>
      </c>
      <c r="F42" s="32">
        <f t="shared" si="2"/>
        <v>-2606000</v>
      </c>
      <c r="G42" s="32">
        <f t="shared" si="3"/>
        <v>2854000</v>
      </c>
      <c r="H42" s="32">
        <f t="shared" si="4"/>
        <v>-2074250</v>
      </c>
      <c r="I42" s="32">
        <f t="shared" si="5"/>
        <v>497250</v>
      </c>
      <c r="J42" s="32">
        <f t="shared" si="6"/>
        <v>1987875.5717823207</v>
      </c>
      <c r="K42" s="33">
        <f t="shared" si="7"/>
        <v>-5.7653003821993059</v>
      </c>
      <c r="L42" s="37"/>
      <c r="M42" s="37">
        <v>2854000</v>
      </c>
      <c r="N42" s="37">
        <v>2744000</v>
      </c>
      <c r="O42" s="37">
        <v>663000</v>
      </c>
      <c r="P42" s="37">
        <v>-2606000</v>
      </c>
      <c r="Q42" s="37">
        <v>-2099000</v>
      </c>
      <c r="R42" s="37">
        <v>-2184000</v>
      </c>
      <c r="S42" s="37">
        <v>-820000</v>
      </c>
      <c r="T42" s="37">
        <v>-2000000</v>
      </c>
      <c r="U42" s="37">
        <v>0</v>
      </c>
      <c r="V42" s="37">
        <v>0</v>
      </c>
      <c r="W42" s="37" t="s">
        <v>124</v>
      </c>
      <c r="X42" s="37" t="s">
        <v>124</v>
      </c>
      <c r="Y42" s="37" t="s">
        <v>124</v>
      </c>
      <c r="Z42" s="37" t="s">
        <v>124</v>
      </c>
      <c r="AB42" s="30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hidden="1" outlineLevel="5" x14ac:dyDescent="0.25">
      <c r="A43" s="29">
        <v>1</v>
      </c>
      <c r="C43" s="25" t="str">
        <f>"                    Total Change in Trade and Other Receivables"</f>
        <v xml:space="preserve">                    Total Change in Trade and Other Receivables</v>
      </c>
      <c r="D43" s="45">
        <f t="shared" ref="D43:D74" si="8">IF(COUNT(M43:Z43)&gt;0,MEDIAN(M43:Z43),"")</f>
        <v>-550500</v>
      </c>
      <c r="E43" s="45">
        <f t="shared" ref="E43:E74" si="9">IF(COUNT(M43:Z43)&gt;0,AVERAGE(M43:Z43),"")</f>
        <v>-459714.28571428574</v>
      </c>
      <c r="F43" s="45">
        <f t="shared" ref="F43:F74" si="10">IF(COUNT(M43:Z43)&gt;0,MIN(M43:Z43),"")</f>
        <v>-3433000</v>
      </c>
      <c r="G43" s="45">
        <f t="shared" ref="G43:G74" si="11">IF(COUNT(M43:Z43)&gt;0,MAX(M43:Z43),"")</f>
        <v>3347000</v>
      </c>
      <c r="H43" s="45">
        <f t="shared" ref="H43:H74" si="12">IF(COUNT(M43:Z43)&gt;0,QUARTILE(M43:Z43,1),"")</f>
        <v>-1388000</v>
      </c>
      <c r="I43" s="45">
        <f t="shared" ref="I43:I74" si="13">IF(COUNT(M43:Z43)&gt;0,QUARTILE(M43:Z43,3),"")</f>
        <v>319000</v>
      </c>
      <c r="J43" s="45">
        <f t="shared" ref="J43:J74" si="14">IF(COUNT(M43:Z43)&gt;1,STDEV(M43:Z43),"")</f>
        <v>1822665.1841812236</v>
      </c>
      <c r="K43" s="46">
        <f t="shared" ref="K43:K74" si="15">IF(COUNT(M43:Z43)&gt;1,STDEV(M43:Z43)/AVERAGE(M43:Z43),"")</f>
        <v>-3.9647782129485907</v>
      </c>
      <c r="L43" s="47"/>
      <c r="M43" s="47">
        <v>3347000</v>
      </c>
      <c r="N43" s="47">
        <v>1403000</v>
      </c>
      <c r="O43" s="47">
        <v>100000</v>
      </c>
      <c r="P43" s="47">
        <v>-2114000</v>
      </c>
      <c r="Q43" s="47">
        <v>-697000</v>
      </c>
      <c r="R43" s="47">
        <v>-3433000</v>
      </c>
      <c r="S43" s="47">
        <v>-836000</v>
      </c>
      <c r="T43" s="47">
        <v>-3248000</v>
      </c>
      <c r="U43" s="47">
        <v>8000</v>
      </c>
      <c r="V43" s="47">
        <v>-460000</v>
      </c>
      <c r="W43" s="47">
        <v>-1572000</v>
      </c>
      <c r="X43" s="47">
        <v>-641000</v>
      </c>
      <c r="Y43" s="47">
        <v>392000</v>
      </c>
      <c r="Z43" s="47">
        <v>1315000</v>
      </c>
      <c r="AB43" s="30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hidden="1" outlineLevel="4" x14ac:dyDescent="0.25">
      <c r="A44" s="29">
        <v>1</v>
      </c>
      <c r="C44" s="24" t="str">
        <f>"                Change in Prepayments and Deposits"</f>
        <v xml:space="preserve">                Change in Prepayments and Deposits</v>
      </c>
      <c r="D44" s="32">
        <f t="shared" si="8"/>
        <v>304000</v>
      </c>
      <c r="E44" s="32">
        <f t="shared" si="9"/>
        <v>582666.66666666663</v>
      </c>
      <c r="F44" s="32">
        <f t="shared" si="10"/>
        <v>-287000</v>
      </c>
      <c r="G44" s="32">
        <f t="shared" si="11"/>
        <v>1731000</v>
      </c>
      <c r="H44" s="32">
        <f t="shared" si="12"/>
        <v>8500</v>
      </c>
      <c r="I44" s="32">
        <f t="shared" si="13"/>
        <v>1017500</v>
      </c>
      <c r="J44" s="32">
        <f t="shared" si="14"/>
        <v>1037459.5574446906</v>
      </c>
      <c r="K44" s="33">
        <f t="shared" si="15"/>
        <v>1.7805369979027872</v>
      </c>
      <c r="L44" s="37"/>
      <c r="M44" s="37" t="s">
        <v>124</v>
      </c>
      <c r="N44" s="37" t="s">
        <v>124</v>
      </c>
      <c r="O44" s="37" t="s">
        <v>124</v>
      </c>
      <c r="P44" s="37" t="s">
        <v>124</v>
      </c>
      <c r="Q44" s="37" t="s">
        <v>124</v>
      </c>
      <c r="R44" s="37" t="s">
        <v>124</v>
      </c>
      <c r="S44" s="37" t="s">
        <v>124</v>
      </c>
      <c r="T44" s="37" t="s">
        <v>124</v>
      </c>
      <c r="U44" s="37" t="s">
        <v>124</v>
      </c>
      <c r="V44" s="37" t="s">
        <v>124</v>
      </c>
      <c r="W44" s="37" t="s">
        <v>124</v>
      </c>
      <c r="X44" s="37">
        <v>304000</v>
      </c>
      <c r="Y44" s="37">
        <v>1731000</v>
      </c>
      <c r="Z44" s="37">
        <v>-287000</v>
      </c>
      <c r="AB44" s="3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hidden="1" outlineLevel="4" x14ac:dyDescent="0.25">
      <c r="A45" s="29">
        <v>1</v>
      </c>
      <c r="C45" s="24" t="str">
        <f>"                Change in Other Current Assets"</f>
        <v xml:space="preserve">                Change in Other Current Assets</v>
      </c>
      <c r="D45" s="32">
        <f t="shared" si="8"/>
        <v>-529000</v>
      </c>
      <c r="E45" s="32">
        <f t="shared" si="9"/>
        <v>-567000</v>
      </c>
      <c r="F45" s="32">
        <f t="shared" si="10"/>
        <v>-1550000</v>
      </c>
      <c r="G45" s="32">
        <f t="shared" si="11"/>
        <v>108000</v>
      </c>
      <c r="H45" s="32">
        <f t="shared" si="12"/>
        <v>-755500</v>
      </c>
      <c r="I45" s="32">
        <f t="shared" si="13"/>
        <v>-261000</v>
      </c>
      <c r="J45" s="32">
        <f t="shared" si="14"/>
        <v>542465.85145979468</v>
      </c>
      <c r="K45" s="33">
        <f t="shared" si="15"/>
        <v>-0.95672989675448794</v>
      </c>
      <c r="L45" s="37"/>
      <c r="M45" s="37">
        <v>-1418000</v>
      </c>
      <c r="N45" s="37">
        <v>68000</v>
      </c>
      <c r="O45" s="37">
        <v>-1550000</v>
      </c>
      <c r="P45" s="37">
        <v>-529000</v>
      </c>
      <c r="Q45" s="37">
        <v>108000</v>
      </c>
      <c r="R45" s="37">
        <v>-939000</v>
      </c>
      <c r="S45" s="37">
        <v>-572000</v>
      </c>
      <c r="T45" s="37">
        <v>-210000</v>
      </c>
      <c r="U45" s="37">
        <v>-563000</v>
      </c>
      <c r="V45" s="37">
        <v>-312000</v>
      </c>
      <c r="W45" s="37">
        <v>-320000</v>
      </c>
      <c r="X45" s="37" t="s">
        <v>124</v>
      </c>
      <c r="Y45" s="37" t="s">
        <v>124</v>
      </c>
      <c r="Z45" s="37" t="s">
        <v>124</v>
      </c>
      <c r="AB45" s="30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hidden="1" outlineLevel="4" collapsed="1" x14ac:dyDescent="0.25">
      <c r="A46" s="29">
        <v>1</v>
      </c>
      <c r="C46" s="24" t="str">
        <f>IF(SUBTOTAL(109,A46)=A46,"                Change in Payables and Accrued Expenses","                Change in Payables and Accrued Expenses")</f>
        <v xml:space="preserve">                Change in Payables and Accrued Expenses</v>
      </c>
      <c r="D46" s="32">
        <f t="shared" si="8"/>
        <v>129000</v>
      </c>
      <c r="E46" s="32">
        <f t="shared" si="9"/>
        <v>-488928.57142857142</v>
      </c>
      <c r="F46" s="32">
        <f t="shared" si="10"/>
        <v>-12516000</v>
      </c>
      <c r="G46" s="32">
        <f t="shared" si="11"/>
        <v>5963000</v>
      </c>
      <c r="H46" s="32">
        <f t="shared" si="12"/>
        <v>-1891750</v>
      </c>
      <c r="I46" s="32">
        <f t="shared" si="13"/>
        <v>1281500</v>
      </c>
      <c r="J46" s="32">
        <f t="shared" si="14"/>
        <v>4272604.9424801134</v>
      </c>
      <c r="K46" s="33">
        <f t="shared" si="15"/>
        <v>-8.7387098896598374</v>
      </c>
      <c r="L46" s="37"/>
      <c r="M46" s="37">
        <f>IF(SUBTOTAL(109,A46)=A46,"",-2140000)</f>
        <v>-2140000</v>
      </c>
      <c r="N46" s="37">
        <f>IF(SUBTOTAL(109,A46)=A46,"",-1819000)</f>
        <v>-1819000</v>
      </c>
      <c r="O46" s="37">
        <f>IF(SUBTOTAL(109,A46)=A46,"",-1852000)</f>
        <v>-1852000</v>
      </c>
      <c r="P46" s="37">
        <f>IF(SUBTOTAL(109,A46)=A46,"",120000)</f>
        <v>120000</v>
      </c>
      <c r="Q46" s="37">
        <f>IF(SUBTOTAL(109,A46)=A46,"",-2603000)</f>
        <v>-2603000</v>
      </c>
      <c r="R46" s="37">
        <f>IF(SUBTOTAL(109,A46)=A46,"",4242000)</f>
        <v>4242000</v>
      </c>
      <c r="S46" s="37">
        <f>IF(SUBTOTAL(109,A46)=A46,"",889000)</f>
        <v>889000</v>
      </c>
      <c r="T46" s="37">
        <f>IF(SUBTOTAL(109,A46)=A46,"",5963000)</f>
        <v>5963000</v>
      </c>
      <c r="U46" s="37">
        <f>IF(SUBTOTAL(109,A46)=A46,"",138000)</f>
        <v>138000</v>
      </c>
      <c r="V46" s="37">
        <f>IF(SUBTOTAL(109,A46)=A46,"",1358000)</f>
        <v>1358000</v>
      </c>
      <c r="W46" s="37">
        <f>IF(SUBTOTAL(109,A46)=A46,"",1052000)</f>
        <v>1052000</v>
      </c>
      <c r="X46" s="37">
        <f>IF(SUBTOTAL(109,A46)=A46,"",2228000)</f>
        <v>2228000</v>
      </c>
      <c r="Y46" s="37">
        <f>IF(SUBTOTAL(109,A46)=A46,"",-12516000)</f>
        <v>-12516000</v>
      </c>
      <c r="Z46" s="37">
        <f>IF(SUBTOTAL(109,A46)=A46,"",-1905000)</f>
        <v>-1905000</v>
      </c>
      <c r="AB46" s="30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hidden="1" outlineLevel="5" collapsed="1" x14ac:dyDescent="0.25">
      <c r="A47" s="29">
        <v>1</v>
      </c>
      <c r="C47" s="24" t="str">
        <f>IF(SUBTOTAL(109,A47)=A47,"                    Change in Trade and Other Payables","                    Change in Trade and Other Payables")</f>
        <v xml:space="preserve">                    Change in Trade and Other Payables</v>
      </c>
      <c r="D47" s="32">
        <f t="shared" si="8"/>
        <v>-202500</v>
      </c>
      <c r="E47" s="32">
        <f t="shared" si="9"/>
        <v>5785.7142857142853</v>
      </c>
      <c r="F47" s="32">
        <f t="shared" si="10"/>
        <v>-3512000</v>
      </c>
      <c r="G47" s="32">
        <f t="shared" si="11"/>
        <v>3033000</v>
      </c>
      <c r="H47" s="32">
        <f t="shared" si="12"/>
        <v>-637500</v>
      </c>
      <c r="I47" s="32">
        <f t="shared" si="13"/>
        <v>1388750</v>
      </c>
      <c r="J47" s="32">
        <f t="shared" si="14"/>
        <v>1796501.179796715</v>
      </c>
      <c r="K47" s="33">
        <f t="shared" si="15"/>
        <v>310.5063767549878</v>
      </c>
      <c r="L47" s="37"/>
      <c r="M47" s="37">
        <f>IF(SUBTOTAL(109,A47)=A47,"",-1261000)</f>
        <v>-1261000</v>
      </c>
      <c r="N47" s="37">
        <f>IF(SUBTOTAL(109,A47)=A47,"",172000)</f>
        <v>172000</v>
      </c>
      <c r="O47" s="37">
        <f>IF(SUBTOTAL(109,A47)=A47,"",-279000)</f>
        <v>-279000</v>
      </c>
      <c r="P47" s="37">
        <f>IF(SUBTOTAL(109,A47)=A47,"",-612000)</f>
        <v>-612000</v>
      </c>
      <c r="Q47" s="37">
        <f>IF(SUBTOTAL(109,A47)=A47,"",-365000)</f>
        <v>-365000</v>
      </c>
      <c r="R47" s="37">
        <f>IF(SUBTOTAL(109,A47)=A47,"",3033000)</f>
        <v>3033000</v>
      </c>
      <c r="S47" s="37">
        <f>IF(SUBTOTAL(109,A47)=A47,"",1746000)</f>
        <v>1746000</v>
      </c>
      <c r="T47" s="37">
        <f>IF(SUBTOTAL(109,A47)=A47,"",-126000)</f>
        <v>-126000</v>
      </c>
      <c r="U47" s="37">
        <f>IF(SUBTOTAL(109,A47)=A47,"",-646000)</f>
        <v>-646000</v>
      </c>
      <c r="V47" s="37">
        <f>IF(SUBTOTAL(109,A47)=A47,"",317000)</f>
        <v>317000</v>
      </c>
      <c r="W47" s="37">
        <f>IF(SUBTOTAL(109,A47)=A47,"",1779000)</f>
        <v>1779000</v>
      </c>
      <c r="X47" s="37">
        <f>IF(SUBTOTAL(109,A47)=A47,"",2311000)</f>
        <v>2311000</v>
      </c>
      <c r="Y47" s="37">
        <f>IF(SUBTOTAL(109,A47)=A47,"",-2476000)</f>
        <v>-2476000</v>
      </c>
      <c r="Z47" s="37">
        <f>IF(SUBTOTAL(109,A47)=A47,"",-3512000)</f>
        <v>-3512000</v>
      </c>
      <c r="AB47" s="30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hidden="1" outlineLevel="6" x14ac:dyDescent="0.25">
      <c r="A48" s="29">
        <v>1</v>
      </c>
      <c r="C48" s="24" t="str">
        <f>"                        Change in Trade/Accounts Payable"</f>
        <v xml:space="preserve">                        Change in Trade/Accounts Payable</v>
      </c>
      <c r="D48" s="32">
        <f t="shared" si="8"/>
        <v>-171500</v>
      </c>
      <c r="E48" s="32">
        <f t="shared" si="9"/>
        <v>-114928.57142857143</v>
      </c>
      <c r="F48" s="32">
        <f t="shared" si="10"/>
        <v>-4556000</v>
      </c>
      <c r="G48" s="32">
        <f t="shared" si="11"/>
        <v>3195000</v>
      </c>
      <c r="H48" s="32">
        <f t="shared" si="12"/>
        <v>-525750</v>
      </c>
      <c r="I48" s="32">
        <f t="shared" si="13"/>
        <v>1284000</v>
      </c>
      <c r="J48" s="32">
        <f t="shared" si="14"/>
        <v>2105204.0085422643</v>
      </c>
      <c r="K48" s="33">
        <f t="shared" si="15"/>
        <v>-18.317499142070666</v>
      </c>
      <c r="L48" s="37"/>
      <c r="M48" s="37">
        <v>-1166000</v>
      </c>
      <c r="N48" s="37">
        <v>42000</v>
      </c>
      <c r="O48" s="37">
        <v>-492000</v>
      </c>
      <c r="P48" s="37">
        <v>-537000</v>
      </c>
      <c r="Q48" s="37">
        <v>-362000</v>
      </c>
      <c r="R48" s="37">
        <v>3195000</v>
      </c>
      <c r="S48" s="37">
        <v>1658000</v>
      </c>
      <c r="T48" s="37">
        <v>19000</v>
      </c>
      <c r="U48" s="37">
        <v>-485000</v>
      </c>
      <c r="V48" s="37">
        <v>162000</v>
      </c>
      <c r="W48" s="37">
        <v>2139000</v>
      </c>
      <c r="X48" s="37">
        <v>2257000</v>
      </c>
      <c r="Y48" s="37">
        <v>-3483000</v>
      </c>
      <c r="Z48" s="37">
        <v>-4556000</v>
      </c>
      <c r="AB48" s="30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hidden="1" outlineLevel="6" x14ac:dyDescent="0.25">
      <c r="A49" s="29">
        <v>1</v>
      </c>
      <c r="C49" s="24" t="str">
        <f>"                        Change in Taxes Payable"</f>
        <v xml:space="preserve">                        Change in Taxes Payable</v>
      </c>
      <c r="D49" s="32">
        <f t="shared" si="8"/>
        <v>25500</v>
      </c>
      <c r="E49" s="32">
        <f t="shared" si="9"/>
        <v>120714.28571428571</v>
      </c>
      <c r="F49" s="32">
        <f t="shared" si="10"/>
        <v>-360000</v>
      </c>
      <c r="G49" s="32">
        <f t="shared" si="11"/>
        <v>1044000</v>
      </c>
      <c r="H49" s="32">
        <f t="shared" si="12"/>
        <v>-132500</v>
      </c>
      <c r="I49" s="32">
        <f t="shared" si="13"/>
        <v>148750</v>
      </c>
      <c r="J49" s="32">
        <f t="shared" si="14"/>
        <v>412719.01944420853</v>
      </c>
      <c r="K49" s="33">
        <f t="shared" si="15"/>
        <v>3.4189741255733255</v>
      </c>
      <c r="L49" s="37"/>
      <c r="M49" s="37">
        <v>-95000</v>
      </c>
      <c r="N49" s="37">
        <v>130000</v>
      </c>
      <c r="O49" s="37">
        <v>213000</v>
      </c>
      <c r="P49" s="37">
        <v>-75000</v>
      </c>
      <c r="Q49" s="37">
        <v>-3000</v>
      </c>
      <c r="R49" s="37">
        <v>-162000</v>
      </c>
      <c r="S49" s="37">
        <v>88000</v>
      </c>
      <c r="T49" s="37">
        <v>-145000</v>
      </c>
      <c r="U49" s="37">
        <v>-161000</v>
      </c>
      <c r="V49" s="37">
        <v>155000</v>
      </c>
      <c r="W49" s="37">
        <v>-360000</v>
      </c>
      <c r="X49" s="37">
        <v>54000</v>
      </c>
      <c r="Y49" s="37">
        <v>1007000</v>
      </c>
      <c r="Z49" s="37">
        <v>1044000</v>
      </c>
      <c r="AB49" s="30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hidden="1" outlineLevel="6" x14ac:dyDescent="0.25">
      <c r="A50" s="29">
        <v>1</v>
      </c>
      <c r="C50" s="25" t="str">
        <f>"                        Total Change in Trade and Other Payables"</f>
        <v xml:space="preserve">                        Total Change in Trade and Other Payables</v>
      </c>
      <c r="D50" s="45">
        <f t="shared" si="8"/>
        <v>-202500</v>
      </c>
      <c r="E50" s="45">
        <f t="shared" si="9"/>
        <v>5785.7142857142853</v>
      </c>
      <c r="F50" s="45">
        <f t="shared" si="10"/>
        <v>-3512000</v>
      </c>
      <c r="G50" s="45">
        <f t="shared" si="11"/>
        <v>3033000</v>
      </c>
      <c r="H50" s="45">
        <f t="shared" si="12"/>
        <v>-637500</v>
      </c>
      <c r="I50" s="45">
        <f t="shared" si="13"/>
        <v>1388750</v>
      </c>
      <c r="J50" s="45">
        <f t="shared" si="14"/>
        <v>1796501.179796715</v>
      </c>
      <c r="K50" s="46">
        <f t="shared" si="15"/>
        <v>310.5063767549878</v>
      </c>
      <c r="L50" s="47"/>
      <c r="M50" s="47">
        <v>-1261000</v>
      </c>
      <c r="N50" s="47">
        <v>172000</v>
      </c>
      <c r="O50" s="47">
        <v>-279000</v>
      </c>
      <c r="P50" s="47">
        <v>-612000</v>
      </c>
      <c r="Q50" s="47">
        <v>-365000</v>
      </c>
      <c r="R50" s="47">
        <v>3033000</v>
      </c>
      <c r="S50" s="47">
        <v>1746000</v>
      </c>
      <c r="T50" s="47">
        <v>-126000</v>
      </c>
      <c r="U50" s="47">
        <v>-646000</v>
      </c>
      <c r="V50" s="47">
        <v>317000</v>
      </c>
      <c r="W50" s="47">
        <v>1779000</v>
      </c>
      <c r="X50" s="47">
        <v>2311000</v>
      </c>
      <c r="Y50" s="47">
        <v>-2476000</v>
      </c>
      <c r="Z50" s="47">
        <v>-3512000</v>
      </c>
      <c r="AB50" s="30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hidden="1" outlineLevel="5" x14ac:dyDescent="0.25">
      <c r="A51" s="29">
        <v>1</v>
      </c>
      <c r="C51" s="24" t="str">
        <f>"                    Change in Accrued Expenses"</f>
        <v xml:space="preserve">                    Change in Accrued Expenses</v>
      </c>
      <c r="D51" s="32">
        <f t="shared" si="8"/>
        <v>-405000</v>
      </c>
      <c r="E51" s="32">
        <f t="shared" si="9"/>
        <v>-494714.28571428574</v>
      </c>
      <c r="F51" s="32">
        <f t="shared" si="10"/>
        <v>-10040000</v>
      </c>
      <c r="G51" s="32">
        <f t="shared" si="11"/>
        <v>6089000</v>
      </c>
      <c r="H51" s="32">
        <f t="shared" si="12"/>
        <v>-1399500</v>
      </c>
      <c r="I51" s="32">
        <f t="shared" si="13"/>
        <v>976750</v>
      </c>
      <c r="J51" s="32">
        <f t="shared" si="14"/>
        <v>3444270.413501048</v>
      </c>
      <c r="K51" s="33">
        <f t="shared" si="15"/>
        <v>-6.9621405990491869</v>
      </c>
      <c r="L51" s="37"/>
      <c r="M51" s="37">
        <v>-879000</v>
      </c>
      <c r="N51" s="37">
        <v>-1991000</v>
      </c>
      <c r="O51" s="37">
        <v>-1573000</v>
      </c>
      <c r="P51" s="37">
        <v>732000</v>
      </c>
      <c r="Q51" s="37">
        <v>-2238000</v>
      </c>
      <c r="R51" s="37">
        <v>1209000</v>
      </c>
      <c r="S51" s="37">
        <v>-857000</v>
      </c>
      <c r="T51" s="37">
        <v>6089000</v>
      </c>
      <c r="U51" s="37">
        <v>784000</v>
      </c>
      <c r="V51" s="37">
        <v>1041000</v>
      </c>
      <c r="W51" s="37">
        <v>-727000</v>
      </c>
      <c r="X51" s="37">
        <v>-83000</v>
      </c>
      <c r="Y51" s="37">
        <v>-10040000</v>
      </c>
      <c r="Z51" s="37">
        <v>1607000</v>
      </c>
      <c r="AB51" s="30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 hidden="1" outlineLevel="5" x14ac:dyDescent="0.25">
      <c r="A52" s="29">
        <v>1</v>
      </c>
      <c r="C52" s="25" t="str">
        <f>"                    Total Change in Payables and Accrued Expenses"</f>
        <v xml:space="preserve">                    Total Change in Payables and Accrued Expenses</v>
      </c>
      <c r="D52" s="45">
        <f t="shared" si="8"/>
        <v>129000</v>
      </c>
      <c r="E52" s="45">
        <f t="shared" si="9"/>
        <v>-488928.57142857142</v>
      </c>
      <c r="F52" s="45">
        <f t="shared" si="10"/>
        <v>-12516000</v>
      </c>
      <c r="G52" s="45">
        <f t="shared" si="11"/>
        <v>5963000</v>
      </c>
      <c r="H52" s="45">
        <f t="shared" si="12"/>
        <v>-1891750</v>
      </c>
      <c r="I52" s="45">
        <f t="shared" si="13"/>
        <v>1281500</v>
      </c>
      <c r="J52" s="45">
        <f t="shared" si="14"/>
        <v>4272604.9424801134</v>
      </c>
      <c r="K52" s="46">
        <f t="shared" si="15"/>
        <v>-8.7387098896598374</v>
      </c>
      <c r="L52" s="47"/>
      <c r="M52" s="47">
        <v>-2140000</v>
      </c>
      <c r="N52" s="47">
        <v>-1819000</v>
      </c>
      <c r="O52" s="47">
        <v>-1852000</v>
      </c>
      <c r="P52" s="47">
        <v>120000</v>
      </c>
      <c r="Q52" s="47">
        <v>-2603000</v>
      </c>
      <c r="R52" s="47">
        <v>4242000</v>
      </c>
      <c r="S52" s="47">
        <v>889000</v>
      </c>
      <c r="T52" s="47">
        <v>5963000</v>
      </c>
      <c r="U52" s="47">
        <v>138000</v>
      </c>
      <c r="V52" s="47">
        <v>1358000</v>
      </c>
      <c r="W52" s="47">
        <v>1052000</v>
      </c>
      <c r="X52" s="47">
        <v>2228000</v>
      </c>
      <c r="Y52" s="47">
        <v>-12516000</v>
      </c>
      <c r="Z52" s="47">
        <v>-1905000</v>
      </c>
      <c r="AB52" s="30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 hidden="1" outlineLevel="4" x14ac:dyDescent="0.25">
      <c r="A53" s="29">
        <v>1</v>
      </c>
      <c r="C53" s="24" t="str">
        <f>"                Change in Other Operating Capital"</f>
        <v xml:space="preserve">                Change in Other Operating Capital</v>
      </c>
      <c r="D53" s="32">
        <f t="shared" si="8"/>
        <v>163500</v>
      </c>
      <c r="E53" s="32">
        <f t="shared" si="9"/>
        <v>-24571.428571428572</v>
      </c>
      <c r="F53" s="32">
        <f t="shared" si="10"/>
        <v>-1949000</v>
      </c>
      <c r="G53" s="32">
        <f t="shared" si="11"/>
        <v>894000</v>
      </c>
      <c r="H53" s="32">
        <f t="shared" si="12"/>
        <v>-457250</v>
      </c>
      <c r="I53" s="32">
        <f t="shared" si="13"/>
        <v>482500</v>
      </c>
      <c r="J53" s="32">
        <f t="shared" si="14"/>
        <v>786439.07429782348</v>
      </c>
      <c r="K53" s="33">
        <f t="shared" si="15"/>
        <v>-32.006241395841649</v>
      </c>
      <c r="L53" s="37"/>
      <c r="M53" s="37">
        <v>0</v>
      </c>
      <c r="N53" s="37">
        <v>53000</v>
      </c>
      <c r="O53" s="37">
        <v>274000</v>
      </c>
      <c r="P53" s="37">
        <v>748000</v>
      </c>
      <c r="Q53" s="37">
        <v>-263000</v>
      </c>
      <c r="R53" s="37">
        <v>785000</v>
      </c>
      <c r="S53" s="37">
        <v>520000</v>
      </c>
      <c r="T53" s="37">
        <v>-1949000</v>
      </c>
      <c r="U53" s="37">
        <v>-968000</v>
      </c>
      <c r="V53" s="37">
        <v>370000</v>
      </c>
      <c r="W53" s="37">
        <v>-522000</v>
      </c>
      <c r="X53" s="37">
        <v>-628000</v>
      </c>
      <c r="Y53" s="37">
        <v>342000</v>
      </c>
      <c r="Z53" s="37">
        <v>894000</v>
      </c>
      <c r="AB53" s="30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 hidden="1" outlineLevel="4" x14ac:dyDescent="0.25">
      <c r="A54" s="29">
        <v>1</v>
      </c>
      <c r="C54" s="25" t="str">
        <f>"                Total Changes in Operating Capital"</f>
        <v xml:space="preserve">                Total Changes in Operating Capital</v>
      </c>
      <c r="D54" s="45">
        <f t="shared" si="8"/>
        <v>-1267000</v>
      </c>
      <c r="E54" s="45">
        <f t="shared" si="9"/>
        <v>-1776642.857142857</v>
      </c>
      <c r="F54" s="45">
        <f t="shared" si="10"/>
        <v>-6857000</v>
      </c>
      <c r="G54" s="45">
        <f t="shared" si="11"/>
        <v>630000</v>
      </c>
      <c r="H54" s="45">
        <f t="shared" si="12"/>
        <v>-3278250</v>
      </c>
      <c r="I54" s="45">
        <f t="shared" si="13"/>
        <v>-29250</v>
      </c>
      <c r="J54" s="45">
        <f t="shared" si="14"/>
        <v>2176836.3638420445</v>
      </c>
      <c r="K54" s="46">
        <f t="shared" si="15"/>
        <v>-1.2252526471993175</v>
      </c>
      <c r="L54" s="47"/>
      <c r="M54" s="47">
        <v>-3366000</v>
      </c>
      <c r="N54" s="47">
        <v>-399000</v>
      </c>
      <c r="O54" s="47">
        <v>-3789000</v>
      </c>
      <c r="P54" s="47">
        <v>-1376000</v>
      </c>
      <c r="Q54" s="47">
        <v>-3015000</v>
      </c>
      <c r="R54" s="47">
        <v>580000</v>
      </c>
      <c r="S54" s="47">
        <v>-1208000</v>
      </c>
      <c r="T54" s="47">
        <v>247000</v>
      </c>
      <c r="U54" s="47">
        <v>-1326000</v>
      </c>
      <c r="V54" s="47">
        <v>630000</v>
      </c>
      <c r="W54" s="47">
        <v>-4122000</v>
      </c>
      <c r="X54" s="47">
        <v>-966000</v>
      </c>
      <c r="Y54" s="47">
        <v>-6857000</v>
      </c>
      <c r="Z54" s="47">
        <v>94000</v>
      </c>
      <c r="AB54" s="30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 hidden="1" outlineLevel="3" x14ac:dyDescent="0.25">
      <c r="A55" s="29">
        <v>1</v>
      </c>
      <c r="C55" s="25" t="str">
        <f>"            Total Cash Generated from Operating Activities"</f>
        <v xml:space="preserve">            Total Cash Generated from Operating Activities</v>
      </c>
      <c r="D55" s="45">
        <f t="shared" si="8"/>
        <v>14698000</v>
      </c>
      <c r="E55" s="45">
        <f t="shared" si="9"/>
        <v>11748714.285714285</v>
      </c>
      <c r="F55" s="45">
        <f t="shared" si="10"/>
        <v>-17239000</v>
      </c>
      <c r="G55" s="45">
        <f t="shared" si="11"/>
        <v>21341000</v>
      </c>
      <c r="H55" s="45">
        <f t="shared" si="12"/>
        <v>11574500</v>
      </c>
      <c r="I55" s="45">
        <f t="shared" si="13"/>
        <v>18928500</v>
      </c>
      <c r="J55" s="45">
        <f t="shared" si="14"/>
        <v>11322160.798313065</v>
      </c>
      <c r="K55" s="46">
        <f t="shared" si="15"/>
        <v>0.9636936028038503</v>
      </c>
      <c r="L55" s="47"/>
      <c r="M55" s="47">
        <v>18705000</v>
      </c>
      <c r="N55" s="47">
        <v>19624000</v>
      </c>
      <c r="O55" s="47">
        <v>16879000</v>
      </c>
      <c r="P55" s="47">
        <v>19003000</v>
      </c>
      <c r="Q55" s="47">
        <v>19442000</v>
      </c>
      <c r="R55" s="47">
        <v>21341000</v>
      </c>
      <c r="S55" s="47">
        <v>14567000</v>
      </c>
      <c r="T55" s="47">
        <v>11302000</v>
      </c>
      <c r="U55" s="47">
        <v>14829000</v>
      </c>
      <c r="V55" s="47">
        <v>13575000</v>
      </c>
      <c r="W55" s="47">
        <v>9769000</v>
      </c>
      <c r="X55" s="47">
        <v>12392000</v>
      </c>
      <c r="Y55" s="47">
        <v>-17239000</v>
      </c>
      <c r="Z55" s="47">
        <v>-9707000</v>
      </c>
      <c r="AB55" s="30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hidden="1" outlineLevel="2" x14ac:dyDescent="0.25">
      <c r="A56" s="29">
        <v>1</v>
      </c>
      <c r="C56" s="24" t="str">
        <f>"        Other Operating Cash Flow"</f>
        <v xml:space="preserve">        Other Operating Cash Flow</v>
      </c>
      <c r="D56" s="32">
        <f t="shared" si="8"/>
        <v>-2358000</v>
      </c>
      <c r="E56" s="32">
        <f t="shared" si="9"/>
        <v>-2805230.769230769</v>
      </c>
      <c r="F56" s="32">
        <f t="shared" si="10"/>
        <v>-5612000</v>
      </c>
      <c r="G56" s="32">
        <f t="shared" si="11"/>
        <v>-1241000</v>
      </c>
      <c r="H56" s="32">
        <f t="shared" si="12"/>
        <v>-3517000</v>
      </c>
      <c r="I56" s="32">
        <f t="shared" si="13"/>
        <v>-1957000</v>
      </c>
      <c r="J56" s="32">
        <f t="shared" si="14"/>
        <v>1233865.5487157798</v>
      </c>
      <c r="K56" s="33">
        <f t="shared" si="15"/>
        <v>-0.4398445797220889</v>
      </c>
      <c r="L56" s="37"/>
      <c r="M56" s="37">
        <v>-3517000</v>
      </c>
      <c r="N56" s="37">
        <v>-2954000</v>
      </c>
      <c r="O56" s="37">
        <v>-1858000</v>
      </c>
      <c r="P56" s="37">
        <v>-3747000</v>
      </c>
      <c r="Q56" s="37">
        <v>-2104000</v>
      </c>
      <c r="R56" s="37">
        <v>-4348000</v>
      </c>
      <c r="S56" s="37">
        <v>-1957000</v>
      </c>
      <c r="T56" s="37">
        <v>-1241000</v>
      </c>
      <c r="U56" s="37">
        <v>-2199000</v>
      </c>
      <c r="V56" s="37">
        <v>-2970000</v>
      </c>
      <c r="W56" s="37">
        <v>-1603000</v>
      </c>
      <c r="X56" s="37">
        <v>-5612000</v>
      </c>
      <c r="Y56" s="37" t="s">
        <v>124</v>
      </c>
      <c r="Z56" s="37">
        <v>-2358000</v>
      </c>
      <c r="AB56" s="3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 hidden="1" outlineLevel="2" x14ac:dyDescent="0.25">
      <c r="A57" s="29">
        <v>1</v>
      </c>
      <c r="C57" s="25" t="str">
        <f>"        Total Net Cash Flow from Continuing Operating Activities, Indirect"</f>
        <v xml:space="preserve">        Total Net Cash Flow from Continuing Operating Activities, Indirect</v>
      </c>
      <c r="D57" s="45">
        <f t="shared" si="8"/>
        <v>12620000</v>
      </c>
      <c r="E57" s="45">
        <f t="shared" si="9"/>
        <v>9143857.1428571437</v>
      </c>
      <c r="F57" s="45">
        <f t="shared" si="10"/>
        <v>-17239000</v>
      </c>
      <c r="G57" s="45">
        <f t="shared" si="11"/>
        <v>17338000</v>
      </c>
      <c r="H57" s="45">
        <f t="shared" si="12"/>
        <v>8639750</v>
      </c>
      <c r="I57" s="45">
        <f t="shared" si="13"/>
        <v>15239000</v>
      </c>
      <c r="J57" s="45">
        <f t="shared" si="14"/>
        <v>10645999.009069037</v>
      </c>
      <c r="K57" s="46">
        <f t="shared" si="15"/>
        <v>1.1642787986233263</v>
      </c>
      <c r="L57" s="47"/>
      <c r="M57" s="47">
        <v>15188000</v>
      </c>
      <c r="N57" s="47">
        <v>16670000</v>
      </c>
      <c r="O57" s="47">
        <v>15021000</v>
      </c>
      <c r="P57" s="47">
        <v>15256000</v>
      </c>
      <c r="Q57" s="47">
        <v>17338000</v>
      </c>
      <c r="R57" s="47">
        <v>16993000</v>
      </c>
      <c r="S57" s="47">
        <v>12610000</v>
      </c>
      <c r="T57" s="47">
        <v>10061000</v>
      </c>
      <c r="U57" s="47">
        <v>12630000</v>
      </c>
      <c r="V57" s="47">
        <v>10605000</v>
      </c>
      <c r="W57" s="47">
        <v>8166000</v>
      </c>
      <c r="X57" s="47">
        <v>6780000</v>
      </c>
      <c r="Y57" s="47">
        <v>-17239000</v>
      </c>
      <c r="Z57" s="47">
        <v>-12065000</v>
      </c>
      <c r="AB57" s="30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 outlineLevel="1" x14ac:dyDescent="0.25">
      <c r="A58" s="29">
        <v>1</v>
      </c>
      <c r="C58" s="24" t="str">
        <f>"    Net Cash Flow from Discontinued Operating Activities"</f>
        <v xml:space="preserve">    Net Cash Flow from Discontinued Operating Activities</v>
      </c>
      <c r="D58" s="32">
        <f t="shared" si="8"/>
        <v>-198000</v>
      </c>
      <c r="E58" s="32">
        <f t="shared" si="9"/>
        <v>-309250</v>
      </c>
      <c r="F58" s="32">
        <f t="shared" si="10"/>
        <v>-841000</v>
      </c>
      <c r="G58" s="32">
        <f t="shared" si="11"/>
        <v>0</v>
      </c>
      <c r="H58" s="32">
        <f t="shared" si="12"/>
        <v>-499750</v>
      </c>
      <c r="I58" s="32">
        <f t="shared" si="13"/>
        <v>-7500</v>
      </c>
      <c r="J58" s="32">
        <f t="shared" si="14"/>
        <v>397422.84366486367</v>
      </c>
      <c r="K58" s="33">
        <f t="shared" si="15"/>
        <v>-1.2851183303633424</v>
      </c>
      <c r="L58" s="37"/>
      <c r="M58" s="37" t="s">
        <v>124</v>
      </c>
      <c r="N58" s="37" t="s">
        <v>124</v>
      </c>
      <c r="O58" s="37" t="s">
        <v>124</v>
      </c>
      <c r="P58" s="37" t="s">
        <v>124</v>
      </c>
      <c r="Q58" s="37">
        <v>-10000</v>
      </c>
      <c r="R58" s="37">
        <v>-386000</v>
      </c>
      <c r="S58" s="37">
        <v>-841000</v>
      </c>
      <c r="T58" s="37" t="s">
        <v>124</v>
      </c>
      <c r="U58" s="37" t="s">
        <v>124</v>
      </c>
      <c r="V58" s="37" t="s">
        <v>124</v>
      </c>
      <c r="W58" s="37" t="s">
        <v>124</v>
      </c>
      <c r="X58" s="37" t="s">
        <v>124</v>
      </c>
      <c r="Y58" s="37" t="s">
        <v>124</v>
      </c>
      <c r="Z58" s="37">
        <v>0</v>
      </c>
      <c r="AB58" s="30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 outlineLevel="1" x14ac:dyDescent="0.25">
      <c r="A59" s="29">
        <v>1</v>
      </c>
      <c r="C59" s="26" t="str">
        <f>"    Total Cash Flow from Operating Activities, Indirect"</f>
        <v xml:space="preserve">    Total Cash Flow from Operating Activities, Indirect</v>
      </c>
      <c r="D59" s="45">
        <f t="shared" si="8"/>
        <v>12199500</v>
      </c>
      <c r="E59" s="45">
        <f t="shared" si="9"/>
        <v>9055500</v>
      </c>
      <c r="F59" s="45">
        <f t="shared" si="10"/>
        <v>-17239000</v>
      </c>
      <c r="G59" s="45">
        <f t="shared" si="11"/>
        <v>17328000</v>
      </c>
      <c r="H59" s="45">
        <f t="shared" si="12"/>
        <v>8639750</v>
      </c>
      <c r="I59" s="45">
        <f t="shared" si="13"/>
        <v>15239000</v>
      </c>
      <c r="J59" s="45">
        <f t="shared" si="14"/>
        <v>10605072.949736403</v>
      </c>
      <c r="K59" s="46">
        <f t="shared" si="15"/>
        <v>1.1711195350600634</v>
      </c>
      <c r="L59" s="45"/>
      <c r="M59" s="45">
        <v>15188000</v>
      </c>
      <c r="N59" s="45">
        <v>16670000</v>
      </c>
      <c r="O59" s="45">
        <v>15021000</v>
      </c>
      <c r="P59" s="45">
        <v>15256000</v>
      </c>
      <c r="Q59" s="45">
        <v>17328000</v>
      </c>
      <c r="R59" s="45">
        <v>16607000</v>
      </c>
      <c r="S59" s="45">
        <v>11769000</v>
      </c>
      <c r="T59" s="45">
        <v>10061000</v>
      </c>
      <c r="U59" s="45">
        <v>12630000</v>
      </c>
      <c r="V59" s="45">
        <v>10605000</v>
      </c>
      <c r="W59" s="45">
        <v>8166000</v>
      </c>
      <c r="X59" s="45">
        <v>6780000</v>
      </c>
      <c r="Y59" s="45">
        <v>-17239000</v>
      </c>
      <c r="Z59" s="45">
        <v>-12065000</v>
      </c>
      <c r="AB59" s="30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 collapsed="1" x14ac:dyDescent="0.25">
      <c r="A60" s="29">
        <v>1</v>
      </c>
      <c r="C60" s="26" t="str">
        <f>IF(SUBTOTAL(109,A60)=A60,"Cash Flow from Investing Activities","Cash Flow from Investing Activities")</f>
        <v>Cash Flow from Investing Activities</v>
      </c>
      <c r="D60" s="43" t="str">
        <f t="shared" si="8"/>
        <v/>
      </c>
      <c r="E60" s="43" t="str">
        <f t="shared" si="9"/>
        <v/>
      </c>
      <c r="F60" s="43" t="str">
        <f t="shared" si="10"/>
        <v/>
      </c>
      <c r="G60" s="43" t="str">
        <f t="shared" si="11"/>
        <v/>
      </c>
      <c r="H60" s="43" t="str">
        <f t="shared" si="12"/>
        <v/>
      </c>
      <c r="I60" s="43" t="str">
        <f t="shared" si="13"/>
        <v/>
      </c>
      <c r="J60" s="43" t="str">
        <f t="shared" si="14"/>
        <v/>
      </c>
      <c r="K60" s="44" t="str">
        <f t="shared" si="15"/>
        <v/>
      </c>
      <c r="L60" s="43"/>
      <c r="M60" s="43" t="str">
        <f>IF(SUBTOTAL(109,A60)=A60,"",-16355000)</f>
        <v/>
      </c>
      <c r="N60" s="43" t="str">
        <f>IF(SUBTOTAL(109,A60)=A60,"",-21826000)</f>
        <v/>
      </c>
      <c r="O60" s="43" t="str">
        <f>IF(SUBTOTAL(109,A60)=A60,"",-10899000)</f>
        <v/>
      </c>
      <c r="P60" s="43" t="str">
        <f>IF(SUBTOTAL(109,A60)=A60,"",-20763000)</f>
        <v/>
      </c>
      <c r="Q60" s="43" t="str">
        <f>IF(SUBTOTAL(109,A60)=A60,"",-27572000)</f>
        <v/>
      </c>
      <c r="R60" s="43" t="str">
        <f>IF(SUBTOTAL(109,A60)=A60,"",-35643000)</f>
        <v/>
      </c>
      <c r="S60" s="43" t="str">
        <f>IF(SUBTOTAL(109,A60)=A60,"",-27710000)</f>
        <v/>
      </c>
      <c r="T60" s="43" t="str">
        <f>IF(SUBTOTAL(109,A60)=A60,"",-15359000)</f>
        <v/>
      </c>
      <c r="U60" s="43" t="str">
        <f>IF(SUBTOTAL(109,A60)=A60,"",-14362000)</f>
        <v/>
      </c>
      <c r="V60" s="43" t="str">
        <f>IF(SUBTOTAL(109,A60)=A60,"",-3505000)</f>
        <v/>
      </c>
      <c r="W60" s="43" t="str">
        <f>IF(SUBTOTAL(109,A60)=A60,"",-12740000)</f>
        <v/>
      </c>
      <c r="X60" s="43" t="str">
        <f>IF(SUBTOTAL(109,A60)=A60,"",1233000)</f>
        <v/>
      </c>
      <c r="Y60" s="43" t="str">
        <f>IF(SUBTOTAL(109,A60)=A60,"",-18978000)</f>
        <v/>
      </c>
      <c r="Z60" s="43" t="str">
        <f>IF(SUBTOTAL(109,A60)=A60,"",-1764000)</f>
        <v/>
      </c>
      <c r="AB60" s="30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 hidden="1" outlineLevel="1" collapsed="1" x14ac:dyDescent="0.25">
      <c r="A61" s="29">
        <v>1</v>
      </c>
      <c r="C61" s="24" t="str">
        <f>IF(SUBTOTAL(109,A61)=A61,"    Cash Flow from Continuing Investing Activities","    Cash Flow from Continuing Investing Activities")</f>
        <v xml:space="preserve">    Cash Flow from Continuing Investing Activities</v>
      </c>
      <c r="D61" s="32">
        <f t="shared" si="8"/>
        <v>-15857000</v>
      </c>
      <c r="E61" s="32">
        <f t="shared" si="9"/>
        <v>-15707928.571428571</v>
      </c>
      <c r="F61" s="32">
        <f t="shared" si="10"/>
        <v>-34147000</v>
      </c>
      <c r="G61" s="32">
        <f t="shared" si="11"/>
        <v>1233000</v>
      </c>
      <c r="H61" s="32">
        <f t="shared" si="12"/>
        <v>-21601750</v>
      </c>
      <c r="I61" s="32">
        <f t="shared" si="13"/>
        <v>-11359250</v>
      </c>
      <c r="J61" s="32">
        <f t="shared" si="14"/>
        <v>9845804.8033299316</v>
      </c>
      <c r="K61" s="33">
        <f t="shared" si="15"/>
        <v>-0.62680478578433574</v>
      </c>
      <c r="L61" s="37"/>
      <c r="M61" s="37">
        <f>IF(SUBTOTAL(109,A61)=A61,"",-16355000)</f>
        <v>-16355000</v>
      </c>
      <c r="N61" s="37">
        <f>IF(SUBTOTAL(109,A61)=A61,"",-21826000)</f>
        <v>-21826000</v>
      </c>
      <c r="O61" s="37">
        <f>IF(SUBTOTAL(109,A61)=A61,"",-10899000)</f>
        <v>-10899000</v>
      </c>
      <c r="P61" s="37">
        <f>IF(SUBTOTAL(109,A61)=A61,"",-20929000)</f>
        <v>-20929000</v>
      </c>
      <c r="Q61" s="37">
        <f>IF(SUBTOTAL(109,A61)=A61,"",-24072000)</f>
        <v>-24072000</v>
      </c>
      <c r="R61" s="37">
        <f>IF(SUBTOTAL(109,A61)=A61,"",-34147000)</f>
        <v>-34147000</v>
      </c>
      <c r="S61" s="37">
        <f>IF(SUBTOTAL(109,A61)=A61,"",-26208000)</f>
        <v>-26208000</v>
      </c>
      <c r="T61" s="37">
        <f>IF(SUBTOTAL(109,A61)=A61,"",-15359000)</f>
        <v>-15359000</v>
      </c>
      <c r="U61" s="37">
        <f>IF(SUBTOTAL(109,A61)=A61,"",-14362000)</f>
        <v>-14362000</v>
      </c>
      <c r="V61" s="37">
        <f>IF(SUBTOTAL(109,A61)=A61,"",-3505000)</f>
        <v>-3505000</v>
      </c>
      <c r="W61" s="37">
        <f>IF(SUBTOTAL(109,A61)=A61,"",-12740000)</f>
        <v>-12740000</v>
      </c>
      <c r="X61" s="37">
        <f>IF(SUBTOTAL(109,A61)=A61,"",1233000)</f>
        <v>1233000</v>
      </c>
      <c r="Y61" s="37">
        <f>IF(SUBTOTAL(109,A61)=A61,"",-18978000)</f>
        <v>-18978000</v>
      </c>
      <c r="Z61" s="37">
        <f>IF(SUBTOTAL(109,A61)=A61,"",-1764000)</f>
        <v>-1764000</v>
      </c>
      <c r="AB61" s="30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 hidden="1" outlineLevel="2" x14ac:dyDescent="0.25">
      <c r="A62" s="29">
        <v>1</v>
      </c>
      <c r="C62" s="24" t="str">
        <f>"        Capital Expenditure, Reported"</f>
        <v xml:space="preserve">        Capital Expenditure, Reported</v>
      </c>
      <c r="D62" s="32">
        <f t="shared" si="8"/>
        <v>-7519500</v>
      </c>
      <c r="E62" s="32">
        <f t="shared" si="9"/>
        <v>-7064000</v>
      </c>
      <c r="F62" s="32">
        <f t="shared" si="10"/>
        <v>-8761000</v>
      </c>
      <c r="G62" s="32">
        <f t="shared" si="11"/>
        <v>-4202000</v>
      </c>
      <c r="H62" s="32">
        <f t="shared" si="12"/>
        <v>-7949000</v>
      </c>
      <c r="I62" s="32">
        <f t="shared" si="13"/>
        <v>-6390000</v>
      </c>
      <c r="J62" s="32">
        <f t="shared" si="14"/>
        <v>1340907.6145541237</v>
      </c>
      <c r="K62" s="33">
        <f t="shared" si="15"/>
        <v>-0.18982270874209001</v>
      </c>
      <c r="L62" s="37"/>
      <c r="M62" s="37">
        <v>-7509000</v>
      </c>
      <c r="N62" s="37">
        <v>-5300000</v>
      </c>
      <c r="O62" s="37">
        <v>-7592000</v>
      </c>
      <c r="P62" s="37">
        <v>-8761000</v>
      </c>
      <c r="Q62" s="37">
        <v>-8453000</v>
      </c>
      <c r="R62" s="37">
        <v>-8384000</v>
      </c>
      <c r="S62" s="37">
        <v>-6813000</v>
      </c>
      <c r="T62" s="37">
        <v>-7091000</v>
      </c>
      <c r="U62" s="37">
        <v>-7565000</v>
      </c>
      <c r="V62" s="37">
        <v>-8068000</v>
      </c>
      <c r="W62" s="37">
        <v>-6249000</v>
      </c>
      <c r="X62" s="37">
        <v>-4202000</v>
      </c>
      <c r="Y62" s="37">
        <v>-5379000</v>
      </c>
      <c r="Z62" s="37">
        <v>-7530000</v>
      </c>
      <c r="AB62" s="3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 hidden="1" outlineLevel="2" collapsed="1" x14ac:dyDescent="0.25">
      <c r="A63" s="29">
        <v>1</v>
      </c>
      <c r="C63" s="24" t="str">
        <f>IF(SUBTOTAL(109,A63)=A63,"        (Purchase)/Sale and Disposal of Property, Plant and Equipment, Net","        (Purchase)/Sale and Disposal of Property, Plant and Equipment, Net")</f>
        <v xml:space="preserve">        (Purchase)/Sale and Disposal of Property, Plant and Equipment, Net</v>
      </c>
      <c r="D63" s="32">
        <f t="shared" si="8"/>
        <v>-1935500</v>
      </c>
      <c r="E63" s="32">
        <f t="shared" si="9"/>
        <v>-4410428.5714285718</v>
      </c>
      <c r="F63" s="32">
        <f t="shared" si="10"/>
        <v>-16941000</v>
      </c>
      <c r="G63" s="32">
        <f t="shared" si="11"/>
        <v>347000</v>
      </c>
      <c r="H63" s="32">
        <f t="shared" si="12"/>
        <v>-5464750</v>
      </c>
      <c r="I63" s="32">
        <f t="shared" si="13"/>
        <v>-354250</v>
      </c>
      <c r="J63" s="32">
        <f t="shared" si="14"/>
        <v>5809717.3996448629</v>
      </c>
      <c r="K63" s="33">
        <f t="shared" si="15"/>
        <v>-1.3172682213427278</v>
      </c>
      <c r="L63" s="37"/>
      <c r="M63" s="37">
        <f>IF(SUBTOTAL(109,A63)=A63,"",-209000)</f>
        <v>-209000</v>
      </c>
      <c r="N63" s="37">
        <f>IF(SUBTOTAL(109,A63)=A63,"",-1834000)</f>
        <v>-1834000</v>
      </c>
      <c r="O63" s="37">
        <f>IF(SUBTOTAL(109,A63)=A63,"",-3102000)</f>
        <v>-3102000</v>
      </c>
      <c r="P63" s="37">
        <f>IF(SUBTOTAL(109,A63)=A63,"",-5872000)</f>
        <v>-5872000</v>
      </c>
      <c r="Q63" s="37">
        <f>IF(SUBTOTAL(109,A63)=A63,"",-12513000)</f>
        <v>-12513000</v>
      </c>
      <c r="R63" s="37">
        <f>IF(SUBTOTAL(109,A63)=A63,"",-16941000)</f>
        <v>-16941000</v>
      </c>
      <c r="S63" s="37">
        <f>IF(SUBTOTAL(109,A63)=A63,"",-14001000)</f>
        <v>-14001000</v>
      </c>
      <c r="T63" s="37">
        <f>IF(SUBTOTAL(109,A63)=A63,"",-4243000)</f>
        <v>-4243000</v>
      </c>
      <c r="U63" s="37">
        <f>IF(SUBTOTAL(109,A63)=A63,"",-2037000)</f>
        <v>-2037000</v>
      </c>
      <c r="V63" s="37">
        <f>IF(SUBTOTAL(109,A63)=A63,"",-991000)</f>
        <v>-991000</v>
      </c>
      <c r="W63" s="37">
        <f>IF(SUBTOTAL(109,A63)=A63,"",-790000)</f>
        <v>-790000</v>
      </c>
      <c r="X63" s="37">
        <f>IF(SUBTOTAL(109,A63)=A63,"",335000)</f>
        <v>335000</v>
      </c>
      <c r="Y63" s="37">
        <f>IF(SUBTOTAL(109,A63)=A63,"",105000)</f>
        <v>105000</v>
      </c>
      <c r="Z63" s="37">
        <f>IF(SUBTOTAL(109,A63)=A63,"",347000)</f>
        <v>347000</v>
      </c>
      <c r="AB63" s="30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 hidden="1" outlineLevel="3" x14ac:dyDescent="0.25">
      <c r="A64" s="29">
        <v>1</v>
      </c>
      <c r="C64" s="24" t="str">
        <f>"            Purchase of Property, Plant and Equipment"</f>
        <v xml:space="preserve">            Purchase of Property, Plant and Equipment</v>
      </c>
      <c r="D64" s="32">
        <f t="shared" si="8"/>
        <v>-14849000</v>
      </c>
      <c r="E64" s="32">
        <f t="shared" si="9"/>
        <v>-10472833.333333334</v>
      </c>
      <c r="F64" s="32">
        <f t="shared" si="10"/>
        <v>-19495000</v>
      </c>
      <c r="G64" s="32">
        <f t="shared" si="11"/>
        <v>-11000</v>
      </c>
      <c r="H64" s="32">
        <f t="shared" si="12"/>
        <v>-16487000</v>
      </c>
      <c r="I64" s="32">
        <f t="shared" si="13"/>
        <v>-1953000</v>
      </c>
      <c r="J64" s="32">
        <f t="shared" si="14"/>
        <v>7884364.6868439261</v>
      </c>
      <c r="K64" s="33">
        <f t="shared" si="15"/>
        <v>-0.75283969828387021</v>
      </c>
      <c r="L64" s="37"/>
      <c r="M64" s="37">
        <v>-14602000</v>
      </c>
      <c r="N64" s="37">
        <v>-15233000</v>
      </c>
      <c r="O64" s="37">
        <v>-16404000</v>
      </c>
      <c r="P64" s="37">
        <v>-16736000</v>
      </c>
      <c r="Q64" s="37">
        <v>-19180000</v>
      </c>
      <c r="R64" s="37">
        <v>-19495000</v>
      </c>
      <c r="S64" s="37">
        <v>-15096000</v>
      </c>
      <c r="T64" s="37">
        <v>-4776000</v>
      </c>
      <c r="U64" s="37">
        <v>-2254000</v>
      </c>
      <c r="V64" s="37">
        <v>-1050000</v>
      </c>
      <c r="W64" s="37">
        <v>-837000</v>
      </c>
      <c r="X64" s="37">
        <v>-11000</v>
      </c>
      <c r="Y64" s="37" t="s">
        <v>124</v>
      </c>
      <c r="Z64" s="37" t="s">
        <v>124</v>
      </c>
      <c r="AB64" s="30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 hidden="1" outlineLevel="3" x14ac:dyDescent="0.25">
      <c r="A65" s="29">
        <v>1</v>
      </c>
      <c r="C65" s="24" t="str">
        <f>"            Sale and Disposal of Property, Plant and Equipment"</f>
        <v xml:space="preserve">            Sale and Disposal of Property, Plant and Equipment</v>
      </c>
      <c r="D65" s="32">
        <f t="shared" si="8"/>
        <v>814000</v>
      </c>
      <c r="E65" s="32">
        <f t="shared" si="9"/>
        <v>4566285.7142857146</v>
      </c>
      <c r="F65" s="32">
        <f t="shared" si="10"/>
        <v>47000</v>
      </c>
      <c r="G65" s="32">
        <f t="shared" si="11"/>
        <v>14393000</v>
      </c>
      <c r="H65" s="32">
        <f t="shared" si="12"/>
        <v>249250</v>
      </c>
      <c r="I65" s="32">
        <f t="shared" si="13"/>
        <v>9814750</v>
      </c>
      <c r="J65" s="32">
        <f t="shared" si="14"/>
        <v>5834293.0812774356</v>
      </c>
      <c r="K65" s="33">
        <f t="shared" si="15"/>
        <v>1.277689011667565</v>
      </c>
      <c r="L65" s="37"/>
      <c r="M65" s="37">
        <v>14393000</v>
      </c>
      <c r="N65" s="37">
        <v>13399000</v>
      </c>
      <c r="O65" s="37">
        <v>13302000</v>
      </c>
      <c r="P65" s="37">
        <v>10864000</v>
      </c>
      <c r="Q65" s="37">
        <v>6667000</v>
      </c>
      <c r="R65" s="37">
        <v>2554000</v>
      </c>
      <c r="S65" s="37">
        <v>1095000</v>
      </c>
      <c r="T65" s="37">
        <v>533000</v>
      </c>
      <c r="U65" s="37">
        <v>217000</v>
      </c>
      <c r="V65" s="37">
        <v>59000</v>
      </c>
      <c r="W65" s="37">
        <v>47000</v>
      </c>
      <c r="X65" s="37">
        <v>346000</v>
      </c>
      <c r="Y65" s="37">
        <v>105000</v>
      </c>
      <c r="Z65" s="37">
        <v>347000</v>
      </c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 hidden="1" outlineLevel="3" x14ac:dyDescent="0.25">
      <c r="A66" s="29">
        <v>1</v>
      </c>
      <c r="C66" s="25" t="str">
        <f>"            Total (Purchase)/Sale and Disposal of Property, Plant and Equipment, Net"</f>
        <v xml:space="preserve">            Total (Purchase)/Sale and Disposal of Property, Plant and Equipment, Net</v>
      </c>
      <c r="D66" s="45">
        <f t="shared" si="8"/>
        <v>-1935500</v>
      </c>
      <c r="E66" s="45">
        <f t="shared" si="9"/>
        <v>-4410428.5714285718</v>
      </c>
      <c r="F66" s="45">
        <f t="shared" si="10"/>
        <v>-16941000</v>
      </c>
      <c r="G66" s="45">
        <f t="shared" si="11"/>
        <v>347000</v>
      </c>
      <c r="H66" s="45">
        <f t="shared" si="12"/>
        <v>-5464750</v>
      </c>
      <c r="I66" s="45">
        <f t="shared" si="13"/>
        <v>-354250</v>
      </c>
      <c r="J66" s="45">
        <f t="shared" si="14"/>
        <v>5809717.3996448629</v>
      </c>
      <c r="K66" s="46">
        <f t="shared" si="15"/>
        <v>-1.3172682213427278</v>
      </c>
      <c r="L66" s="47"/>
      <c r="M66" s="47">
        <v>-209000</v>
      </c>
      <c r="N66" s="47">
        <v>-1834000</v>
      </c>
      <c r="O66" s="47">
        <v>-3102000</v>
      </c>
      <c r="P66" s="47">
        <v>-5872000</v>
      </c>
      <c r="Q66" s="47">
        <v>-12513000</v>
      </c>
      <c r="R66" s="47">
        <v>-16941000</v>
      </c>
      <c r="S66" s="47">
        <v>-14001000</v>
      </c>
      <c r="T66" s="47">
        <v>-4243000</v>
      </c>
      <c r="U66" s="47">
        <v>-2037000</v>
      </c>
      <c r="V66" s="47">
        <v>-991000</v>
      </c>
      <c r="W66" s="47">
        <v>-790000</v>
      </c>
      <c r="X66" s="47">
        <v>335000</v>
      </c>
      <c r="Y66" s="47">
        <v>105000</v>
      </c>
      <c r="Z66" s="47">
        <v>347000</v>
      </c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 hidden="1" outlineLevel="2" collapsed="1" x14ac:dyDescent="0.25">
      <c r="A67" s="29">
        <v>1</v>
      </c>
      <c r="C67" s="24" t="str">
        <f>IF(SUBTOTAL(109,A67)=A67,"        (Purchase)/Sale of Business, Net","        (Purchase)/Sale of Business, Net")</f>
        <v xml:space="preserve">        (Purchase)/Sale of Business, Net</v>
      </c>
      <c r="D67" s="32">
        <f t="shared" si="8"/>
        <v>-804000</v>
      </c>
      <c r="E67" s="32">
        <f t="shared" si="9"/>
        <v>-369666.66666666669</v>
      </c>
      <c r="F67" s="32">
        <f t="shared" si="10"/>
        <v>-2662000</v>
      </c>
      <c r="G67" s="32">
        <f t="shared" si="11"/>
        <v>4768000</v>
      </c>
      <c r="H67" s="32">
        <f t="shared" si="12"/>
        <v>-1727000</v>
      </c>
      <c r="I67" s="32">
        <f t="shared" si="13"/>
        <v>-26000</v>
      </c>
      <c r="J67" s="32">
        <f t="shared" si="14"/>
        <v>2169661.1486589327</v>
      </c>
      <c r="K67" s="33">
        <f t="shared" si="15"/>
        <v>-5.8692366510160481</v>
      </c>
      <c r="L67" s="37"/>
      <c r="M67" s="37" t="str">
        <f>IF(SUBTOTAL(109,A67)=A67,"","")</f>
        <v/>
      </c>
      <c r="N67" s="37" t="str">
        <f>IF(SUBTOTAL(109,A67)=A67,"","")</f>
        <v/>
      </c>
      <c r="O67" s="37" t="str">
        <f>IF(SUBTOTAL(109,A67)=A67,"","")</f>
        <v/>
      </c>
      <c r="P67" s="37" t="str">
        <f>IF(SUBTOTAL(109,A67)=A67,"","")</f>
        <v/>
      </c>
      <c r="Q67" s="37" t="str">
        <f>IF(SUBTOTAL(109,A67)=A67,"","")</f>
        <v/>
      </c>
      <c r="R67" s="37">
        <f>IF(SUBTOTAL(109,A67)=A67,"",-804000)</f>
        <v>-804000</v>
      </c>
      <c r="S67" s="37">
        <f>IF(SUBTOTAL(109,A67)=A67,"",-927000)</f>
        <v>-927000</v>
      </c>
      <c r="T67" s="37">
        <f>IF(SUBTOTAL(109,A67)=A67,"",-53000)</f>
        <v>-53000</v>
      </c>
      <c r="U67" s="37">
        <f>IF(SUBTOTAL(109,A67)=A67,"",-1727000)</f>
        <v>-1727000</v>
      </c>
      <c r="V67" s="37">
        <f>IF(SUBTOTAL(109,A67)=A67,"",-26000)</f>
        <v>-26000</v>
      </c>
      <c r="W67" s="37">
        <f>IF(SUBTOTAL(109,A67)=A67,"",4768000)</f>
        <v>4768000</v>
      </c>
      <c r="X67" s="37">
        <f>IF(SUBTOTAL(109,A67)=A67,"",-2662000)</f>
        <v>-2662000</v>
      </c>
      <c r="Y67" s="37">
        <f>IF(SUBTOTAL(109,A67)=A67,"",-2127000)</f>
        <v>-2127000</v>
      </c>
      <c r="Z67" s="37">
        <f>IF(SUBTOTAL(109,A67)=A67,"",231000)</f>
        <v>231000</v>
      </c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 hidden="1" outlineLevel="3" x14ac:dyDescent="0.25">
      <c r="A68" s="29">
        <v>1</v>
      </c>
      <c r="C68" s="24" t="str">
        <f>"            Purchase/Acquisition of Business"</f>
        <v xml:space="preserve">            Purchase/Acquisition of Business</v>
      </c>
      <c r="D68" s="32">
        <f t="shared" si="8"/>
        <v>-804000</v>
      </c>
      <c r="E68" s="32">
        <f t="shared" si="9"/>
        <v>-1074888.888888889</v>
      </c>
      <c r="F68" s="32">
        <f t="shared" si="10"/>
        <v>-3042000</v>
      </c>
      <c r="G68" s="32">
        <f t="shared" si="11"/>
        <v>-1000</v>
      </c>
      <c r="H68" s="32">
        <f t="shared" si="12"/>
        <v>-2127000</v>
      </c>
      <c r="I68" s="32">
        <f t="shared" si="13"/>
        <v>-53000</v>
      </c>
      <c r="J68" s="32">
        <f t="shared" si="14"/>
        <v>1213097.6304943932</v>
      </c>
      <c r="K68" s="33">
        <f t="shared" si="15"/>
        <v>-1.1285795611380542</v>
      </c>
      <c r="L68" s="37"/>
      <c r="M68" s="37" t="s">
        <v>124</v>
      </c>
      <c r="N68" s="37" t="s">
        <v>124</v>
      </c>
      <c r="O68" s="37" t="s">
        <v>124</v>
      </c>
      <c r="P68" s="37" t="s">
        <v>124</v>
      </c>
      <c r="Q68" s="37" t="s">
        <v>124</v>
      </c>
      <c r="R68" s="37">
        <v>-804000</v>
      </c>
      <c r="S68" s="37">
        <v>-927000</v>
      </c>
      <c r="T68" s="37">
        <v>-53000</v>
      </c>
      <c r="U68" s="37">
        <v>-2623000</v>
      </c>
      <c r="V68" s="37">
        <v>-44000</v>
      </c>
      <c r="W68" s="37">
        <v>-53000</v>
      </c>
      <c r="X68" s="37">
        <v>-3042000</v>
      </c>
      <c r="Y68" s="37">
        <v>-2127000</v>
      </c>
      <c r="Z68" s="37">
        <v>-1000</v>
      </c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 hidden="1" outlineLevel="3" x14ac:dyDescent="0.25">
      <c r="A69" s="29">
        <v>1</v>
      </c>
      <c r="C69" s="24" t="str">
        <f>"            Sale of Business"</f>
        <v xml:space="preserve">            Sale of Business</v>
      </c>
      <c r="D69" s="32">
        <f t="shared" si="8"/>
        <v>306000</v>
      </c>
      <c r="E69" s="32">
        <f t="shared" si="9"/>
        <v>1057833.3333333333</v>
      </c>
      <c r="F69" s="32">
        <f t="shared" si="10"/>
        <v>0</v>
      </c>
      <c r="G69" s="32">
        <f t="shared" si="11"/>
        <v>4821000</v>
      </c>
      <c r="H69" s="32">
        <f t="shared" si="12"/>
        <v>71500</v>
      </c>
      <c r="I69" s="32">
        <f t="shared" si="13"/>
        <v>767000</v>
      </c>
      <c r="J69" s="32">
        <f t="shared" si="14"/>
        <v>1872396.1564441074</v>
      </c>
      <c r="K69" s="33">
        <f t="shared" si="15"/>
        <v>1.770029453074625</v>
      </c>
      <c r="L69" s="37"/>
      <c r="M69" s="37" t="s">
        <v>124</v>
      </c>
      <c r="N69" s="37" t="s">
        <v>124</v>
      </c>
      <c r="O69" s="37" t="s">
        <v>124</v>
      </c>
      <c r="P69" s="37" t="s">
        <v>124</v>
      </c>
      <c r="Q69" s="37" t="s">
        <v>124</v>
      </c>
      <c r="R69" s="37" t="s">
        <v>124</v>
      </c>
      <c r="S69" s="37" t="s">
        <v>124</v>
      </c>
      <c r="T69" s="37" t="s">
        <v>124</v>
      </c>
      <c r="U69" s="37">
        <v>896000</v>
      </c>
      <c r="V69" s="37">
        <v>18000</v>
      </c>
      <c r="W69" s="37">
        <v>4821000</v>
      </c>
      <c r="X69" s="37">
        <v>380000</v>
      </c>
      <c r="Y69" s="37">
        <v>0</v>
      </c>
      <c r="Z69" s="37">
        <v>232000</v>
      </c>
      <c r="AB69" s="30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 hidden="1" outlineLevel="3" x14ac:dyDescent="0.25">
      <c r="A70" s="29">
        <v>1</v>
      </c>
      <c r="C70" s="25" t="str">
        <f>"            Total (Purchase)/Sale of Business, Net"</f>
        <v xml:space="preserve">            Total (Purchase)/Sale of Business, Net</v>
      </c>
      <c r="D70" s="45">
        <f t="shared" si="8"/>
        <v>-804000</v>
      </c>
      <c r="E70" s="45">
        <f t="shared" si="9"/>
        <v>-369666.66666666669</v>
      </c>
      <c r="F70" s="45">
        <f t="shared" si="10"/>
        <v>-2662000</v>
      </c>
      <c r="G70" s="45">
        <f t="shared" si="11"/>
        <v>4768000</v>
      </c>
      <c r="H70" s="45">
        <f t="shared" si="12"/>
        <v>-1727000</v>
      </c>
      <c r="I70" s="45">
        <f t="shared" si="13"/>
        <v>-26000</v>
      </c>
      <c r="J70" s="45">
        <f t="shared" si="14"/>
        <v>2169661.1486589327</v>
      </c>
      <c r="K70" s="46">
        <f t="shared" si="15"/>
        <v>-5.8692366510160481</v>
      </c>
      <c r="L70" s="47"/>
      <c r="M70" s="47" t="s">
        <v>124</v>
      </c>
      <c r="N70" s="47" t="s">
        <v>124</v>
      </c>
      <c r="O70" s="47" t="s">
        <v>124</v>
      </c>
      <c r="P70" s="47" t="s">
        <v>124</v>
      </c>
      <c r="Q70" s="47" t="s">
        <v>124</v>
      </c>
      <c r="R70" s="47">
        <v>-804000</v>
      </c>
      <c r="S70" s="47">
        <v>-927000</v>
      </c>
      <c r="T70" s="47">
        <v>-53000</v>
      </c>
      <c r="U70" s="47">
        <v>-1727000</v>
      </c>
      <c r="V70" s="47">
        <v>-26000</v>
      </c>
      <c r="W70" s="47">
        <v>4768000</v>
      </c>
      <c r="X70" s="47">
        <v>-2662000</v>
      </c>
      <c r="Y70" s="47">
        <v>-2127000</v>
      </c>
      <c r="Z70" s="47">
        <v>231000</v>
      </c>
      <c r="AB70" s="30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 hidden="1" outlineLevel="2" collapsed="1" x14ac:dyDescent="0.25">
      <c r="A71" s="29">
        <v>1</v>
      </c>
      <c r="C71" s="24" t="str">
        <f>IF(SUBTOTAL(109,A71)=A71,"        (Purchase)/Sale of Investments, Net","        (Purchase)/Sale of Investments, Net")</f>
        <v xml:space="preserve">        (Purchase)/Sale of Investments, Net</v>
      </c>
      <c r="D71" s="32">
        <f t="shared" si="8"/>
        <v>260500</v>
      </c>
      <c r="E71" s="32">
        <f t="shared" si="9"/>
        <v>-429142.85714285716</v>
      </c>
      <c r="F71" s="32">
        <f t="shared" si="10"/>
        <v>-10621000</v>
      </c>
      <c r="G71" s="32">
        <f t="shared" si="11"/>
        <v>6902000</v>
      </c>
      <c r="H71" s="32">
        <f t="shared" si="12"/>
        <v>-2875500</v>
      </c>
      <c r="I71" s="32">
        <f t="shared" si="13"/>
        <v>2166250</v>
      </c>
      <c r="J71" s="32">
        <f t="shared" si="14"/>
        <v>4357397.8448177045</v>
      </c>
      <c r="K71" s="33">
        <f t="shared" si="15"/>
        <v>-10.153723340121148</v>
      </c>
      <c r="L71" s="37"/>
      <c r="M71" s="37">
        <f>IF(SUBTOTAL(109,A71)=A71,"",385000)</f>
        <v>385000</v>
      </c>
      <c r="N71" s="37">
        <f>IF(SUBTOTAL(109,A71)=A71,"",-4263000)</f>
        <v>-4263000</v>
      </c>
      <c r="O71" s="37">
        <f>IF(SUBTOTAL(109,A71)=A71,"",2190000)</f>
        <v>2190000</v>
      </c>
      <c r="P71" s="37">
        <f>IF(SUBTOTAL(109,A71)=A71,"",2288000)</f>
        <v>2288000</v>
      </c>
      <c r="Q71" s="37">
        <f>IF(SUBTOTAL(109,A71)=A71,"",3504000)</f>
        <v>3504000</v>
      </c>
      <c r="R71" s="37">
        <f>IF(SUBTOTAL(109,A71)=A71,"",-3701000)</f>
        <v>-3701000</v>
      </c>
      <c r="S71" s="37">
        <f>IF(SUBTOTAL(109,A71)=A71,"",858000)</f>
        <v>858000</v>
      </c>
      <c r="T71" s="37">
        <f>IF(SUBTOTAL(109,A71)=A71,"",-399000)</f>
        <v>-399000</v>
      </c>
      <c r="U71" s="37">
        <f>IF(SUBTOTAL(109,A71)=A71,"",136000)</f>
        <v>136000</v>
      </c>
      <c r="V71" s="37">
        <f>IF(SUBTOTAL(109,A71)=A71,"",6902000)</f>
        <v>6902000</v>
      </c>
      <c r="W71" s="37">
        <f>IF(SUBTOTAL(109,A71)=A71,"",-10621000)</f>
        <v>-10621000</v>
      </c>
      <c r="X71" s="37">
        <f>IF(SUBTOTAL(109,A71)=A71,"",-5416000)</f>
        <v>-5416000</v>
      </c>
      <c r="Y71" s="37">
        <f>IF(SUBTOTAL(109,A71)=A71,"",34000)</f>
        <v>34000</v>
      </c>
      <c r="Z71" s="37">
        <f>IF(SUBTOTAL(109,A71)=A71,"",2095000)</f>
        <v>2095000</v>
      </c>
      <c r="AB71" s="30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 hidden="1" outlineLevel="3" x14ac:dyDescent="0.25">
      <c r="A72" s="29">
        <v>1</v>
      </c>
      <c r="C72" s="24" t="str">
        <f>"            Purchase of Investments"</f>
        <v xml:space="preserve">            Purchase of Investments</v>
      </c>
      <c r="D72" s="32">
        <f t="shared" si="8"/>
        <v>-9258500</v>
      </c>
      <c r="E72" s="32">
        <f t="shared" si="9"/>
        <v>-9641714.2857142854</v>
      </c>
      <c r="F72" s="32">
        <f t="shared" si="10"/>
        <v>-27106000</v>
      </c>
      <c r="G72" s="32">
        <f t="shared" si="11"/>
        <v>-360000</v>
      </c>
      <c r="H72" s="32">
        <f t="shared" si="12"/>
        <v>-11248500</v>
      </c>
      <c r="I72" s="32">
        <f t="shared" si="13"/>
        <v>-4432000</v>
      </c>
      <c r="J72" s="32">
        <f t="shared" si="14"/>
        <v>6807316.261297008</v>
      </c>
      <c r="K72" s="33">
        <f t="shared" si="15"/>
        <v>-0.70602758592246573</v>
      </c>
      <c r="L72" s="37"/>
      <c r="M72" s="37">
        <v>-8962000</v>
      </c>
      <c r="N72" s="37">
        <v>-16204000</v>
      </c>
      <c r="O72" s="37">
        <v>-4075000</v>
      </c>
      <c r="P72" s="37">
        <v>-2820000</v>
      </c>
      <c r="Q72" s="37">
        <v>-5503000</v>
      </c>
      <c r="R72" s="37">
        <v>-15444000</v>
      </c>
      <c r="S72" s="37">
        <v>-9363000</v>
      </c>
      <c r="T72" s="37">
        <v>-9154000</v>
      </c>
      <c r="U72" s="37">
        <v>-9968000</v>
      </c>
      <c r="V72" s="37">
        <v>-10884000</v>
      </c>
      <c r="W72" s="37">
        <v>-27106000</v>
      </c>
      <c r="X72" s="37">
        <v>-11370000</v>
      </c>
      <c r="Y72" s="37">
        <v>-360000</v>
      </c>
      <c r="Z72" s="37">
        <v>-3771000</v>
      </c>
      <c r="AB72" s="30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 hidden="1" outlineLevel="3" x14ac:dyDescent="0.25">
      <c r="A73" s="29">
        <v>1</v>
      </c>
      <c r="C73" s="24" t="str">
        <f>"            Sale of Investments"</f>
        <v xml:space="preserve">            Sale of Investments</v>
      </c>
      <c r="D73" s="32">
        <f t="shared" si="8"/>
        <v>9177000</v>
      </c>
      <c r="E73" s="32">
        <f t="shared" si="9"/>
        <v>9212571.4285714291</v>
      </c>
      <c r="F73" s="32">
        <f t="shared" si="10"/>
        <v>394000</v>
      </c>
      <c r="G73" s="32">
        <f t="shared" si="11"/>
        <v>17786000</v>
      </c>
      <c r="H73" s="32">
        <f t="shared" si="12"/>
        <v>6031750</v>
      </c>
      <c r="I73" s="32">
        <f t="shared" si="13"/>
        <v>11362500</v>
      </c>
      <c r="J73" s="32">
        <f t="shared" si="14"/>
        <v>4535681.4043975584</v>
      </c>
      <c r="K73" s="33">
        <f t="shared" si="15"/>
        <v>0.49233609091277303</v>
      </c>
      <c r="L73" s="37"/>
      <c r="M73" s="37">
        <v>9347000</v>
      </c>
      <c r="N73" s="37">
        <v>11941000</v>
      </c>
      <c r="O73" s="37">
        <v>6265000</v>
      </c>
      <c r="P73" s="37">
        <v>5108000</v>
      </c>
      <c r="Q73" s="37">
        <v>9007000</v>
      </c>
      <c r="R73" s="37">
        <v>11743000</v>
      </c>
      <c r="S73" s="37">
        <v>10221000</v>
      </c>
      <c r="T73" s="37">
        <v>8755000</v>
      </c>
      <c r="U73" s="37">
        <v>10104000</v>
      </c>
      <c r="V73" s="37">
        <v>17786000</v>
      </c>
      <c r="W73" s="37">
        <v>16485000</v>
      </c>
      <c r="X73" s="37">
        <v>5954000</v>
      </c>
      <c r="Y73" s="37">
        <v>394000</v>
      </c>
      <c r="Z73" s="37">
        <v>5866000</v>
      </c>
      <c r="AB73" s="30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 hidden="1" outlineLevel="3" x14ac:dyDescent="0.25">
      <c r="A74" s="29">
        <v>1</v>
      </c>
      <c r="C74" s="25" t="str">
        <f>"            Total (Purchase)/Sale of Investments, Net"</f>
        <v xml:space="preserve">            Total (Purchase)/Sale of Investments, Net</v>
      </c>
      <c r="D74" s="45">
        <f t="shared" si="8"/>
        <v>260500</v>
      </c>
      <c r="E74" s="45">
        <f t="shared" si="9"/>
        <v>-429142.85714285716</v>
      </c>
      <c r="F74" s="45">
        <f t="shared" si="10"/>
        <v>-10621000</v>
      </c>
      <c r="G74" s="45">
        <f t="shared" si="11"/>
        <v>6902000</v>
      </c>
      <c r="H74" s="45">
        <f t="shared" si="12"/>
        <v>-2875500</v>
      </c>
      <c r="I74" s="45">
        <f t="shared" si="13"/>
        <v>2166250</v>
      </c>
      <c r="J74" s="45">
        <f t="shared" si="14"/>
        <v>4357397.8448177045</v>
      </c>
      <c r="K74" s="46">
        <f t="shared" si="15"/>
        <v>-10.153723340121148</v>
      </c>
      <c r="L74" s="47"/>
      <c r="M74" s="47">
        <v>385000</v>
      </c>
      <c r="N74" s="47">
        <v>-4263000</v>
      </c>
      <c r="O74" s="47">
        <v>2190000</v>
      </c>
      <c r="P74" s="47">
        <v>2288000</v>
      </c>
      <c r="Q74" s="47">
        <v>3504000</v>
      </c>
      <c r="R74" s="47">
        <v>-3701000</v>
      </c>
      <c r="S74" s="47">
        <v>858000</v>
      </c>
      <c r="T74" s="47">
        <v>-399000</v>
      </c>
      <c r="U74" s="47">
        <v>136000</v>
      </c>
      <c r="V74" s="47">
        <v>6902000</v>
      </c>
      <c r="W74" s="47">
        <v>-10621000</v>
      </c>
      <c r="X74" s="47">
        <v>-5416000</v>
      </c>
      <c r="Y74" s="47">
        <v>34000</v>
      </c>
      <c r="Z74" s="47">
        <v>2095000</v>
      </c>
      <c r="AB74" s="3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 hidden="1" outlineLevel="2" collapsed="1" x14ac:dyDescent="0.25">
      <c r="A75" s="29">
        <v>1</v>
      </c>
      <c r="C75" s="24" t="str">
        <f>IF(SUBTOTAL(109,A75)=A75,"        (Purchase)/Sale of Other Non-Current Assets, Net","        (Purchase)/Sale of Other Non-Current Assets, Net")</f>
        <v xml:space="preserve">        (Purchase)/Sale of Other Non-Current Assets, Net</v>
      </c>
      <c r="D75" s="32">
        <f t="shared" ref="D75:D106" si="16">IF(COUNT(M75:Z75)&gt;0,MEDIAN(M75:Z75),"")</f>
        <v>-4181500</v>
      </c>
      <c r="E75" s="32">
        <f t="shared" ref="E75:E106" si="17">IF(COUNT(M75:Z75)&gt;0,AVERAGE(M75:Z75),"")</f>
        <v>-4760333.333333333</v>
      </c>
      <c r="F75" s="32">
        <f t="shared" ref="F75:F106" si="18">IF(COUNT(M75:Z75)&gt;0,MIN(M75:Z75),"")</f>
        <v>-10364000</v>
      </c>
      <c r="G75" s="32">
        <f t="shared" ref="G75:G106" si="19">IF(COUNT(M75:Z75)&gt;0,MAX(M75:Z75),"")</f>
        <v>-76000</v>
      </c>
      <c r="H75" s="32">
        <f t="shared" ref="H75:H106" si="20">IF(COUNT(M75:Z75)&gt;0,QUARTILE(M75:Z75,1),"")</f>
        <v>-7157000</v>
      </c>
      <c r="I75" s="32">
        <f t="shared" ref="I75:I106" si="21">IF(COUNT(M75:Z75)&gt;0,QUARTILE(M75:Z75,3),"")</f>
        <v>-2428500</v>
      </c>
      <c r="J75" s="32">
        <f t="shared" ref="J75:J106" si="22">IF(COUNT(M75:Z75)&gt;1,STDEV(M75:Z75),"")</f>
        <v>3201003.3464903506</v>
      </c>
      <c r="K75" s="33">
        <f t="shared" ref="K75:K106" si="23">IF(COUNT(M75:Z75)&gt;1,STDEV(M75:Z75)/AVERAGE(M75:Z75),"")</f>
        <v>-0.67243260552279616</v>
      </c>
      <c r="L75" s="37"/>
      <c r="M75" s="37">
        <f>IF(SUBTOTAL(109,A75)=A75,"",-8387000)</f>
        <v>-8387000</v>
      </c>
      <c r="N75" s="37">
        <f>IF(SUBTOTAL(109,A75)=A75,"",-10364000)</f>
        <v>-10364000</v>
      </c>
      <c r="O75" s="37">
        <f>IF(SUBTOTAL(109,A75)=A75,"",-2533000)</f>
        <v>-2533000</v>
      </c>
      <c r="P75" s="37">
        <f>IF(SUBTOTAL(109,A75)=A75,"",-8623000)</f>
        <v>-8623000</v>
      </c>
      <c r="Q75" s="37">
        <f>IF(SUBTOTAL(109,A75)=A75,"",-6747000)</f>
        <v>-6747000</v>
      </c>
      <c r="R75" s="37">
        <f>IF(SUBTOTAL(109,A75)=A75,"",-4479000)</f>
        <v>-4479000</v>
      </c>
      <c r="S75" s="37">
        <f>IF(SUBTOTAL(109,A75)=A75,"",-5340000)</f>
        <v>-5340000</v>
      </c>
      <c r="T75" s="37">
        <f>IF(SUBTOTAL(109,A75)=A75,"",-3884000)</f>
        <v>-3884000</v>
      </c>
      <c r="U75" s="37">
        <f>IF(SUBTOTAL(109,A75)=A75,"",-3283000)</f>
        <v>-3283000</v>
      </c>
      <c r="V75" s="37">
        <f>IF(SUBTOTAL(109,A75)=A75,"",-2115000)</f>
        <v>-2115000</v>
      </c>
      <c r="W75" s="37">
        <f>IF(SUBTOTAL(109,A75)=A75,"",-1293000)</f>
        <v>-1293000</v>
      </c>
      <c r="X75" s="37">
        <f>IF(SUBTOTAL(109,A75)=A75,"",-76000)</f>
        <v>-76000</v>
      </c>
      <c r="Y75" s="37" t="str">
        <f>IF(SUBTOTAL(109,A75)=A75,"","")</f>
        <v/>
      </c>
      <c r="Z75" s="37" t="str">
        <f>IF(SUBTOTAL(109,A75)=A75,"","")</f>
        <v/>
      </c>
      <c r="AB75" s="30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 hidden="1" outlineLevel="3" x14ac:dyDescent="0.25">
      <c r="A76" s="29">
        <v>1</v>
      </c>
      <c r="C76" s="24" t="str">
        <f>"            Purchase of Other Non-Current Assets"</f>
        <v xml:space="preserve">            Purchase of Other Non-Current Assets</v>
      </c>
      <c r="D76" s="32">
        <f t="shared" si="16"/>
        <v>-14561000</v>
      </c>
      <c r="E76" s="32">
        <f t="shared" si="17"/>
        <v>-16546833.333333334</v>
      </c>
      <c r="F76" s="32">
        <f t="shared" si="18"/>
        <v>-33009000</v>
      </c>
      <c r="G76" s="32">
        <f t="shared" si="19"/>
        <v>-947000</v>
      </c>
      <c r="H76" s="32">
        <f t="shared" si="20"/>
        <v>-24821250</v>
      </c>
      <c r="I76" s="32">
        <f t="shared" si="21"/>
        <v>-9659000</v>
      </c>
      <c r="J76" s="32">
        <f t="shared" si="22"/>
        <v>10188880.818487048</v>
      </c>
      <c r="K76" s="33">
        <f t="shared" si="23"/>
        <v>-0.61576016469336814</v>
      </c>
      <c r="L76" s="37"/>
      <c r="M76" s="37">
        <v>-33009000</v>
      </c>
      <c r="N76" s="37">
        <v>-30090000</v>
      </c>
      <c r="O76" s="37">
        <v>-24538000</v>
      </c>
      <c r="P76" s="37">
        <v>-25671000</v>
      </c>
      <c r="Q76" s="37">
        <v>-19325000</v>
      </c>
      <c r="R76" s="37">
        <v>-14378000</v>
      </c>
      <c r="S76" s="37">
        <v>-13888000</v>
      </c>
      <c r="T76" s="37">
        <v>-14744000</v>
      </c>
      <c r="U76" s="37">
        <v>-10838000</v>
      </c>
      <c r="V76" s="37">
        <v>-6122000</v>
      </c>
      <c r="W76" s="37">
        <v>-5012000</v>
      </c>
      <c r="X76" s="37">
        <v>-947000</v>
      </c>
      <c r="Y76" s="37" t="s">
        <v>124</v>
      </c>
      <c r="Z76" s="37" t="s">
        <v>124</v>
      </c>
      <c r="AB76" s="30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 hidden="1" outlineLevel="3" x14ac:dyDescent="0.25">
      <c r="A77" s="29">
        <v>1</v>
      </c>
      <c r="C77" s="24" t="str">
        <f>"            Sales of Other Non-Current Assets"</f>
        <v xml:space="preserve">            Sales of Other Non-Current Assets</v>
      </c>
      <c r="D77" s="32">
        <f t="shared" si="16"/>
        <v>10379500</v>
      </c>
      <c r="E77" s="32">
        <f t="shared" si="17"/>
        <v>11786500</v>
      </c>
      <c r="F77" s="32">
        <f t="shared" si="18"/>
        <v>871000</v>
      </c>
      <c r="G77" s="32">
        <f t="shared" si="19"/>
        <v>24622000</v>
      </c>
      <c r="H77" s="32">
        <f t="shared" si="20"/>
        <v>6668000</v>
      </c>
      <c r="I77" s="32">
        <f t="shared" si="21"/>
        <v>17717500</v>
      </c>
      <c r="J77" s="32">
        <f t="shared" si="22"/>
        <v>7616257.5336041404</v>
      </c>
      <c r="K77" s="33">
        <f t="shared" si="23"/>
        <v>0.64618483295330598</v>
      </c>
      <c r="L77" s="37"/>
      <c r="M77" s="37">
        <v>24622000</v>
      </c>
      <c r="N77" s="37">
        <v>19726000</v>
      </c>
      <c r="O77" s="37">
        <v>22005000</v>
      </c>
      <c r="P77" s="37">
        <v>17048000</v>
      </c>
      <c r="Q77" s="37">
        <v>12578000</v>
      </c>
      <c r="R77" s="37">
        <v>9899000</v>
      </c>
      <c r="S77" s="37">
        <v>8548000</v>
      </c>
      <c r="T77" s="37">
        <v>10860000</v>
      </c>
      <c r="U77" s="37">
        <v>7555000</v>
      </c>
      <c r="V77" s="37">
        <v>4007000</v>
      </c>
      <c r="W77" s="37">
        <v>3719000</v>
      </c>
      <c r="X77" s="37">
        <v>871000</v>
      </c>
      <c r="Y77" s="37" t="s">
        <v>124</v>
      </c>
      <c r="Z77" s="37" t="s">
        <v>124</v>
      </c>
      <c r="AB77" s="30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 hidden="1" outlineLevel="3" x14ac:dyDescent="0.25">
      <c r="A78" s="29">
        <v>1</v>
      </c>
      <c r="C78" s="25" t="str">
        <f>"            Total (Purchase)/Sale of Other Non-Current Assets, Net"</f>
        <v xml:space="preserve">            Total (Purchase)/Sale of Other Non-Current Assets, Net</v>
      </c>
      <c r="D78" s="45">
        <f t="shared" si="16"/>
        <v>-4181500</v>
      </c>
      <c r="E78" s="45">
        <f t="shared" si="17"/>
        <v>-4760333.333333333</v>
      </c>
      <c r="F78" s="45">
        <f t="shared" si="18"/>
        <v>-10364000</v>
      </c>
      <c r="G78" s="45">
        <f t="shared" si="19"/>
        <v>-76000</v>
      </c>
      <c r="H78" s="45">
        <f t="shared" si="20"/>
        <v>-7157000</v>
      </c>
      <c r="I78" s="45">
        <f t="shared" si="21"/>
        <v>-2428500</v>
      </c>
      <c r="J78" s="45">
        <f t="shared" si="22"/>
        <v>3201003.3464903506</v>
      </c>
      <c r="K78" s="46">
        <f t="shared" si="23"/>
        <v>-0.67243260552279616</v>
      </c>
      <c r="L78" s="47"/>
      <c r="M78" s="47">
        <v>-8387000</v>
      </c>
      <c r="N78" s="47">
        <v>-10364000</v>
      </c>
      <c r="O78" s="47">
        <v>-2533000</v>
      </c>
      <c r="P78" s="47">
        <v>-8623000</v>
      </c>
      <c r="Q78" s="47">
        <v>-6747000</v>
      </c>
      <c r="R78" s="47">
        <v>-4479000</v>
      </c>
      <c r="S78" s="47">
        <v>-5340000</v>
      </c>
      <c r="T78" s="47">
        <v>-3884000</v>
      </c>
      <c r="U78" s="47">
        <v>-3283000</v>
      </c>
      <c r="V78" s="47">
        <v>-2115000</v>
      </c>
      <c r="W78" s="47">
        <v>-1293000</v>
      </c>
      <c r="X78" s="47">
        <v>-76000</v>
      </c>
      <c r="Y78" s="47" t="s">
        <v>124</v>
      </c>
      <c r="Z78" s="47" t="s">
        <v>124</v>
      </c>
      <c r="AB78" s="30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 hidden="1" outlineLevel="2" x14ac:dyDescent="0.25">
      <c r="A79" s="29">
        <v>1</v>
      </c>
      <c r="C79" s="24" t="str">
        <f>"        Change in Restricted Cash and Cash Equivalents"</f>
        <v xml:space="preserve">        Change in Restricted Cash and Cash Equivalents</v>
      </c>
      <c r="D79" s="32">
        <f t="shared" si="16"/>
        <v>865000</v>
      </c>
      <c r="E79" s="32">
        <f t="shared" si="17"/>
        <v>490400</v>
      </c>
      <c r="F79" s="32">
        <f t="shared" si="18"/>
        <v>-12872000</v>
      </c>
      <c r="G79" s="32">
        <f t="shared" si="19"/>
        <v>12997000</v>
      </c>
      <c r="H79" s="32">
        <f t="shared" si="20"/>
        <v>123000</v>
      </c>
      <c r="I79" s="32">
        <f t="shared" si="21"/>
        <v>1339000</v>
      </c>
      <c r="J79" s="32">
        <f t="shared" si="22"/>
        <v>9164663.2125790641</v>
      </c>
      <c r="K79" s="33">
        <f t="shared" si="23"/>
        <v>18.688138687967097</v>
      </c>
      <c r="L79" s="37"/>
      <c r="M79" s="37" t="s">
        <v>124</v>
      </c>
      <c r="N79" s="37" t="s">
        <v>124</v>
      </c>
      <c r="O79" s="37" t="s">
        <v>124</v>
      </c>
      <c r="P79" s="37" t="s">
        <v>124</v>
      </c>
      <c r="Q79" s="37" t="s">
        <v>124</v>
      </c>
      <c r="R79" s="37" t="s">
        <v>124</v>
      </c>
      <c r="S79" s="37" t="s">
        <v>124</v>
      </c>
      <c r="T79" s="37" t="s">
        <v>124</v>
      </c>
      <c r="U79" s="37">
        <v>123000</v>
      </c>
      <c r="V79" s="37">
        <v>865000</v>
      </c>
      <c r="W79" s="37">
        <v>1339000</v>
      </c>
      <c r="X79" s="37">
        <v>12997000</v>
      </c>
      <c r="Y79" s="37">
        <v>-12872000</v>
      </c>
      <c r="Z79" s="37" t="s">
        <v>124</v>
      </c>
      <c r="AB79" s="30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 hidden="1" outlineLevel="2" x14ac:dyDescent="0.25">
      <c r="A80" s="29">
        <v>1</v>
      </c>
      <c r="C80" s="24" t="str">
        <f>"        Other Investing Cash Flow"</f>
        <v xml:space="preserve">        Other Investing Cash Flow</v>
      </c>
      <c r="D80" s="32">
        <f t="shared" si="16"/>
        <v>121500</v>
      </c>
      <c r="E80" s="32">
        <f t="shared" si="17"/>
        <v>338428.57142857142</v>
      </c>
      <c r="F80" s="32">
        <f t="shared" si="18"/>
        <v>-635000</v>
      </c>
      <c r="G80" s="32">
        <f t="shared" si="19"/>
        <v>3093000</v>
      </c>
      <c r="H80" s="32">
        <f t="shared" si="20"/>
        <v>-3000</v>
      </c>
      <c r="I80" s="32">
        <f t="shared" si="21"/>
        <v>233250</v>
      </c>
      <c r="J80" s="32">
        <f t="shared" si="22"/>
        <v>886037.82818062173</v>
      </c>
      <c r="K80" s="33">
        <f t="shared" si="23"/>
        <v>2.6180940469668013</v>
      </c>
      <c r="L80" s="37"/>
      <c r="M80" s="37">
        <v>-635000</v>
      </c>
      <c r="N80" s="37">
        <v>-65000</v>
      </c>
      <c r="O80" s="37">
        <v>138000</v>
      </c>
      <c r="P80" s="37">
        <v>39000</v>
      </c>
      <c r="Q80" s="37">
        <v>137000</v>
      </c>
      <c r="R80" s="37">
        <v>162000</v>
      </c>
      <c r="S80" s="37">
        <v>15000</v>
      </c>
      <c r="T80" s="37">
        <v>311000</v>
      </c>
      <c r="U80" s="37">
        <v>-9000</v>
      </c>
      <c r="V80" s="37">
        <v>-72000</v>
      </c>
      <c r="W80" s="37">
        <v>106000</v>
      </c>
      <c r="X80" s="37">
        <v>257000</v>
      </c>
      <c r="Y80" s="37">
        <v>1261000</v>
      </c>
      <c r="Z80" s="37">
        <v>3093000</v>
      </c>
      <c r="AB80" s="30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 hidden="1" outlineLevel="2" x14ac:dyDescent="0.25">
      <c r="A81" s="29">
        <v>1</v>
      </c>
      <c r="C81" s="25" t="str">
        <f>"        Total Cash Flow from Continuing Investing Activities"</f>
        <v xml:space="preserve">        Total Cash Flow from Continuing Investing Activities</v>
      </c>
      <c r="D81" s="45">
        <f t="shared" si="16"/>
        <v>-15857000</v>
      </c>
      <c r="E81" s="45">
        <f t="shared" si="17"/>
        <v>-15707928.571428571</v>
      </c>
      <c r="F81" s="45">
        <f t="shared" si="18"/>
        <v>-34147000</v>
      </c>
      <c r="G81" s="45">
        <f t="shared" si="19"/>
        <v>1233000</v>
      </c>
      <c r="H81" s="45">
        <f t="shared" si="20"/>
        <v>-21601750</v>
      </c>
      <c r="I81" s="45">
        <f t="shared" si="21"/>
        <v>-11359250</v>
      </c>
      <c r="J81" s="45">
        <f t="shared" si="22"/>
        <v>9845804.8033299316</v>
      </c>
      <c r="K81" s="46">
        <f t="shared" si="23"/>
        <v>-0.62680478578433574</v>
      </c>
      <c r="L81" s="47"/>
      <c r="M81" s="47">
        <v>-16355000</v>
      </c>
      <c r="N81" s="47">
        <v>-21826000</v>
      </c>
      <c r="O81" s="47">
        <v>-10899000</v>
      </c>
      <c r="P81" s="47">
        <v>-20929000</v>
      </c>
      <c r="Q81" s="47">
        <v>-24072000</v>
      </c>
      <c r="R81" s="47">
        <v>-34147000</v>
      </c>
      <c r="S81" s="47">
        <v>-26208000</v>
      </c>
      <c r="T81" s="47">
        <v>-15359000</v>
      </c>
      <c r="U81" s="47">
        <v>-14362000</v>
      </c>
      <c r="V81" s="47">
        <v>-3505000</v>
      </c>
      <c r="W81" s="47">
        <v>-12740000</v>
      </c>
      <c r="X81" s="47">
        <v>1233000</v>
      </c>
      <c r="Y81" s="47">
        <v>-18978000</v>
      </c>
      <c r="Z81" s="47">
        <v>-1764000</v>
      </c>
      <c r="AB81" s="30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 hidden="1" outlineLevel="1" x14ac:dyDescent="0.25">
      <c r="A82" s="29">
        <v>1</v>
      </c>
      <c r="C82" s="24" t="str">
        <f>"    Net Cash Flow from Discontinued Investing Activities"</f>
        <v xml:space="preserve">    Net Cash Flow from Discontinued Investing Activities</v>
      </c>
      <c r="D82" s="32">
        <f t="shared" si="16"/>
        <v>-1496000</v>
      </c>
      <c r="E82" s="32">
        <f t="shared" si="17"/>
        <v>-1266400</v>
      </c>
      <c r="F82" s="32">
        <f t="shared" si="18"/>
        <v>-3500000</v>
      </c>
      <c r="G82" s="32">
        <f t="shared" si="19"/>
        <v>166000</v>
      </c>
      <c r="H82" s="32">
        <f t="shared" si="20"/>
        <v>-1502000</v>
      </c>
      <c r="I82" s="32">
        <f t="shared" si="21"/>
        <v>0</v>
      </c>
      <c r="J82" s="32">
        <f t="shared" si="22"/>
        <v>1479250.7562952267</v>
      </c>
      <c r="K82" s="33">
        <f t="shared" si="23"/>
        <v>-1.1680754550657191</v>
      </c>
      <c r="L82" s="37"/>
      <c r="M82" s="37" t="s">
        <v>124</v>
      </c>
      <c r="N82" s="37" t="s">
        <v>124</v>
      </c>
      <c r="O82" s="37" t="s">
        <v>124</v>
      </c>
      <c r="P82" s="37">
        <v>166000</v>
      </c>
      <c r="Q82" s="37">
        <v>-3500000</v>
      </c>
      <c r="R82" s="37">
        <v>-1496000</v>
      </c>
      <c r="S82" s="37">
        <v>-1502000</v>
      </c>
      <c r="T82" s="37" t="s">
        <v>124</v>
      </c>
      <c r="U82" s="37" t="s">
        <v>124</v>
      </c>
      <c r="V82" s="37" t="s">
        <v>124</v>
      </c>
      <c r="W82" s="37" t="s">
        <v>124</v>
      </c>
      <c r="X82" s="37" t="s">
        <v>124</v>
      </c>
      <c r="Y82" s="37" t="s">
        <v>124</v>
      </c>
      <c r="Z82" s="37">
        <v>0</v>
      </c>
      <c r="AB82" s="30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 hidden="1" outlineLevel="1" x14ac:dyDescent="0.25">
      <c r="A83" s="29">
        <v>1</v>
      </c>
      <c r="C83" s="26" t="str">
        <f>"    Total Cash Flow from Investing Activities"</f>
        <v xml:space="preserve">    Total Cash Flow from Investing Activities</v>
      </c>
      <c r="D83" s="45">
        <f t="shared" si="16"/>
        <v>-15857000</v>
      </c>
      <c r="E83" s="45">
        <f t="shared" si="17"/>
        <v>-16160214.285714285</v>
      </c>
      <c r="F83" s="45">
        <f t="shared" si="18"/>
        <v>-35643000</v>
      </c>
      <c r="G83" s="45">
        <f t="shared" si="19"/>
        <v>1233000</v>
      </c>
      <c r="H83" s="45">
        <f t="shared" si="20"/>
        <v>-21560250</v>
      </c>
      <c r="I83" s="45">
        <f t="shared" si="21"/>
        <v>-11359250</v>
      </c>
      <c r="J83" s="45">
        <f t="shared" si="22"/>
        <v>10442712.07904987</v>
      </c>
      <c r="K83" s="46">
        <f t="shared" si="23"/>
        <v>-0.64619886187284548</v>
      </c>
      <c r="L83" s="45"/>
      <c r="M83" s="45">
        <v>-16355000</v>
      </c>
      <c r="N83" s="45">
        <v>-21826000</v>
      </c>
      <c r="O83" s="45">
        <v>-10899000</v>
      </c>
      <c r="P83" s="45">
        <v>-20763000</v>
      </c>
      <c r="Q83" s="45">
        <v>-27572000</v>
      </c>
      <c r="R83" s="45">
        <v>-35643000</v>
      </c>
      <c r="S83" s="45">
        <v>-27710000</v>
      </c>
      <c r="T83" s="45">
        <v>-15359000</v>
      </c>
      <c r="U83" s="45">
        <v>-14362000</v>
      </c>
      <c r="V83" s="45">
        <v>-3505000</v>
      </c>
      <c r="W83" s="45">
        <v>-12740000</v>
      </c>
      <c r="X83" s="45">
        <v>1233000</v>
      </c>
      <c r="Y83" s="45">
        <v>-18978000</v>
      </c>
      <c r="Z83" s="45">
        <v>-1764000</v>
      </c>
      <c r="AB83" s="30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 collapsed="1" x14ac:dyDescent="0.25">
      <c r="A84" s="29">
        <v>1</v>
      </c>
      <c r="C84" s="26" t="str">
        <f>IF(SUBTOTAL(109,A84)=A84,"Cash Flow from Financing Activities","Cash Flow from Financing Activities")</f>
        <v>Cash Flow from Financing Activities</v>
      </c>
      <c r="D84" s="43" t="str">
        <f t="shared" si="16"/>
        <v/>
      </c>
      <c r="E84" s="43" t="str">
        <f t="shared" si="17"/>
        <v/>
      </c>
      <c r="F84" s="43" t="str">
        <f t="shared" si="18"/>
        <v/>
      </c>
      <c r="G84" s="43" t="str">
        <f t="shared" si="19"/>
        <v/>
      </c>
      <c r="H84" s="43" t="str">
        <f t="shared" si="20"/>
        <v/>
      </c>
      <c r="I84" s="43" t="str">
        <f t="shared" si="21"/>
        <v/>
      </c>
      <c r="J84" s="43" t="str">
        <f t="shared" si="22"/>
        <v/>
      </c>
      <c r="K84" s="44" t="str">
        <f t="shared" si="23"/>
        <v/>
      </c>
      <c r="L84" s="43"/>
      <c r="M84" s="43" t="str">
        <f>IF(SUBTOTAL(109,A84)=A84,"",1744000)</f>
        <v/>
      </c>
      <c r="N84" s="43" t="str">
        <f>IF(SUBTOTAL(109,A84)=A84,"",5552000)</f>
        <v/>
      </c>
      <c r="O84" s="43" t="str">
        <f>IF(SUBTOTAL(109,A84)=A84,"",-4677000)</f>
        <v/>
      </c>
      <c r="P84" s="43" t="str">
        <f>IF(SUBTOTAL(109,A84)=A84,"",11454000)</f>
        <v/>
      </c>
      <c r="Q84" s="43" t="str">
        <f>IF(SUBTOTAL(109,A84)=A84,"",12584000)</f>
        <v/>
      </c>
      <c r="R84" s="43" t="str">
        <f>IF(SUBTOTAL(109,A84)=A84,"",17077000)</f>
        <v/>
      </c>
      <c r="S84" s="43" t="str">
        <f>IF(SUBTOTAL(109,A84)=A84,"",13608000)</f>
        <v/>
      </c>
      <c r="T84" s="43" t="str">
        <f>IF(SUBTOTAL(109,A84)=A84,"",5675000)</f>
        <v/>
      </c>
      <c r="U84" s="43" t="str">
        <f>IF(SUBTOTAL(109,A84)=A84,"",3731000)</f>
        <v/>
      </c>
      <c r="V84" s="43" t="str">
        <f>IF(SUBTOTAL(109,A84)=A84,"",-4741000)</f>
        <v/>
      </c>
      <c r="W84" s="43" t="str">
        <f>IF(SUBTOTAL(109,A84)=A84,"",-358000)</f>
        <v/>
      </c>
      <c r="X84" s="43" t="str">
        <f>IF(SUBTOTAL(109,A84)=A84,"",-9770000)</f>
        <v/>
      </c>
      <c r="Y84" s="43" t="str">
        <f>IF(SUBTOTAL(109,A84)=A84,"",44574000)</f>
        <v/>
      </c>
      <c r="Z84" s="43" t="str">
        <f>IF(SUBTOTAL(109,A84)=A84,"",3843000)</f>
        <v/>
      </c>
      <c r="AB84" s="30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 hidden="1" outlineLevel="1" x14ac:dyDescent="0.25">
      <c r="A85" s="29">
        <v>1</v>
      </c>
      <c r="C85" s="24" t="str">
        <f>IF(SUBTOTAL(109,A85)=A85,"    Cash Flow from Continuing Financing Activities","    Cash Flow from Continuing Financing Activities")</f>
        <v xml:space="preserve">    Cash Flow from Continuing Financing Activities</v>
      </c>
      <c r="D85" s="32">
        <f t="shared" si="16"/>
        <v>4697500</v>
      </c>
      <c r="E85" s="32">
        <f t="shared" si="17"/>
        <v>6966357.1428571427</v>
      </c>
      <c r="F85" s="32">
        <f t="shared" si="18"/>
        <v>-9770000</v>
      </c>
      <c r="G85" s="32">
        <f t="shared" si="19"/>
        <v>44574000</v>
      </c>
      <c r="H85" s="32">
        <f t="shared" si="20"/>
        <v>167500</v>
      </c>
      <c r="I85" s="32">
        <f t="shared" si="21"/>
        <v>11935500</v>
      </c>
      <c r="J85" s="32">
        <f t="shared" si="22"/>
        <v>13095802.10841006</v>
      </c>
      <c r="K85" s="33">
        <f t="shared" si="23"/>
        <v>1.8798637278936607</v>
      </c>
      <c r="L85" s="37"/>
      <c r="M85" s="37">
        <f>IF(SUBTOTAL(109,A85)=A85,"",1744000)</f>
        <v>1744000</v>
      </c>
      <c r="N85" s="37">
        <f>IF(SUBTOTAL(109,A85)=A85,"",5552000)</f>
        <v>5552000</v>
      </c>
      <c r="O85" s="37">
        <f>IF(SUBTOTAL(109,A85)=A85,"",-4677000)</f>
        <v>-4677000</v>
      </c>
      <c r="P85" s="37">
        <f>IF(SUBTOTAL(109,A85)=A85,"",11454000)</f>
        <v>11454000</v>
      </c>
      <c r="Q85" s="37">
        <f>IF(SUBTOTAL(109,A85)=A85,"",12410000)</f>
        <v>12410000</v>
      </c>
      <c r="R85" s="37">
        <f>IF(SUBTOTAL(109,A85)=A85,"",15996000)</f>
        <v>15996000</v>
      </c>
      <c r="S85" s="37">
        <f>IF(SUBTOTAL(109,A85)=A85,"",12096000)</f>
        <v>12096000</v>
      </c>
      <c r="T85" s="37">
        <f>IF(SUBTOTAL(109,A85)=A85,"",5675000)</f>
        <v>5675000</v>
      </c>
      <c r="U85" s="37">
        <f>IF(SUBTOTAL(109,A85)=A85,"",3731000)</f>
        <v>3731000</v>
      </c>
      <c r="V85" s="37">
        <f>IF(SUBTOTAL(109,A85)=A85,"",-4741000)</f>
        <v>-4741000</v>
      </c>
      <c r="W85" s="37">
        <f>IF(SUBTOTAL(109,A85)=A85,"",-358000)</f>
        <v>-358000</v>
      </c>
      <c r="X85" s="37">
        <f>IF(SUBTOTAL(109,A85)=A85,"",-9770000)</f>
        <v>-9770000</v>
      </c>
      <c r="Y85" s="37">
        <f>IF(SUBTOTAL(109,A85)=A85,"",44574000)</f>
        <v>44574000</v>
      </c>
      <c r="Z85" s="37">
        <f>IF(SUBTOTAL(109,A85)=A85,"",3843000)</f>
        <v>3843000</v>
      </c>
      <c r="AB85" s="30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 hidden="1" outlineLevel="2" collapsed="1" x14ac:dyDescent="0.25">
      <c r="A86" s="29">
        <v>1</v>
      </c>
      <c r="C86" s="24" t="str">
        <f>IF(SUBTOTAL(109,A86)=A86,"        Issuance of/(Payments for) Common Stock, Net","        Issuance of/(Payments for) Common Stock, Net")</f>
        <v xml:space="preserve">        Issuance of/(Payments for) Common Stock, Net</v>
      </c>
      <c r="D86" s="32">
        <f t="shared" si="16"/>
        <v>-2500000</v>
      </c>
      <c r="E86" s="32">
        <f t="shared" si="17"/>
        <v>-1992222.2222222222</v>
      </c>
      <c r="F86" s="32">
        <f t="shared" si="18"/>
        <v>-5098000</v>
      </c>
      <c r="G86" s="32">
        <f t="shared" si="19"/>
        <v>3395000</v>
      </c>
      <c r="H86" s="32">
        <f t="shared" si="20"/>
        <v>-3520000</v>
      </c>
      <c r="I86" s="32">
        <f t="shared" si="21"/>
        <v>0</v>
      </c>
      <c r="J86" s="32">
        <f t="shared" si="22"/>
        <v>2676194.1623216439</v>
      </c>
      <c r="K86" s="33">
        <f t="shared" si="23"/>
        <v>-1.3433211076907303</v>
      </c>
      <c r="L86" s="37"/>
      <c r="M86" s="37" t="str">
        <f>IF(SUBTOTAL(109,A86)=A86,"","")</f>
        <v/>
      </c>
      <c r="N86" s="37" t="str">
        <f>IF(SUBTOTAL(109,A86)=A86,"","")</f>
        <v/>
      </c>
      <c r="O86" s="37" t="str">
        <f>IF(SUBTOTAL(109,A86)=A86,"","")</f>
        <v/>
      </c>
      <c r="P86" s="37" t="str">
        <f>IF(SUBTOTAL(109,A86)=A86,"","")</f>
        <v/>
      </c>
      <c r="Q86" s="37">
        <f>IF(SUBTOTAL(109,A86)=A86,"",-4492000)</f>
        <v>-4492000</v>
      </c>
      <c r="R86" s="37">
        <f>IF(SUBTOTAL(109,A86)=A86,"",-2500000)</f>
        <v>-2500000</v>
      </c>
      <c r="S86" s="37">
        <f>IF(SUBTOTAL(109,A86)=A86,"",-3520000)</f>
        <v>-3520000</v>
      </c>
      <c r="T86" s="37">
        <f>IF(SUBTOTAL(109,A86)=A86,"",-3277000)</f>
        <v>-3277000</v>
      </c>
      <c r="U86" s="37">
        <f>IF(SUBTOTAL(109,A86)=A86,"",-2438000)</f>
        <v>-2438000</v>
      </c>
      <c r="V86" s="37">
        <f>IF(SUBTOTAL(109,A86)=A86,"",-5098000)</f>
        <v>-5098000</v>
      </c>
      <c r="W86" s="37">
        <f>IF(SUBTOTAL(109,A86)=A86,"",0)</f>
        <v>0</v>
      </c>
      <c r="X86" s="37">
        <f>IF(SUBTOTAL(109,A86)=A86,"",3395000)</f>
        <v>3395000</v>
      </c>
      <c r="Y86" s="37">
        <f>IF(SUBTOTAL(109,A86)=A86,"",0)</f>
        <v>0</v>
      </c>
      <c r="Z86" s="37" t="str">
        <f>IF(SUBTOTAL(109,A86)=A86,"","")</f>
        <v/>
      </c>
      <c r="AB86" s="30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 hidden="1" outlineLevel="3" x14ac:dyDescent="0.25">
      <c r="A87" s="29">
        <v>1</v>
      </c>
      <c r="C87" s="24" t="str">
        <f>"            Proceeds from Issuance of Common Stock"</f>
        <v xml:space="preserve">            Proceeds from Issuance of Common Stock</v>
      </c>
      <c r="D87" s="32">
        <f t="shared" si="16"/>
        <v>0</v>
      </c>
      <c r="E87" s="32">
        <f t="shared" si="17"/>
        <v>1619000</v>
      </c>
      <c r="F87" s="32">
        <f t="shared" si="18"/>
        <v>0</v>
      </c>
      <c r="G87" s="32">
        <f t="shared" si="19"/>
        <v>4857000</v>
      </c>
      <c r="H87" s="32">
        <f t="shared" si="20"/>
        <v>0</v>
      </c>
      <c r="I87" s="32">
        <f t="shared" si="21"/>
        <v>2428500</v>
      </c>
      <c r="J87" s="32">
        <f t="shared" si="22"/>
        <v>2804190.2574540125</v>
      </c>
      <c r="K87" s="33">
        <f t="shared" si="23"/>
        <v>1.7320508075688774</v>
      </c>
      <c r="L87" s="37"/>
      <c r="M87" s="37" t="s">
        <v>124</v>
      </c>
      <c r="N87" s="37" t="s">
        <v>124</v>
      </c>
      <c r="O87" s="37" t="s">
        <v>124</v>
      </c>
      <c r="P87" s="37" t="s">
        <v>124</v>
      </c>
      <c r="Q87" s="37" t="s">
        <v>124</v>
      </c>
      <c r="R87" s="37">
        <v>0</v>
      </c>
      <c r="S87" s="37" t="s">
        <v>124</v>
      </c>
      <c r="T87" s="37" t="s">
        <v>124</v>
      </c>
      <c r="U87" s="37" t="s">
        <v>124</v>
      </c>
      <c r="V87" s="37" t="s">
        <v>124</v>
      </c>
      <c r="W87" s="37" t="s">
        <v>124</v>
      </c>
      <c r="X87" s="37">
        <v>4857000</v>
      </c>
      <c r="Y87" s="37">
        <v>0</v>
      </c>
      <c r="Z87" s="37" t="s">
        <v>124</v>
      </c>
      <c r="AB87" s="30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 hidden="1" outlineLevel="3" x14ac:dyDescent="0.25">
      <c r="A88" s="29">
        <v>1</v>
      </c>
      <c r="C88" s="24" t="str">
        <f>"            Payments for Common Stock"</f>
        <v xml:space="preserve">            Payments for Common Stock</v>
      </c>
      <c r="D88" s="32">
        <f t="shared" si="16"/>
        <v>-2500000</v>
      </c>
      <c r="E88" s="32">
        <f t="shared" si="17"/>
        <v>-2531888.888888889</v>
      </c>
      <c r="F88" s="32">
        <f t="shared" si="18"/>
        <v>-5098000</v>
      </c>
      <c r="G88" s="32">
        <f t="shared" si="19"/>
        <v>0</v>
      </c>
      <c r="H88" s="32">
        <f t="shared" si="20"/>
        <v>-3520000</v>
      </c>
      <c r="I88" s="32">
        <f t="shared" si="21"/>
        <v>-1462000</v>
      </c>
      <c r="J88" s="32">
        <f t="shared" si="22"/>
        <v>1800483.7158694635</v>
      </c>
      <c r="K88" s="33">
        <f t="shared" si="23"/>
        <v>-0.71112272097358897</v>
      </c>
      <c r="L88" s="37"/>
      <c r="M88" s="37" t="s">
        <v>124</v>
      </c>
      <c r="N88" s="37" t="s">
        <v>124</v>
      </c>
      <c r="O88" s="37" t="s">
        <v>124</v>
      </c>
      <c r="P88" s="37" t="s">
        <v>124</v>
      </c>
      <c r="Q88" s="37">
        <v>-4492000</v>
      </c>
      <c r="R88" s="37">
        <v>-2500000</v>
      </c>
      <c r="S88" s="37">
        <v>-3520000</v>
      </c>
      <c r="T88" s="37">
        <v>-3277000</v>
      </c>
      <c r="U88" s="37">
        <v>-2438000</v>
      </c>
      <c r="V88" s="37">
        <v>-5098000</v>
      </c>
      <c r="W88" s="37">
        <v>0</v>
      </c>
      <c r="X88" s="37">
        <v>-1462000</v>
      </c>
      <c r="Y88" s="37">
        <v>0</v>
      </c>
      <c r="Z88" s="37" t="s">
        <v>124</v>
      </c>
      <c r="AB88" s="30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 hidden="1" outlineLevel="3" x14ac:dyDescent="0.25">
      <c r="A89" s="29">
        <v>1</v>
      </c>
      <c r="C89" s="25" t="str">
        <f>"            Total Issuance of/(Payments for) Common Stock, Net"</f>
        <v xml:space="preserve">            Total Issuance of/(Payments for) Common Stock, Net</v>
      </c>
      <c r="D89" s="45">
        <f t="shared" si="16"/>
        <v>-2500000</v>
      </c>
      <c r="E89" s="45">
        <f t="shared" si="17"/>
        <v>-1992222.2222222222</v>
      </c>
      <c r="F89" s="45">
        <f t="shared" si="18"/>
        <v>-5098000</v>
      </c>
      <c r="G89" s="45">
        <f t="shared" si="19"/>
        <v>3395000</v>
      </c>
      <c r="H89" s="45">
        <f t="shared" si="20"/>
        <v>-3520000</v>
      </c>
      <c r="I89" s="45">
        <f t="shared" si="21"/>
        <v>0</v>
      </c>
      <c r="J89" s="45">
        <f t="shared" si="22"/>
        <v>2676194.1623216439</v>
      </c>
      <c r="K89" s="46">
        <f t="shared" si="23"/>
        <v>-1.3433211076907303</v>
      </c>
      <c r="L89" s="47"/>
      <c r="M89" s="47" t="s">
        <v>124</v>
      </c>
      <c r="N89" s="47" t="s">
        <v>124</v>
      </c>
      <c r="O89" s="47" t="s">
        <v>124</v>
      </c>
      <c r="P89" s="47" t="s">
        <v>124</v>
      </c>
      <c r="Q89" s="47">
        <v>-4492000</v>
      </c>
      <c r="R89" s="47">
        <v>-2500000</v>
      </c>
      <c r="S89" s="47">
        <v>-3520000</v>
      </c>
      <c r="T89" s="47">
        <v>-3277000</v>
      </c>
      <c r="U89" s="47">
        <v>-2438000</v>
      </c>
      <c r="V89" s="47">
        <v>-5098000</v>
      </c>
      <c r="W89" s="47">
        <v>0</v>
      </c>
      <c r="X89" s="47">
        <v>3395000</v>
      </c>
      <c r="Y89" s="47">
        <v>0</v>
      </c>
      <c r="Z89" s="47" t="s">
        <v>124</v>
      </c>
      <c r="AB89" s="30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 hidden="1" outlineLevel="2" collapsed="1" x14ac:dyDescent="0.25">
      <c r="A90" s="29">
        <v>1</v>
      </c>
      <c r="C90" s="24" t="str">
        <f>IF(SUBTOTAL(109,A90)=A90,"        Issuance of/(Payments for) Preferred Stock, Net","        Issuance of/(Payments for) Preferred Stock, Net")</f>
        <v xml:space="preserve">        Issuance of/(Payments for) Preferred Stock, Net</v>
      </c>
      <c r="D90" s="32">
        <f t="shared" si="16"/>
        <v>985000</v>
      </c>
      <c r="E90" s="32">
        <f t="shared" si="17"/>
        <v>1306400</v>
      </c>
      <c r="F90" s="32">
        <f t="shared" si="18"/>
        <v>457000</v>
      </c>
      <c r="G90" s="32">
        <f t="shared" si="19"/>
        <v>2862000</v>
      </c>
      <c r="H90" s="32">
        <f t="shared" si="20"/>
        <v>492000</v>
      </c>
      <c r="I90" s="32">
        <f t="shared" si="21"/>
        <v>1736000</v>
      </c>
      <c r="J90" s="32">
        <f t="shared" si="22"/>
        <v>1011493.1042770386</v>
      </c>
      <c r="K90" s="33">
        <f t="shared" si="23"/>
        <v>0.77425987773808835</v>
      </c>
      <c r="L90" s="37"/>
      <c r="M90" s="37">
        <f>IF(SUBTOTAL(109,A90)=A90,"",1736000)</f>
        <v>1736000</v>
      </c>
      <c r="N90" s="37">
        <f>IF(SUBTOTAL(109,A90)=A90,"",492000)</f>
        <v>492000</v>
      </c>
      <c r="O90" s="37">
        <f>IF(SUBTOTAL(109,A90)=A90,"",457000)</f>
        <v>457000</v>
      </c>
      <c r="P90" s="37">
        <f>IF(SUBTOTAL(109,A90)=A90,"",2862000)</f>
        <v>2862000</v>
      </c>
      <c r="Q90" s="37">
        <f>IF(SUBTOTAL(109,A90)=A90,"",985000)</f>
        <v>985000</v>
      </c>
      <c r="R90" s="37" t="str">
        <f>IF(SUBTOTAL(109,A90)=A90,"","")</f>
        <v/>
      </c>
      <c r="S90" s="37" t="str">
        <f>IF(SUBTOTAL(109,A90)=A90,"","")</f>
        <v/>
      </c>
      <c r="T90" s="37" t="str">
        <f>IF(SUBTOTAL(109,A90)=A90,"","")</f>
        <v/>
      </c>
      <c r="U90" s="37" t="str">
        <f>IF(SUBTOTAL(109,A90)=A90,"","")</f>
        <v/>
      </c>
      <c r="V90" s="37" t="str">
        <f>IF(SUBTOTAL(109,A90)=A90,"","")</f>
        <v/>
      </c>
      <c r="W90" s="37" t="str">
        <f>IF(SUBTOTAL(109,A90)=A90,"","")</f>
        <v/>
      </c>
      <c r="X90" s="37" t="str">
        <f>IF(SUBTOTAL(109,A90)=A90,"","")</f>
        <v/>
      </c>
      <c r="Y90" s="37" t="str">
        <f>IF(SUBTOTAL(109,A90)=A90,"","")</f>
        <v/>
      </c>
      <c r="Z90" s="37" t="str">
        <f>IF(SUBTOTAL(109,A90)=A90,"","")</f>
        <v/>
      </c>
      <c r="AB90" s="30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 hidden="1" outlineLevel="3" x14ac:dyDescent="0.25">
      <c r="A91" s="29">
        <v>1</v>
      </c>
      <c r="C91" s="24" t="str">
        <f>"            Proceeds from Issuance of Preferred Stock"</f>
        <v xml:space="preserve">            Proceeds from Issuance of Preferred Stock</v>
      </c>
      <c r="D91" s="32">
        <f t="shared" si="16"/>
        <v>985000</v>
      </c>
      <c r="E91" s="32">
        <f t="shared" si="17"/>
        <v>1306400</v>
      </c>
      <c r="F91" s="32">
        <f t="shared" si="18"/>
        <v>457000</v>
      </c>
      <c r="G91" s="32">
        <f t="shared" si="19"/>
        <v>2862000</v>
      </c>
      <c r="H91" s="32">
        <f t="shared" si="20"/>
        <v>492000</v>
      </c>
      <c r="I91" s="32">
        <f t="shared" si="21"/>
        <v>1736000</v>
      </c>
      <c r="J91" s="32">
        <f t="shared" si="22"/>
        <v>1011493.1042770386</v>
      </c>
      <c r="K91" s="33">
        <f t="shared" si="23"/>
        <v>0.77425987773808835</v>
      </c>
      <c r="L91" s="37"/>
      <c r="M91" s="37">
        <v>1736000</v>
      </c>
      <c r="N91" s="37">
        <v>492000</v>
      </c>
      <c r="O91" s="37">
        <v>457000</v>
      </c>
      <c r="P91" s="37">
        <v>2862000</v>
      </c>
      <c r="Q91" s="37">
        <v>985000</v>
      </c>
      <c r="R91" s="37" t="s">
        <v>124</v>
      </c>
      <c r="S91" s="37" t="s">
        <v>124</v>
      </c>
      <c r="T91" s="37" t="s">
        <v>124</v>
      </c>
      <c r="U91" s="37" t="s">
        <v>124</v>
      </c>
      <c r="V91" s="37" t="s">
        <v>124</v>
      </c>
      <c r="W91" s="37" t="s">
        <v>124</v>
      </c>
      <c r="X91" s="37" t="s">
        <v>124</v>
      </c>
      <c r="Y91" s="37" t="s">
        <v>124</v>
      </c>
      <c r="Z91" s="37" t="s">
        <v>124</v>
      </c>
      <c r="AB91" s="30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 hidden="1" outlineLevel="3" x14ac:dyDescent="0.25">
      <c r="A92" s="29">
        <v>1</v>
      </c>
      <c r="C92" s="25" t="str">
        <f>"            Total Issuance of/(Payments for) Preferred Stock, Net"</f>
        <v xml:space="preserve">            Total Issuance of/(Payments for) Preferred Stock, Net</v>
      </c>
      <c r="D92" s="45">
        <f t="shared" si="16"/>
        <v>985000</v>
      </c>
      <c r="E92" s="45">
        <f t="shared" si="17"/>
        <v>1306400</v>
      </c>
      <c r="F92" s="45">
        <f t="shared" si="18"/>
        <v>457000</v>
      </c>
      <c r="G92" s="45">
        <f t="shared" si="19"/>
        <v>2862000</v>
      </c>
      <c r="H92" s="45">
        <f t="shared" si="20"/>
        <v>492000</v>
      </c>
      <c r="I92" s="45">
        <f t="shared" si="21"/>
        <v>1736000</v>
      </c>
      <c r="J92" s="45">
        <f t="shared" si="22"/>
        <v>1011493.1042770386</v>
      </c>
      <c r="K92" s="46">
        <f t="shared" si="23"/>
        <v>0.77425987773808835</v>
      </c>
      <c r="L92" s="47"/>
      <c r="M92" s="47">
        <v>1736000</v>
      </c>
      <c r="N92" s="47">
        <v>492000</v>
      </c>
      <c r="O92" s="47">
        <v>457000</v>
      </c>
      <c r="P92" s="47">
        <v>2862000</v>
      </c>
      <c r="Q92" s="47">
        <v>985000</v>
      </c>
      <c r="R92" s="47" t="s">
        <v>124</v>
      </c>
      <c r="S92" s="47" t="s">
        <v>124</v>
      </c>
      <c r="T92" s="47" t="s">
        <v>124</v>
      </c>
      <c r="U92" s="47" t="s">
        <v>124</v>
      </c>
      <c r="V92" s="47" t="s">
        <v>124</v>
      </c>
      <c r="W92" s="47" t="s">
        <v>124</v>
      </c>
      <c r="X92" s="47" t="s">
        <v>124</v>
      </c>
      <c r="Y92" s="47" t="s">
        <v>124</v>
      </c>
      <c r="Z92" s="47" t="s">
        <v>124</v>
      </c>
      <c r="AB92" s="30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 hidden="1" outlineLevel="2" collapsed="1" x14ac:dyDescent="0.25">
      <c r="A93" s="29">
        <v>1</v>
      </c>
      <c r="C93" s="24" t="str">
        <f>IF(SUBTOTAL(109,A93)=A93,"        Issuance of/(Repayments for) Debt, Net","        Issuance of/(Repayments for) Debt, Net")</f>
        <v xml:space="preserve">        Issuance of/(Repayments for) Debt, Net</v>
      </c>
      <c r="D93" s="32">
        <f t="shared" si="16"/>
        <v>7073500</v>
      </c>
      <c r="E93" s="32">
        <f t="shared" si="17"/>
        <v>9428214.2857142854</v>
      </c>
      <c r="F93" s="32">
        <f t="shared" si="18"/>
        <v>-11422000</v>
      </c>
      <c r="G93" s="32">
        <f t="shared" si="19"/>
        <v>46055000</v>
      </c>
      <c r="H93" s="32">
        <f t="shared" si="20"/>
        <v>875750</v>
      </c>
      <c r="I93" s="32">
        <f t="shared" si="21"/>
        <v>16572750</v>
      </c>
      <c r="J93" s="32">
        <f t="shared" si="22"/>
        <v>13907519.699116686</v>
      </c>
      <c r="K93" s="33">
        <f t="shared" si="23"/>
        <v>1.4750958429306686</v>
      </c>
      <c r="L93" s="37"/>
      <c r="M93" s="37">
        <f>IF(SUBTOTAL(109,A93)=A93,"",406000)</f>
        <v>406000</v>
      </c>
      <c r="N93" s="37">
        <f>IF(SUBTOTAL(109,A93)=A93,"",6141000)</f>
        <v>6141000</v>
      </c>
      <c r="O93" s="37">
        <f>IF(SUBTOTAL(109,A93)=A93,"",-2531000)</f>
        <v>-2531000</v>
      </c>
      <c r="P93" s="37">
        <f>IF(SUBTOTAL(109,A93)=A93,"",11664000)</f>
        <v>11664000</v>
      </c>
      <c r="Q93" s="37">
        <f>IF(SUBTOTAL(109,A93)=A93,"",18455000)</f>
        <v>18455000</v>
      </c>
      <c r="R93" s="37">
        <f>IF(SUBTOTAL(109,A93)=A93,"",21027000)</f>
        <v>21027000</v>
      </c>
      <c r="S93" s="37">
        <f>IF(SUBTOTAL(109,A93)=A93,"",18017000)</f>
        <v>18017000</v>
      </c>
      <c r="T93" s="37">
        <f>IF(SUBTOTAL(109,A93)=A93,"",12240000)</f>
        <v>12240000</v>
      </c>
      <c r="U93" s="37">
        <f>IF(SUBTOTAL(109,A93)=A93,"",8006000)</f>
        <v>8006000</v>
      </c>
      <c r="V93" s="37">
        <f>IF(SUBTOTAL(109,A93)=A93,"",1412000)</f>
        <v>1412000</v>
      </c>
      <c r="W93" s="37">
        <f>IF(SUBTOTAL(109,A93)=A93,"",697000)</f>
        <v>697000</v>
      </c>
      <c r="X93" s="37">
        <f>IF(SUBTOTAL(109,A93)=A93,"",-11422000)</f>
        <v>-11422000</v>
      </c>
      <c r="Y93" s="37">
        <f>IF(SUBTOTAL(109,A93)=A93,"",46055000)</f>
        <v>46055000</v>
      </c>
      <c r="Z93" s="37">
        <f>IF(SUBTOTAL(109,A93)=A93,"",1828000)</f>
        <v>1828000</v>
      </c>
      <c r="AB93" s="30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 hidden="1" outlineLevel="3" collapsed="1" x14ac:dyDescent="0.25">
      <c r="A94" s="29">
        <v>1</v>
      </c>
      <c r="C94" s="24" t="str">
        <f>IF(SUBTOTAL(109,A94)=A94,"            Issuance of/(Repayments for) Short Term Debt, Net","            Issuance of/(Repayments for) Short Term Debt, Net")</f>
        <v xml:space="preserve">            Issuance of/(Repayments for) Short Term Debt, Net</v>
      </c>
      <c r="D94" s="32">
        <f t="shared" si="16"/>
        <v>-100500</v>
      </c>
      <c r="E94" s="32">
        <f t="shared" si="17"/>
        <v>-278714.28571428574</v>
      </c>
      <c r="F94" s="32">
        <f t="shared" si="18"/>
        <v>-4100000</v>
      </c>
      <c r="G94" s="32">
        <f t="shared" si="19"/>
        <v>2912000</v>
      </c>
      <c r="H94" s="32">
        <f t="shared" si="20"/>
        <v>-304500</v>
      </c>
      <c r="I94" s="32">
        <f t="shared" si="21"/>
        <v>246750</v>
      </c>
      <c r="J94" s="32">
        <f t="shared" si="22"/>
        <v>1634276.2890683413</v>
      </c>
      <c r="K94" s="33">
        <f t="shared" si="23"/>
        <v>-5.8636258449402296</v>
      </c>
      <c r="L94" s="37"/>
      <c r="M94" s="37">
        <f>IF(SUBTOTAL(109,A94)=A94,"",2912000)</f>
        <v>2912000</v>
      </c>
      <c r="N94" s="37">
        <f>IF(SUBTOTAL(109,A94)=A94,"",277000)</f>
        <v>277000</v>
      </c>
      <c r="O94" s="37">
        <f>IF(SUBTOTAL(109,A94)=A94,"",-312000)</f>
        <v>-312000</v>
      </c>
      <c r="P94" s="37">
        <f>IF(SUBTOTAL(109,A94)=A94,"",1186000)</f>
        <v>1186000</v>
      </c>
      <c r="Q94" s="37">
        <f>IF(SUBTOTAL(109,A94)=A94,"",-140000)</f>
        <v>-140000</v>
      </c>
      <c r="R94" s="37">
        <f>IF(SUBTOTAL(109,A94)=A94,"",-282000)</f>
        <v>-282000</v>
      </c>
      <c r="S94" s="37">
        <f>IF(SUBTOTAL(109,A94)=A94,"",-61000)</f>
        <v>-61000</v>
      </c>
      <c r="T94" s="37">
        <f>IF(SUBTOTAL(109,A94)=A94,"",391000)</f>
        <v>391000</v>
      </c>
      <c r="U94" s="37">
        <f>IF(SUBTOTAL(109,A94)=A94,"",156000)</f>
        <v>156000</v>
      </c>
      <c r="V94" s="37">
        <f>IF(SUBTOTAL(109,A94)=A94,"",-247000)</f>
        <v>-247000</v>
      </c>
      <c r="W94" s="37">
        <f>IF(SUBTOTAL(109,A94)=A94,"",131000)</f>
        <v>131000</v>
      </c>
      <c r="X94" s="37">
        <f>IF(SUBTOTAL(109,A94)=A94,"",-1097000)</f>
        <v>-1097000</v>
      </c>
      <c r="Y94" s="37">
        <f>IF(SUBTOTAL(109,A94)=A94,"",-2716000)</f>
        <v>-2716000</v>
      </c>
      <c r="Z94" s="37">
        <f>IF(SUBTOTAL(109,A94)=A94,"",-4100000)</f>
        <v>-4100000</v>
      </c>
      <c r="AB94" s="30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 hidden="1" outlineLevel="4" x14ac:dyDescent="0.25">
      <c r="A95" s="29">
        <v>1</v>
      </c>
      <c r="C95" s="24" t="str">
        <f>"                Repayments for Short Term Debt"</f>
        <v xml:space="preserve">                Repayments for Short Term Debt</v>
      </c>
      <c r="D95" s="32">
        <f t="shared" si="16"/>
        <v>-3408000</v>
      </c>
      <c r="E95" s="32">
        <f t="shared" si="17"/>
        <v>-3408000</v>
      </c>
      <c r="F95" s="32">
        <f t="shared" si="18"/>
        <v>-4100000</v>
      </c>
      <c r="G95" s="32">
        <f t="shared" si="19"/>
        <v>-2716000</v>
      </c>
      <c r="H95" s="32">
        <f t="shared" si="20"/>
        <v>-3754000</v>
      </c>
      <c r="I95" s="32">
        <f t="shared" si="21"/>
        <v>-3062000</v>
      </c>
      <c r="J95" s="32">
        <f t="shared" si="22"/>
        <v>978635.78516218183</v>
      </c>
      <c r="K95" s="33">
        <f t="shared" si="23"/>
        <v>-0.28715838766495944</v>
      </c>
      <c r="L95" s="37"/>
      <c r="M95" s="37" t="s">
        <v>124</v>
      </c>
      <c r="N95" s="37" t="s">
        <v>124</v>
      </c>
      <c r="O95" s="37" t="s">
        <v>124</v>
      </c>
      <c r="P95" s="37" t="s">
        <v>124</v>
      </c>
      <c r="Q95" s="37" t="s">
        <v>124</v>
      </c>
      <c r="R95" s="37" t="s">
        <v>124</v>
      </c>
      <c r="S95" s="37" t="s">
        <v>124</v>
      </c>
      <c r="T95" s="37" t="s">
        <v>124</v>
      </c>
      <c r="U95" s="37" t="s">
        <v>124</v>
      </c>
      <c r="V95" s="37" t="s">
        <v>124</v>
      </c>
      <c r="W95" s="37" t="s">
        <v>124</v>
      </c>
      <c r="X95" s="37" t="s">
        <v>124</v>
      </c>
      <c r="Y95" s="37">
        <v>-2716000</v>
      </c>
      <c r="Z95" s="37">
        <v>-4100000</v>
      </c>
      <c r="AB95" s="30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 hidden="1" outlineLevel="4" x14ac:dyDescent="0.25">
      <c r="A96" s="29">
        <v>1</v>
      </c>
      <c r="C96" s="25" t="str">
        <f>"                Total Issuance of/(Repayments for) Short Term Debt, Net"</f>
        <v xml:space="preserve">                Total Issuance of/(Repayments for) Short Term Debt, Net</v>
      </c>
      <c r="D96" s="45">
        <f t="shared" si="16"/>
        <v>-100500</v>
      </c>
      <c r="E96" s="45">
        <f t="shared" si="17"/>
        <v>-278714.28571428574</v>
      </c>
      <c r="F96" s="45">
        <f t="shared" si="18"/>
        <v>-4100000</v>
      </c>
      <c r="G96" s="45">
        <f t="shared" si="19"/>
        <v>2912000</v>
      </c>
      <c r="H96" s="45">
        <f t="shared" si="20"/>
        <v>-304500</v>
      </c>
      <c r="I96" s="45">
        <f t="shared" si="21"/>
        <v>246750</v>
      </c>
      <c r="J96" s="45">
        <f t="shared" si="22"/>
        <v>1634276.2890683413</v>
      </c>
      <c r="K96" s="46">
        <f t="shared" si="23"/>
        <v>-5.8636258449402296</v>
      </c>
      <c r="L96" s="47"/>
      <c r="M96" s="47">
        <v>2912000</v>
      </c>
      <c r="N96" s="47">
        <v>277000</v>
      </c>
      <c r="O96" s="47">
        <v>-312000</v>
      </c>
      <c r="P96" s="47">
        <v>1186000</v>
      </c>
      <c r="Q96" s="47">
        <v>-140000</v>
      </c>
      <c r="R96" s="47">
        <v>-282000</v>
      </c>
      <c r="S96" s="47">
        <v>-61000</v>
      </c>
      <c r="T96" s="47">
        <v>391000</v>
      </c>
      <c r="U96" s="47">
        <v>156000</v>
      </c>
      <c r="V96" s="47">
        <v>-247000</v>
      </c>
      <c r="W96" s="47">
        <v>131000</v>
      </c>
      <c r="X96" s="47">
        <v>-1097000</v>
      </c>
      <c r="Y96" s="47">
        <v>-2716000</v>
      </c>
      <c r="Z96" s="47">
        <v>-4100000</v>
      </c>
      <c r="AB96" s="30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 hidden="1" outlineLevel="3" collapsed="1" x14ac:dyDescent="0.25">
      <c r="A97" s="29">
        <v>1</v>
      </c>
      <c r="C97" s="24" t="str">
        <f>IF(SUBTOTAL(109,A97)=A97,"            Issuance of/(Repayments for) Long Term Debt, Net","            Issuance of/(Repayments for) Long Term Debt, Net")</f>
        <v xml:space="preserve">            Issuance of/(Repayments for) Long Term Debt, Net</v>
      </c>
      <c r="D97" s="32">
        <f t="shared" si="16"/>
        <v>6889000</v>
      </c>
      <c r="E97" s="32">
        <f t="shared" si="17"/>
        <v>9706928.5714285709</v>
      </c>
      <c r="F97" s="32">
        <f t="shared" si="18"/>
        <v>-10325000</v>
      </c>
      <c r="G97" s="32">
        <f t="shared" si="19"/>
        <v>48771000</v>
      </c>
      <c r="H97" s="32">
        <f t="shared" si="20"/>
        <v>839250</v>
      </c>
      <c r="I97" s="32">
        <f t="shared" si="21"/>
        <v>16520750</v>
      </c>
      <c r="J97" s="32">
        <f t="shared" si="22"/>
        <v>14380406.76360767</v>
      </c>
      <c r="K97" s="33">
        <f t="shared" si="23"/>
        <v>1.4814579769274332</v>
      </c>
      <c r="L97" s="37"/>
      <c r="M97" s="37">
        <f>IF(SUBTOTAL(109,A97)=A97,"",-2506000)</f>
        <v>-2506000</v>
      </c>
      <c r="N97" s="37">
        <f>IF(SUBTOTAL(109,A97)=A97,"",5864000)</f>
        <v>5864000</v>
      </c>
      <c r="O97" s="37">
        <f>IF(SUBTOTAL(109,A97)=A97,"",-2219000)</f>
        <v>-2219000</v>
      </c>
      <c r="P97" s="37">
        <f>IF(SUBTOTAL(109,A97)=A97,"",10478000)</f>
        <v>10478000</v>
      </c>
      <c r="Q97" s="37">
        <f>IF(SUBTOTAL(109,A97)=A97,"",18595000)</f>
        <v>18595000</v>
      </c>
      <c r="R97" s="37">
        <f>IF(SUBTOTAL(109,A97)=A97,"",21309000)</f>
        <v>21309000</v>
      </c>
      <c r="S97" s="37">
        <f>IF(SUBTOTAL(109,A97)=A97,"",18078000)</f>
        <v>18078000</v>
      </c>
      <c r="T97" s="37">
        <f>IF(SUBTOTAL(109,A97)=A97,"",11849000)</f>
        <v>11849000</v>
      </c>
      <c r="U97" s="37">
        <f>IF(SUBTOTAL(109,A97)=A97,"",7850000)</f>
        <v>7850000</v>
      </c>
      <c r="V97" s="37">
        <f>IF(SUBTOTAL(109,A97)=A97,"",1659000)</f>
        <v>1659000</v>
      </c>
      <c r="W97" s="37">
        <f>IF(SUBTOTAL(109,A97)=A97,"",566000)</f>
        <v>566000</v>
      </c>
      <c r="X97" s="37">
        <f>IF(SUBTOTAL(109,A97)=A97,"",-10325000)</f>
        <v>-10325000</v>
      </c>
      <c r="Y97" s="37">
        <f>IF(SUBTOTAL(109,A97)=A97,"",48771000)</f>
        <v>48771000</v>
      </c>
      <c r="Z97" s="37">
        <f>IF(SUBTOTAL(109,A97)=A97,"",5928000)</f>
        <v>5928000</v>
      </c>
      <c r="AB97" s="30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 hidden="1" outlineLevel="4" x14ac:dyDescent="0.25">
      <c r="A98" s="29">
        <v>1</v>
      </c>
      <c r="C98" s="24" t="str">
        <f>"                Proceeds from Issuance of Long Term Debt"</f>
        <v xml:space="preserve">                Proceeds from Issuance of Long Term Debt</v>
      </c>
      <c r="D98" s="32">
        <f t="shared" si="16"/>
        <v>34242000</v>
      </c>
      <c r="E98" s="32">
        <f t="shared" si="17"/>
        <v>33981071.428571425</v>
      </c>
      <c r="F98" s="32">
        <f t="shared" si="18"/>
        <v>1886000</v>
      </c>
      <c r="G98" s="32">
        <f t="shared" si="19"/>
        <v>78527000</v>
      </c>
      <c r="H98" s="32">
        <f t="shared" si="20"/>
        <v>13787250</v>
      </c>
      <c r="I98" s="32">
        <f t="shared" si="21"/>
        <v>44925250</v>
      </c>
      <c r="J98" s="32">
        <f t="shared" si="22"/>
        <v>22198336.04805094</v>
      </c>
      <c r="K98" s="33">
        <f t="shared" si="23"/>
        <v>0.65325591909931624</v>
      </c>
      <c r="L98" s="37"/>
      <c r="M98" s="37">
        <v>45300000</v>
      </c>
      <c r="N98" s="37">
        <v>78527000</v>
      </c>
      <c r="O98" s="37">
        <v>36937000</v>
      </c>
      <c r="P98" s="37">
        <v>43801000</v>
      </c>
      <c r="Q98" s="37">
        <v>52187000</v>
      </c>
      <c r="R98" s="37">
        <v>42036000</v>
      </c>
      <c r="S98" s="37">
        <v>31547000</v>
      </c>
      <c r="T98" s="37">
        <v>31373000</v>
      </c>
      <c r="U98" s="37">
        <v>28041000</v>
      </c>
      <c r="V98" s="37">
        <v>9036000</v>
      </c>
      <c r="W98" s="37">
        <v>9034000</v>
      </c>
      <c r="X98" s="37">
        <v>1886000</v>
      </c>
      <c r="Y98" s="37">
        <v>60102000</v>
      </c>
      <c r="Z98" s="37">
        <v>5928000</v>
      </c>
      <c r="AB98" s="3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 hidden="1" outlineLevel="4" x14ac:dyDescent="0.25">
      <c r="A99" s="29">
        <v>1</v>
      </c>
      <c r="C99" s="24" t="str">
        <f>"                Repayments for Long Term Debt"</f>
        <v xml:space="preserve">                Repayments for Long Term Debt</v>
      </c>
      <c r="D99" s="32">
        <f t="shared" si="16"/>
        <v>-20191000</v>
      </c>
      <c r="E99" s="32">
        <f t="shared" si="17"/>
        <v>-26141384.615384616</v>
      </c>
      <c r="F99" s="32">
        <f t="shared" si="18"/>
        <v>-72663000</v>
      </c>
      <c r="G99" s="32">
        <f t="shared" si="19"/>
        <v>-7377000</v>
      </c>
      <c r="H99" s="32">
        <f t="shared" si="20"/>
        <v>-33592000</v>
      </c>
      <c r="I99" s="32">
        <f t="shared" si="21"/>
        <v>-12211000</v>
      </c>
      <c r="J99" s="32">
        <f t="shared" si="22"/>
        <v>18834895.033503026</v>
      </c>
      <c r="K99" s="33">
        <f t="shared" si="23"/>
        <v>-0.72050104883956279</v>
      </c>
      <c r="L99" s="37"/>
      <c r="M99" s="37">
        <v>-47806000</v>
      </c>
      <c r="N99" s="37">
        <v>-72663000</v>
      </c>
      <c r="O99" s="37">
        <v>-39156000</v>
      </c>
      <c r="P99" s="37">
        <v>-33323000</v>
      </c>
      <c r="Q99" s="37">
        <v>-33592000</v>
      </c>
      <c r="R99" s="37">
        <v>-20727000</v>
      </c>
      <c r="S99" s="37">
        <v>-13469000</v>
      </c>
      <c r="T99" s="37">
        <v>-19524000</v>
      </c>
      <c r="U99" s="37">
        <v>-20191000</v>
      </c>
      <c r="V99" s="37">
        <v>-7377000</v>
      </c>
      <c r="W99" s="37">
        <v>-8468000</v>
      </c>
      <c r="X99" s="37">
        <v>-12211000</v>
      </c>
      <c r="Y99" s="37">
        <v>-11331000</v>
      </c>
      <c r="Z99" s="37" t="s">
        <v>124</v>
      </c>
      <c r="AB99" s="30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 hidden="1" outlineLevel="4" x14ac:dyDescent="0.25">
      <c r="A100" s="29">
        <v>1</v>
      </c>
      <c r="C100" s="25" t="str">
        <f>"                Total Issuance of/(Repayments for) Long Term Debt, Net"</f>
        <v xml:space="preserve">                Total Issuance of/(Repayments for) Long Term Debt, Net</v>
      </c>
      <c r="D100" s="45">
        <f t="shared" si="16"/>
        <v>6889000</v>
      </c>
      <c r="E100" s="45">
        <f t="shared" si="17"/>
        <v>9706928.5714285709</v>
      </c>
      <c r="F100" s="45">
        <f t="shared" si="18"/>
        <v>-10325000</v>
      </c>
      <c r="G100" s="45">
        <f t="shared" si="19"/>
        <v>48771000</v>
      </c>
      <c r="H100" s="45">
        <f t="shared" si="20"/>
        <v>839250</v>
      </c>
      <c r="I100" s="45">
        <f t="shared" si="21"/>
        <v>16520750</v>
      </c>
      <c r="J100" s="45">
        <f t="shared" si="22"/>
        <v>14380406.76360767</v>
      </c>
      <c r="K100" s="46">
        <f t="shared" si="23"/>
        <v>1.4814579769274332</v>
      </c>
      <c r="L100" s="47"/>
      <c r="M100" s="47">
        <v>-2506000</v>
      </c>
      <c r="N100" s="47">
        <v>5864000</v>
      </c>
      <c r="O100" s="47">
        <v>-2219000</v>
      </c>
      <c r="P100" s="47">
        <v>10478000</v>
      </c>
      <c r="Q100" s="47">
        <v>18595000</v>
      </c>
      <c r="R100" s="47">
        <v>21309000</v>
      </c>
      <c r="S100" s="47">
        <v>18078000</v>
      </c>
      <c r="T100" s="47">
        <v>11849000</v>
      </c>
      <c r="U100" s="47">
        <v>7850000</v>
      </c>
      <c r="V100" s="47">
        <v>1659000</v>
      </c>
      <c r="W100" s="47">
        <v>566000</v>
      </c>
      <c r="X100" s="47">
        <v>-10325000</v>
      </c>
      <c r="Y100" s="47">
        <v>48771000</v>
      </c>
      <c r="Z100" s="47">
        <v>5928000</v>
      </c>
      <c r="AB100" s="30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 hidden="1" outlineLevel="3" x14ac:dyDescent="0.25">
      <c r="A101" s="29">
        <v>1</v>
      </c>
      <c r="C101" s="25" t="str">
        <f>"            Total Issuance of/(Repayments for) Debt, Net"</f>
        <v xml:space="preserve">            Total Issuance of/(Repayments for) Debt, Net</v>
      </c>
      <c r="D101" s="45">
        <f t="shared" si="16"/>
        <v>7073500</v>
      </c>
      <c r="E101" s="45">
        <f t="shared" si="17"/>
        <v>9428214.2857142854</v>
      </c>
      <c r="F101" s="45">
        <f t="shared" si="18"/>
        <v>-11422000</v>
      </c>
      <c r="G101" s="45">
        <f t="shared" si="19"/>
        <v>46055000</v>
      </c>
      <c r="H101" s="45">
        <f t="shared" si="20"/>
        <v>875750</v>
      </c>
      <c r="I101" s="45">
        <f t="shared" si="21"/>
        <v>16572750</v>
      </c>
      <c r="J101" s="45">
        <f t="shared" si="22"/>
        <v>13907519.699116686</v>
      </c>
      <c r="K101" s="46">
        <f t="shared" si="23"/>
        <v>1.4750958429306686</v>
      </c>
      <c r="L101" s="47"/>
      <c r="M101" s="47">
        <v>406000</v>
      </c>
      <c r="N101" s="47">
        <v>6141000</v>
      </c>
      <c r="O101" s="47">
        <v>-2531000</v>
      </c>
      <c r="P101" s="47">
        <v>11664000</v>
      </c>
      <c r="Q101" s="47">
        <v>18455000</v>
      </c>
      <c r="R101" s="47">
        <v>21027000</v>
      </c>
      <c r="S101" s="47">
        <v>18017000</v>
      </c>
      <c r="T101" s="47">
        <v>12240000</v>
      </c>
      <c r="U101" s="47">
        <v>8006000</v>
      </c>
      <c r="V101" s="47">
        <v>1412000</v>
      </c>
      <c r="W101" s="47">
        <v>697000</v>
      </c>
      <c r="X101" s="47">
        <v>-11422000</v>
      </c>
      <c r="Y101" s="47">
        <v>46055000</v>
      </c>
      <c r="Z101" s="47">
        <v>1828000</v>
      </c>
      <c r="AB101" s="30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 hidden="1" outlineLevel="2" x14ac:dyDescent="0.25">
      <c r="A102" s="29">
        <v>1</v>
      </c>
      <c r="C102" s="24" t="str">
        <f>"        Net Movement in Non-Controlling/Minority Interest"</f>
        <v xml:space="preserve">        Net Movement in Non-Controlling/Minority Interest</v>
      </c>
      <c r="D102" s="32">
        <f t="shared" si="16"/>
        <v>-6000</v>
      </c>
      <c r="E102" s="32">
        <f t="shared" si="17"/>
        <v>-6000</v>
      </c>
      <c r="F102" s="32">
        <f t="shared" si="18"/>
        <v>-6000</v>
      </c>
      <c r="G102" s="32">
        <f t="shared" si="19"/>
        <v>-6000</v>
      </c>
      <c r="H102" s="32">
        <f t="shared" si="20"/>
        <v>-6000</v>
      </c>
      <c r="I102" s="32">
        <f t="shared" si="21"/>
        <v>-6000</v>
      </c>
      <c r="J102" s="32" t="str">
        <f t="shared" si="22"/>
        <v/>
      </c>
      <c r="K102" s="33" t="str">
        <f t="shared" si="23"/>
        <v/>
      </c>
      <c r="L102" s="37"/>
      <c r="M102" s="37" t="s">
        <v>124</v>
      </c>
      <c r="N102" s="37" t="s">
        <v>124</v>
      </c>
      <c r="O102" s="37" t="s">
        <v>124</v>
      </c>
      <c r="P102" s="37" t="s">
        <v>124</v>
      </c>
      <c r="Q102" s="37" t="s">
        <v>124</v>
      </c>
      <c r="R102" s="37" t="s">
        <v>124</v>
      </c>
      <c r="S102" s="37" t="s">
        <v>124</v>
      </c>
      <c r="T102" s="37" t="s">
        <v>124</v>
      </c>
      <c r="U102" s="37" t="s">
        <v>124</v>
      </c>
      <c r="V102" s="37" t="s">
        <v>124</v>
      </c>
      <c r="W102" s="37" t="s">
        <v>124</v>
      </c>
      <c r="X102" s="37">
        <v>-6000</v>
      </c>
      <c r="Y102" s="37" t="s">
        <v>124</v>
      </c>
      <c r="Z102" s="37" t="s">
        <v>124</v>
      </c>
      <c r="AB102" s="30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 hidden="1" outlineLevel="2" collapsed="1" x14ac:dyDescent="0.25">
      <c r="A103" s="29">
        <v>1</v>
      </c>
      <c r="C103" s="24" t="str">
        <f>IF(SUBTOTAL(109,A103)=A103,"        Issue and Financing Costs","        Issue and Financing Costs")</f>
        <v xml:space="preserve">        Issue and Financing Costs</v>
      </c>
      <c r="D103" s="32">
        <f t="shared" si="16"/>
        <v>-114000</v>
      </c>
      <c r="E103" s="32">
        <f t="shared" si="17"/>
        <v>-114000</v>
      </c>
      <c r="F103" s="32">
        <f t="shared" si="18"/>
        <v>-165000</v>
      </c>
      <c r="G103" s="32">
        <f t="shared" si="19"/>
        <v>-63000</v>
      </c>
      <c r="H103" s="32">
        <f t="shared" si="20"/>
        <v>-139500</v>
      </c>
      <c r="I103" s="32">
        <f t="shared" si="21"/>
        <v>-88500</v>
      </c>
      <c r="J103" s="32">
        <f t="shared" si="22"/>
        <v>72124.891681027846</v>
      </c>
      <c r="K103" s="33">
        <f t="shared" si="23"/>
        <v>-0.63267448843006879</v>
      </c>
      <c r="L103" s="37"/>
      <c r="M103" s="37" t="str">
        <f>IF(SUBTOTAL(109,A103)=A103,"","")</f>
        <v/>
      </c>
      <c r="N103" s="37" t="str">
        <f>IF(SUBTOTAL(109,A103)=A103,"","")</f>
        <v/>
      </c>
      <c r="O103" s="37" t="str">
        <f>IF(SUBTOTAL(109,A103)=A103,"","")</f>
        <v/>
      </c>
      <c r="P103" s="37" t="str">
        <f>IF(SUBTOTAL(109,A103)=A103,"","")</f>
        <v/>
      </c>
      <c r="Q103" s="37" t="str">
        <f>IF(SUBTOTAL(109,A103)=A103,"","")</f>
        <v/>
      </c>
      <c r="R103" s="37" t="str">
        <f>IF(SUBTOTAL(109,A103)=A103,"","")</f>
        <v/>
      </c>
      <c r="S103" s="37" t="str">
        <f>IF(SUBTOTAL(109,A103)=A103,"","")</f>
        <v/>
      </c>
      <c r="T103" s="37" t="str">
        <f>IF(SUBTOTAL(109,A103)=A103,"","")</f>
        <v/>
      </c>
      <c r="U103" s="37" t="str">
        <f>IF(SUBTOTAL(109,A103)=A103,"","")</f>
        <v/>
      </c>
      <c r="V103" s="37" t="str">
        <f>IF(SUBTOTAL(109,A103)=A103,"","")</f>
        <v/>
      </c>
      <c r="W103" s="37" t="str">
        <f>IF(SUBTOTAL(109,A103)=A103,"","")</f>
        <v/>
      </c>
      <c r="X103" s="37">
        <f>IF(SUBTOTAL(109,A103)=A103,"",-165000)</f>
        <v>-165000</v>
      </c>
      <c r="Y103" s="37">
        <f>IF(SUBTOTAL(109,A103)=A103,"",-63000)</f>
        <v>-63000</v>
      </c>
      <c r="Z103" s="37" t="str">
        <f>IF(SUBTOTAL(109,A103)=A103,"","")</f>
        <v/>
      </c>
      <c r="AB103" s="30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 hidden="1" outlineLevel="3" x14ac:dyDescent="0.25">
      <c r="A104" s="29">
        <v>1</v>
      </c>
      <c r="C104" s="24" t="str">
        <f>"            Debt Issuance Costs"</f>
        <v xml:space="preserve">            Debt Issuance Costs</v>
      </c>
      <c r="D104" s="32">
        <f t="shared" si="16"/>
        <v>-114000</v>
      </c>
      <c r="E104" s="32">
        <f t="shared" si="17"/>
        <v>-114000</v>
      </c>
      <c r="F104" s="32">
        <f t="shared" si="18"/>
        <v>-165000</v>
      </c>
      <c r="G104" s="32">
        <f t="shared" si="19"/>
        <v>-63000</v>
      </c>
      <c r="H104" s="32">
        <f t="shared" si="20"/>
        <v>-139500</v>
      </c>
      <c r="I104" s="32">
        <f t="shared" si="21"/>
        <v>-88500</v>
      </c>
      <c r="J104" s="32">
        <f t="shared" si="22"/>
        <v>72124.891681027846</v>
      </c>
      <c r="K104" s="33">
        <f t="shared" si="23"/>
        <v>-0.63267448843006879</v>
      </c>
      <c r="L104" s="37"/>
      <c r="M104" s="37" t="s">
        <v>124</v>
      </c>
      <c r="N104" s="37" t="s">
        <v>124</v>
      </c>
      <c r="O104" s="37" t="s">
        <v>124</v>
      </c>
      <c r="P104" s="37" t="s">
        <v>124</v>
      </c>
      <c r="Q104" s="37" t="s">
        <v>124</v>
      </c>
      <c r="R104" s="37" t="s">
        <v>124</v>
      </c>
      <c r="S104" s="37" t="s">
        <v>124</v>
      </c>
      <c r="T104" s="37" t="s">
        <v>124</v>
      </c>
      <c r="U104" s="37" t="s">
        <v>124</v>
      </c>
      <c r="V104" s="37" t="s">
        <v>124</v>
      </c>
      <c r="W104" s="37" t="s">
        <v>124</v>
      </c>
      <c r="X104" s="37">
        <v>-165000</v>
      </c>
      <c r="Y104" s="37">
        <v>-63000</v>
      </c>
      <c r="Z104" s="37" t="s">
        <v>124</v>
      </c>
      <c r="AB104" s="30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 hidden="1" outlineLevel="3" x14ac:dyDescent="0.25">
      <c r="A105" s="29">
        <v>1</v>
      </c>
      <c r="C105" s="25" t="str">
        <f>"            Total Issue and Financing Costs"</f>
        <v xml:space="preserve">            Total Issue and Financing Costs</v>
      </c>
      <c r="D105" s="45">
        <f t="shared" si="16"/>
        <v>-114000</v>
      </c>
      <c r="E105" s="45">
        <f t="shared" si="17"/>
        <v>-114000</v>
      </c>
      <c r="F105" s="45">
        <f t="shared" si="18"/>
        <v>-165000</v>
      </c>
      <c r="G105" s="45">
        <f t="shared" si="19"/>
        <v>-63000</v>
      </c>
      <c r="H105" s="45">
        <f t="shared" si="20"/>
        <v>-139500</v>
      </c>
      <c r="I105" s="45">
        <f t="shared" si="21"/>
        <v>-88500</v>
      </c>
      <c r="J105" s="45">
        <f t="shared" si="22"/>
        <v>72124.891681027846</v>
      </c>
      <c r="K105" s="46">
        <f t="shared" si="23"/>
        <v>-0.63267448843006879</v>
      </c>
      <c r="L105" s="47"/>
      <c r="M105" s="47" t="s">
        <v>124</v>
      </c>
      <c r="N105" s="47" t="s">
        <v>124</v>
      </c>
      <c r="O105" s="47" t="s">
        <v>124</v>
      </c>
      <c r="P105" s="47" t="s">
        <v>124</v>
      </c>
      <c r="Q105" s="47" t="s">
        <v>124</v>
      </c>
      <c r="R105" s="47" t="s">
        <v>124</v>
      </c>
      <c r="S105" s="47" t="s">
        <v>124</v>
      </c>
      <c r="T105" s="47" t="s">
        <v>124</v>
      </c>
      <c r="U105" s="47" t="s">
        <v>124</v>
      </c>
      <c r="V105" s="47" t="s">
        <v>124</v>
      </c>
      <c r="W105" s="47" t="s">
        <v>124</v>
      </c>
      <c r="X105" s="47">
        <v>-165000</v>
      </c>
      <c r="Y105" s="47">
        <v>-63000</v>
      </c>
      <c r="Z105" s="47" t="s">
        <v>124</v>
      </c>
      <c r="AB105" s="30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 hidden="1" outlineLevel="2" collapsed="1" x14ac:dyDescent="0.25">
      <c r="A106" s="29">
        <v>1</v>
      </c>
      <c r="C106" s="24" t="str">
        <f>IF(SUBTOTAL(109,A106)=A106,"        Cash Dividends and Interest Paid","        Cash Dividends and Interest Paid")</f>
        <v xml:space="preserve">        Cash Dividends and Interest Paid</v>
      </c>
      <c r="D106" s="32">
        <f t="shared" si="16"/>
        <v>-1629500</v>
      </c>
      <c r="E106" s="32">
        <f t="shared" si="17"/>
        <v>-1496357.142857143</v>
      </c>
      <c r="F106" s="32">
        <f t="shared" si="18"/>
        <v>-3165000</v>
      </c>
      <c r="G106" s="32">
        <f t="shared" si="19"/>
        <v>-97000</v>
      </c>
      <c r="H106" s="32">
        <f t="shared" si="20"/>
        <v>-2242000</v>
      </c>
      <c r="I106" s="32">
        <f t="shared" si="21"/>
        <v>-730750</v>
      </c>
      <c r="J106" s="32">
        <f t="shared" si="22"/>
        <v>978576.87934633368</v>
      </c>
      <c r="K106" s="33">
        <f t="shared" si="23"/>
        <v>-0.65397280590236628</v>
      </c>
      <c r="L106" s="37"/>
      <c r="M106" s="37">
        <f>IF(SUBTOTAL(109,A106)=A106,"",-186000)</f>
        <v>-186000</v>
      </c>
      <c r="N106" s="37">
        <f>IF(SUBTOTAL(109,A106)=A106,"",-669000)</f>
        <v>-669000</v>
      </c>
      <c r="O106" s="37">
        <f>IF(SUBTOTAL(109,A106)=A106,"",-2350000)</f>
        <v>-2350000</v>
      </c>
      <c r="P106" s="37">
        <f>IF(SUBTOTAL(109,A106)=A106,"",-2242000)</f>
        <v>-2242000</v>
      </c>
      <c r="Q106" s="37">
        <f>IF(SUBTOTAL(109,A106)=A106,"",-2233000)</f>
        <v>-2233000</v>
      </c>
      <c r="R106" s="37">
        <f>IF(SUBTOTAL(109,A106)=A106,"",-2368000)</f>
        <v>-2368000</v>
      </c>
      <c r="S106" s="37">
        <f>IF(SUBTOTAL(109,A106)=A106,"",-2242000)</f>
        <v>-2242000</v>
      </c>
      <c r="T106" s="37">
        <f>IF(SUBTOTAL(109,A106)=A106,"",-3165000)</f>
        <v>-3165000</v>
      </c>
      <c r="U106" s="37">
        <f>IF(SUBTOTAL(109,A106)=A106,"",-1687000)</f>
        <v>-1687000</v>
      </c>
      <c r="V106" s="37">
        <f>IF(SUBTOTAL(109,A106)=A106,"",-939000)</f>
        <v>-939000</v>
      </c>
      <c r="W106" s="37">
        <f>IF(SUBTOTAL(109,A106)=A106,"",-916000)</f>
        <v>-916000</v>
      </c>
      <c r="X106" s="37">
        <f>IF(SUBTOTAL(109,A106)=A106,"",-1572000)</f>
        <v>-1572000</v>
      </c>
      <c r="Y106" s="37">
        <f>IF(SUBTOTAL(109,A106)=A106,"",-97000)</f>
        <v>-97000</v>
      </c>
      <c r="Z106" s="37">
        <f>IF(SUBTOTAL(109,A106)=A106,"",-283000)</f>
        <v>-283000</v>
      </c>
      <c r="AB106" s="30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 hidden="1" outlineLevel="3" collapsed="1" x14ac:dyDescent="0.25">
      <c r="A107" s="29">
        <v>1</v>
      </c>
      <c r="C107" s="24" t="str">
        <f>IF(SUBTOTAL(109,A107)=A107,"            Cash Dividends Paid","            Cash Dividends Paid")</f>
        <v xml:space="preserve">            Cash Dividends Paid</v>
      </c>
      <c r="D107" s="32">
        <f t="shared" ref="D107:D121" si="24">IF(COUNT(M107:Z107)&gt;0,MEDIAN(M107:Z107),"")</f>
        <v>-1629500</v>
      </c>
      <c r="E107" s="32">
        <f t="shared" ref="E107:E121" si="25">IF(COUNT(M107:Z107)&gt;0,AVERAGE(M107:Z107),"")</f>
        <v>-1496357.142857143</v>
      </c>
      <c r="F107" s="32">
        <f t="shared" ref="F107:F121" si="26">IF(COUNT(M107:Z107)&gt;0,MIN(M107:Z107),"")</f>
        <v>-3165000</v>
      </c>
      <c r="G107" s="32">
        <f t="shared" ref="G107:G121" si="27">IF(COUNT(M107:Z107)&gt;0,MAX(M107:Z107),"")</f>
        <v>-97000</v>
      </c>
      <c r="H107" s="32">
        <f t="shared" ref="H107:H121" si="28">IF(COUNT(M107:Z107)&gt;0,QUARTILE(M107:Z107,1),"")</f>
        <v>-2242000</v>
      </c>
      <c r="I107" s="32">
        <f t="shared" ref="I107:I121" si="29">IF(COUNT(M107:Z107)&gt;0,QUARTILE(M107:Z107,3),"")</f>
        <v>-730750</v>
      </c>
      <c r="J107" s="32">
        <f t="shared" ref="J107:J121" si="30">IF(COUNT(M107:Z107)&gt;1,STDEV(M107:Z107),"")</f>
        <v>978576.87934633368</v>
      </c>
      <c r="K107" s="33">
        <f t="shared" ref="K107:K121" si="31">IF(COUNT(M107:Z107)&gt;1,STDEV(M107:Z107)/AVERAGE(M107:Z107),"")</f>
        <v>-0.65397280590236628</v>
      </c>
      <c r="L107" s="37"/>
      <c r="M107" s="37">
        <f>IF(SUBTOTAL(109,A107)=A107,"",-186000)</f>
        <v>-186000</v>
      </c>
      <c r="N107" s="37">
        <f>IF(SUBTOTAL(109,A107)=A107,"",-669000)</f>
        <v>-669000</v>
      </c>
      <c r="O107" s="37">
        <f>IF(SUBTOTAL(109,A107)=A107,"",-2350000)</f>
        <v>-2350000</v>
      </c>
      <c r="P107" s="37">
        <f>IF(SUBTOTAL(109,A107)=A107,"",-2242000)</f>
        <v>-2242000</v>
      </c>
      <c r="Q107" s="37">
        <f>IF(SUBTOTAL(109,A107)=A107,"",-2233000)</f>
        <v>-2233000</v>
      </c>
      <c r="R107" s="37">
        <f>IF(SUBTOTAL(109,A107)=A107,"",-2368000)</f>
        <v>-2368000</v>
      </c>
      <c r="S107" s="37">
        <f>IF(SUBTOTAL(109,A107)=A107,"",-2242000)</f>
        <v>-2242000</v>
      </c>
      <c r="T107" s="37">
        <f>IF(SUBTOTAL(109,A107)=A107,"",-3165000)</f>
        <v>-3165000</v>
      </c>
      <c r="U107" s="37">
        <f>IF(SUBTOTAL(109,A107)=A107,"",-1687000)</f>
        <v>-1687000</v>
      </c>
      <c r="V107" s="37">
        <f>IF(SUBTOTAL(109,A107)=A107,"",-939000)</f>
        <v>-939000</v>
      </c>
      <c r="W107" s="37">
        <f>IF(SUBTOTAL(109,A107)=A107,"",-916000)</f>
        <v>-916000</v>
      </c>
      <c r="X107" s="37">
        <f>IF(SUBTOTAL(109,A107)=A107,"",-1572000)</f>
        <v>-1572000</v>
      </c>
      <c r="Y107" s="37">
        <f>IF(SUBTOTAL(109,A107)=A107,"",-97000)</f>
        <v>-97000</v>
      </c>
      <c r="Z107" s="37">
        <f>IF(SUBTOTAL(109,A107)=A107,"",-283000)</f>
        <v>-283000</v>
      </c>
      <c r="AB107" s="30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 hidden="1" outlineLevel="4" x14ac:dyDescent="0.25">
      <c r="A108" s="29">
        <v>1</v>
      </c>
      <c r="C108" s="24" t="str">
        <f>"                Common Stock Dividends Paid"</f>
        <v xml:space="preserve">                Common Stock Dividends Paid</v>
      </c>
      <c r="D108" s="32">
        <f t="shared" si="24"/>
        <v>-2242000</v>
      </c>
      <c r="E108" s="32">
        <f t="shared" si="25"/>
        <v>-1923800</v>
      </c>
      <c r="F108" s="32">
        <f t="shared" si="26"/>
        <v>-3165000</v>
      </c>
      <c r="G108" s="32">
        <f t="shared" si="27"/>
        <v>-283000</v>
      </c>
      <c r="H108" s="32">
        <f t="shared" si="28"/>
        <v>-2242000</v>
      </c>
      <c r="I108" s="32">
        <f t="shared" si="29"/>
        <v>-1687000</v>
      </c>
      <c r="J108" s="32">
        <f t="shared" si="30"/>
        <v>1059643.6665219115</v>
      </c>
      <c r="K108" s="33">
        <f t="shared" si="31"/>
        <v>-0.55080760293269126</v>
      </c>
      <c r="L108" s="37"/>
      <c r="M108" s="37" t="s">
        <v>124</v>
      </c>
      <c r="N108" s="37" t="s">
        <v>124</v>
      </c>
      <c r="O108" s="37" t="s">
        <v>124</v>
      </c>
      <c r="P108" s="37">
        <v>-2242000</v>
      </c>
      <c r="Q108" s="37" t="s">
        <v>124</v>
      </c>
      <c r="R108" s="37" t="s">
        <v>124</v>
      </c>
      <c r="S108" s="37">
        <v>-2242000</v>
      </c>
      <c r="T108" s="37">
        <v>-3165000</v>
      </c>
      <c r="U108" s="37">
        <v>-1687000</v>
      </c>
      <c r="V108" s="37" t="s">
        <v>124</v>
      </c>
      <c r="W108" s="37" t="s">
        <v>124</v>
      </c>
      <c r="X108" s="37" t="s">
        <v>124</v>
      </c>
      <c r="Y108" s="37" t="s">
        <v>124</v>
      </c>
      <c r="Z108" s="37">
        <v>-283000</v>
      </c>
      <c r="AB108" s="30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 hidden="1" outlineLevel="4" x14ac:dyDescent="0.25">
      <c r="A109" s="29">
        <v>1</v>
      </c>
      <c r="C109" s="24" t="str">
        <f>"                Preferred Stock Dividends Paid"</f>
        <v xml:space="preserve">                Preferred Stock Dividends Paid</v>
      </c>
      <c r="D109" s="32">
        <f t="shared" si="24"/>
        <v>0</v>
      </c>
      <c r="E109" s="32">
        <f t="shared" si="25"/>
        <v>0</v>
      </c>
      <c r="F109" s="32">
        <f t="shared" si="26"/>
        <v>0</v>
      </c>
      <c r="G109" s="32">
        <f t="shared" si="27"/>
        <v>0</v>
      </c>
      <c r="H109" s="32">
        <f t="shared" si="28"/>
        <v>0</v>
      </c>
      <c r="I109" s="32">
        <f t="shared" si="29"/>
        <v>0</v>
      </c>
      <c r="J109" s="32" t="str">
        <f t="shared" si="30"/>
        <v/>
      </c>
      <c r="K109" s="33" t="str">
        <f t="shared" si="31"/>
        <v/>
      </c>
      <c r="L109" s="37"/>
      <c r="M109" s="37" t="s">
        <v>124</v>
      </c>
      <c r="N109" s="37" t="s">
        <v>124</v>
      </c>
      <c r="O109" s="37" t="s">
        <v>124</v>
      </c>
      <c r="P109" s="37" t="s">
        <v>124</v>
      </c>
      <c r="Q109" s="37" t="s">
        <v>124</v>
      </c>
      <c r="R109" s="37" t="s">
        <v>124</v>
      </c>
      <c r="S109" s="37" t="s">
        <v>124</v>
      </c>
      <c r="T109" s="37" t="s">
        <v>124</v>
      </c>
      <c r="U109" s="37" t="s">
        <v>124</v>
      </c>
      <c r="V109" s="37" t="s">
        <v>124</v>
      </c>
      <c r="W109" s="37" t="s">
        <v>124</v>
      </c>
      <c r="X109" s="37" t="s">
        <v>124</v>
      </c>
      <c r="Y109" s="37" t="s">
        <v>124</v>
      </c>
      <c r="Z109" s="37">
        <v>0</v>
      </c>
      <c r="AB109" s="30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 hidden="1" outlineLevel="4" x14ac:dyDescent="0.25">
      <c r="A110" s="29">
        <v>1</v>
      </c>
      <c r="C110" s="25" t="str">
        <f>"                Total Cash Dividends Paid"</f>
        <v xml:space="preserve">                Total Cash Dividends Paid</v>
      </c>
      <c r="D110" s="45">
        <f t="shared" si="24"/>
        <v>-1629500</v>
      </c>
      <c r="E110" s="45">
        <f t="shared" si="25"/>
        <v>-1496357.142857143</v>
      </c>
      <c r="F110" s="45">
        <f t="shared" si="26"/>
        <v>-3165000</v>
      </c>
      <c r="G110" s="45">
        <f t="shared" si="27"/>
        <v>-97000</v>
      </c>
      <c r="H110" s="45">
        <f t="shared" si="28"/>
        <v>-2242000</v>
      </c>
      <c r="I110" s="45">
        <f t="shared" si="29"/>
        <v>-730750</v>
      </c>
      <c r="J110" s="45">
        <f t="shared" si="30"/>
        <v>978576.87934633368</v>
      </c>
      <c r="K110" s="46">
        <f t="shared" si="31"/>
        <v>-0.65397280590236628</v>
      </c>
      <c r="L110" s="47"/>
      <c r="M110" s="47">
        <v>-186000</v>
      </c>
      <c r="N110" s="47">
        <v>-669000</v>
      </c>
      <c r="O110" s="47">
        <v>-2350000</v>
      </c>
      <c r="P110" s="47">
        <v>-2242000</v>
      </c>
      <c r="Q110" s="47">
        <v>-2233000</v>
      </c>
      <c r="R110" s="47">
        <v>-2368000</v>
      </c>
      <c r="S110" s="47">
        <v>-2242000</v>
      </c>
      <c r="T110" s="47">
        <v>-3165000</v>
      </c>
      <c r="U110" s="47">
        <v>-1687000</v>
      </c>
      <c r="V110" s="47">
        <v>-939000</v>
      </c>
      <c r="W110" s="47">
        <v>-916000</v>
      </c>
      <c r="X110" s="47">
        <v>-1572000</v>
      </c>
      <c r="Y110" s="47">
        <v>-97000</v>
      </c>
      <c r="Z110" s="47">
        <v>-283000</v>
      </c>
      <c r="AB110" s="30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 hidden="1" outlineLevel="3" x14ac:dyDescent="0.25">
      <c r="A111" s="29">
        <v>1</v>
      </c>
      <c r="C111" s="25" t="str">
        <f>"            Total Cash Dividends and Interest Paid"</f>
        <v xml:space="preserve">            Total Cash Dividends and Interest Paid</v>
      </c>
      <c r="D111" s="45">
        <f t="shared" si="24"/>
        <v>-1629500</v>
      </c>
      <c r="E111" s="45">
        <f t="shared" si="25"/>
        <v>-1496357.142857143</v>
      </c>
      <c r="F111" s="45">
        <f t="shared" si="26"/>
        <v>-3165000</v>
      </c>
      <c r="G111" s="45">
        <f t="shared" si="27"/>
        <v>-97000</v>
      </c>
      <c r="H111" s="45">
        <f t="shared" si="28"/>
        <v>-2242000</v>
      </c>
      <c r="I111" s="45">
        <f t="shared" si="29"/>
        <v>-730750</v>
      </c>
      <c r="J111" s="45">
        <f t="shared" si="30"/>
        <v>978576.87934633368</v>
      </c>
      <c r="K111" s="46">
        <f t="shared" si="31"/>
        <v>-0.65397280590236628</v>
      </c>
      <c r="L111" s="47"/>
      <c r="M111" s="47">
        <v>-186000</v>
      </c>
      <c r="N111" s="47">
        <v>-669000</v>
      </c>
      <c r="O111" s="47">
        <v>-2350000</v>
      </c>
      <c r="P111" s="47">
        <v>-2242000</v>
      </c>
      <c r="Q111" s="47">
        <v>-2233000</v>
      </c>
      <c r="R111" s="47">
        <v>-2368000</v>
      </c>
      <c r="S111" s="47">
        <v>-2242000</v>
      </c>
      <c r="T111" s="47">
        <v>-3165000</v>
      </c>
      <c r="U111" s="47">
        <v>-1687000</v>
      </c>
      <c r="V111" s="47">
        <v>-939000</v>
      </c>
      <c r="W111" s="47">
        <v>-916000</v>
      </c>
      <c r="X111" s="47">
        <v>-1572000</v>
      </c>
      <c r="Y111" s="47">
        <v>-97000</v>
      </c>
      <c r="Z111" s="47">
        <v>-283000</v>
      </c>
      <c r="AB111" s="30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 hidden="1" outlineLevel="2" x14ac:dyDescent="0.25">
      <c r="A112" s="29">
        <v>1</v>
      </c>
      <c r="C112" s="24" t="str">
        <f>"        Other Financing Cash Flow"</f>
        <v xml:space="preserve">        Other Financing Cash Flow</v>
      </c>
      <c r="D112" s="32">
        <f t="shared" si="24"/>
        <v>-163000</v>
      </c>
      <c r="E112" s="32">
        <f t="shared" si="25"/>
        <v>-145000</v>
      </c>
      <c r="F112" s="32">
        <f t="shared" si="26"/>
        <v>-1321000</v>
      </c>
      <c r="G112" s="32">
        <f t="shared" si="27"/>
        <v>2298000</v>
      </c>
      <c r="H112" s="32">
        <f t="shared" si="28"/>
        <v>-305000</v>
      </c>
      <c r="I112" s="32">
        <f t="shared" si="29"/>
        <v>-139000</v>
      </c>
      <c r="J112" s="32">
        <f t="shared" si="30"/>
        <v>813193.19147830212</v>
      </c>
      <c r="K112" s="33">
        <f t="shared" si="31"/>
        <v>-5.6082289067469109</v>
      </c>
      <c r="L112" s="37"/>
      <c r="M112" s="37">
        <v>-212000</v>
      </c>
      <c r="N112" s="37">
        <v>-412000</v>
      </c>
      <c r="O112" s="37">
        <v>-253000</v>
      </c>
      <c r="P112" s="37">
        <v>-830000</v>
      </c>
      <c r="Q112" s="37">
        <v>-305000</v>
      </c>
      <c r="R112" s="37">
        <v>-163000</v>
      </c>
      <c r="S112" s="37">
        <v>-159000</v>
      </c>
      <c r="T112" s="37">
        <v>-123000</v>
      </c>
      <c r="U112" s="37">
        <v>-150000</v>
      </c>
      <c r="V112" s="37">
        <v>-116000</v>
      </c>
      <c r="W112" s="37">
        <v>-139000</v>
      </c>
      <c r="X112" s="37" t="s">
        <v>124</v>
      </c>
      <c r="Y112" s="37">
        <v>-1321000</v>
      </c>
      <c r="Z112" s="37">
        <v>2298000</v>
      </c>
      <c r="AB112" s="30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 hidden="1" outlineLevel="2" x14ac:dyDescent="0.25">
      <c r="A113" s="29">
        <v>1</v>
      </c>
      <c r="C113" s="25" t="str">
        <f>"        Total Cash Flow from Continuing Financing Activities"</f>
        <v xml:space="preserve">        Total Cash Flow from Continuing Financing Activities</v>
      </c>
      <c r="D113" s="45">
        <f t="shared" si="24"/>
        <v>4697500</v>
      </c>
      <c r="E113" s="45">
        <f t="shared" si="25"/>
        <v>6966357.1428571427</v>
      </c>
      <c r="F113" s="45">
        <f t="shared" si="26"/>
        <v>-9770000</v>
      </c>
      <c r="G113" s="45">
        <f t="shared" si="27"/>
        <v>44574000</v>
      </c>
      <c r="H113" s="45">
        <f t="shared" si="28"/>
        <v>167500</v>
      </c>
      <c r="I113" s="45">
        <f t="shared" si="29"/>
        <v>11935500</v>
      </c>
      <c r="J113" s="45">
        <f t="shared" si="30"/>
        <v>13095802.10841006</v>
      </c>
      <c r="K113" s="46">
        <f t="shared" si="31"/>
        <v>1.8798637278936607</v>
      </c>
      <c r="L113" s="47"/>
      <c r="M113" s="47">
        <v>1744000</v>
      </c>
      <c r="N113" s="47">
        <v>5552000</v>
      </c>
      <c r="O113" s="47">
        <v>-4677000</v>
      </c>
      <c r="P113" s="47">
        <v>11454000</v>
      </c>
      <c r="Q113" s="47">
        <v>12410000</v>
      </c>
      <c r="R113" s="47">
        <v>15996000</v>
      </c>
      <c r="S113" s="47">
        <v>12096000</v>
      </c>
      <c r="T113" s="47">
        <v>5675000</v>
      </c>
      <c r="U113" s="47">
        <v>3731000</v>
      </c>
      <c r="V113" s="47">
        <v>-4741000</v>
      </c>
      <c r="W113" s="47">
        <v>-358000</v>
      </c>
      <c r="X113" s="47">
        <v>-9770000</v>
      </c>
      <c r="Y113" s="47">
        <v>44574000</v>
      </c>
      <c r="Z113" s="47">
        <v>3843000</v>
      </c>
      <c r="AB113" s="30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 hidden="1" outlineLevel="1" x14ac:dyDescent="0.25">
      <c r="A114" s="29">
        <v>1</v>
      </c>
      <c r="C114" s="24" t="str">
        <f>"    Net Cash Flow from Discontinued Financing Activities"</f>
        <v xml:space="preserve">    Net Cash Flow from Discontinued Financing Activities</v>
      </c>
      <c r="D114" s="32">
        <f t="shared" si="24"/>
        <v>627500</v>
      </c>
      <c r="E114" s="32">
        <f t="shared" si="25"/>
        <v>691750</v>
      </c>
      <c r="F114" s="32">
        <f t="shared" si="26"/>
        <v>0</v>
      </c>
      <c r="G114" s="32">
        <f t="shared" si="27"/>
        <v>1512000</v>
      </c>
      <c r="H114" s="32">
        <f t="shared" si="28"/>
        <v>130500</v>
      </c>
      <c r="I114" s="32">
        <f t="shared" si="29"/>
        <v>1188750</v>
      </c>
      <c r="J114" s="32">
        <f t="shared" si="30"/>
        <v>723627.14846804913</v>
      </c>
      <c r="K114" s="33">
        <f t="shared" si="31"/>
        <v>1.0460818915331394</v>
      </c>
      <c r="L114" s="37"/>
      <c r="M114" s="37" t="s">
        <v>124</v>
      </c>
      <c r="N114" s="37" t="s">
        <v>124</v>
      </c>
      <c r="O114" s="37" t="s">
        <v>124</v>
      </c>
      <c r="P114" s="37" t="s">
        <v>124</v>
      </c>
      <c r="Q114" s="37">
        <v>174000</v>
      </c>
      <c r="R114" s="37">
        <v>1081000</v>
      </c>
      <c r="S114" s="37">
        <v>1512000</v>
      </c>
      <c r="T114" s="37" t="s">
        <v>124</v>
      </c>
      <c r="U114" s="37" t="s">
        <v>124</v>
      </c>
      <c r="V114" s="37" t="s">
        <v>124</v>
      </c>
      <c r="W114" s="37" t="s">
        <v>124</v>
      </c>
      <c r="X114" s="37" t="s">
        <v>124</v>
      </c>
      <c r="Y114" s="37" t="s">
        <v>124</v>
      </c>
      <c r="Z114" s="37">
        <v>0</v>
      </c>
      <c r="AB114" s="30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 hidden="1" outlineLevel="1" x14ac:dyDescent="0.25">
      <c r="A115" s="29">
        <v>1</v>
      </c>
      <c r="C115" s="26" t="str">
        <f>"    Total Cash Flow from Financing Activities"</f>
        <v xml:space="preserve">    Total Cash Flow from Financing Activities</v>
      </c>
      <c r="D115" s="45">
        <f t="shared" si="24"/>
        <v>4697500</v>
      </c>
      <c r="E115" s="45">
        <f t="shared" si="25"/>
        <v>7164000</v>
      </c>
      <c r="F115" s="45">
        <f t="shared" si="26"/>
        <v>-9770000</v>
      </c>
      <c r="G115" s="45">
        <f t="shared" si="27"/>
        <v>44574000</v>
      </c>
      <c r="H115" s="45">
        <f t="shared" si="28"/>
        <v>167500</v>
      </c>
      <c r="I115" s="45">
        <f t="shared" si="29"/>
        <v>12301500</v>
      </c>
      <c r="J115" s="45">
        <f t="shared" si="30"/>
        <v>13212369.047455261</v>
      </c>
      <c r="K115" s="46">
        <f t="shared" si="31"/>
        <v>1.8442726196894557</v>
      </c>
      <c r="L115" s="45"/>
      <c r="M115" s="45">
        <v>1744000</v>
      </c>
      <c r="N115" s="45">
        <v>5552000</v>
      </c>
      <c r="O115" s="45">
        <v>-4677000</v>
      </c>
      <c r="P115" s="45">
        <v>11454000</v>
      </c>
      <c r="Q115" s="45">
        <v>12584000</v>
      </c>
      <c r="R115" s="45">
        <v>17077000</v>
      </c>
      <c r="S115" s="45">
        <v>13608000</v>
      </c>
      <c r="T115" s="45">
        <v>5675000</v>
      </c>
      <c r="U115" s="45">
        <v>3731000</v>
      </c>
      <c r="V115" s="45">
        <v>-4741000</v>
      </c>
      <c r="W115" s="45">
        <v>-358000</v>
      </c>
      <c r="X115" s="45">
        <v>-9770000</v>
      </c>
      <c r="Y115" s="45">
        <v>44574000</v>
      </c>
      <c r="Z115" s="45">
        <v>3843000</v>
      </c>
      <c r="AB115" s="30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 collapsed="1" x14ac:dyDescent="0.25">
      <c r="A116" s="29">
        <v>1</v>
      </c>
      <c r="C116" s="26" t="str">
        <f>IF(SUBTOTAL(109,A116)=A116,"Cash and Cash Equivalents, End of Period","Cash and Cash Equivalents, End of Period")</f>
        <v>Cash and Cash Equivalents, End of Period</v>
      </c>
      <c r="D116" s="43" t="str">
        <f t="shared" si="24"/>
        <v/>
      </c>
      <c r="E116" s="43" t="str">
        <f t="shared" si="25"/>
        <v/>
      </c>
      <c r="F116" s="43" t="str">
        <f t="shared" si="26"/>
        <v/>
      </c>
      <c r="G116" s="43" t="str">
        <f t="shared" si="27"/>
        <v/>
      </c>
      <c r="H116" s="43" t="str">
        <f t="shared" si="28"/>
        <v/>
      </c>
      <c r="I116" s="43" t="str">
        <f t="shared" si="29"/>
        <v/>
      </c>
      <c r="J116" s="43" t="str">
        <f t="shared" si="30"/>
        <v/>
      </c>
      <c r="K116" s="44" t="str">
        <f t="shared" si="31"/>
        <v/>
      </c>
      <c r="L116" s="43"/>
      <c r="M116" s="43" t="str">
        <f>IF(SUBTOTAL(109,A116)=A116,"",23542000)</f>
        <v/>
      </c>
      <c r="N116" s="43" t="str">
        <f>IF(SUBTOTAL(109,A116)=A116,"",23117000)</f>
        <v/>
      </c>
      <c r="O116" s="43" t="str">
        <f>IF(SUBTOTAL(109,A116)=A116,"",22943000)</f>
        <v/>
      </c>
      <c r="P116" s="43" t="str">
        <f>IF(SUBTOTAL(109,A116)=A116,"",23496000)</f>
        <v/>
      </c>
      <c r="Q116" s="43" t="str">
        <f>IF(SUBTOTAL(109,A116)=A116,"",17848000)</f>
        <v/>
      </c>
      <c r="R116" s="43" t="str">
        <f>IF(SUBTOTAL(109,A116)=A116,"",15160000)</f>
        <v/>
      </c>
      <c r="S116" s="43" t="str">
        <f>IF(SUBTOTAL(109,A116)=A116,"",17332000)</f>
        <v/>
      </c>
      <c r="T116" s="43" t="str">
        <f>IF(SUBTOTAL(109,A116)=A116,"",21189000)</f>
        <v/>
      </c>
      <c r="U116" s="43" t="str">
        <f>IF(SUBTOTAL(109,A116)=A116,"",20021000)</f>
        <v/>
      </c>
      <c r="V116" s="43" t="str">
        <f>IF(SUBTOTAL(109,A116)=A116,"",18422000)</f>
        <v/>
      </c>
      <c r="W116" s="43" t="str">
        <f>IF(SUBTOTAL(109,A116)=A116,"",16071000)</f>
        <v/>
      </c>
      <c r="X116" s="43" t="str">
        <f>IF(SUBTOTAL(109,A116)=A116,"",21256000)</f>
        <v/>
      </c>
      <c r="Y116" s="43" t="str">
        <f>IF(SUBTOTAL(109,A116)=A116,"",41692000)</f>
        <v/>
      </c>
      <c r="Z116" s="43" t="str">
        <f>IF(SUBTOTAL(109,A116)=A116,"",14053000)</f>
        <v/>
      </c>
      <c r="AB116" s="30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 hidden="1" outlineLevel="1" x14ac:dyDescent="0.25">
      <c r="A117" s="29">
        <v>1</v>
      </c>
      <c r="C117" s="24" t="str">
        <f>"    Change in Cash"</f>
        <v xml:space="preserve">    Change in Cash</v>
      </c>
      <c r="D117" s="32">
        <f t="shared" si="24"/>
        <v>386500</v>
      </c>
      <c r="E117" s="32">
        <f t="shared" si="25"/>
        <v>59285.714285714283</v>
      </c>
      <c r="F117" s="32">
        <f t="shared" si="26"/>
        <v>-9986000</v>
      </c>
      <c r="G117" s="32">
        <f t="shared" si="27"/>
        <v>8357000</v>
      </c>
      <c r="H117" s="32">
        <f t="shared" si="28"/>
        <v>-1908500</v>
      </c>
      <c r="I117" s="32">
        <f t="shared" si="29"/>
        <v>2254750</v>
      </c>
      <c r="J117" s="32">
        <f t="shared" si="30"/>
        <v>4450979.7612621021</v>
      </c>
      <c r="K117" s="33">
        <f t="shared" si="31"/>
        <v>75.076767057433045</v>
      </c>
      <c r="L117" s="37"/>
      <c r="M117" s="37">
        <v>577000</v>
      </c>
      <c r="N117" s="37">
        <v>396000</v>
      </c>
      <c r="O117" s="37">
        <v>-555000</v>
      </c>
      <c r="P117" s="37">
        <v>5947000</v>
      </c>
      <c r="Q117" s="37">
        <v>2340000</v>
      </c>
      <c r="R117" s="37">
        <v>-1959000</v>
      </c>
      <c r="S117" s="37">
        <v>-2333000</v>
      </c>
      <c r="T117" s="37">
        <v>377000</v>
      </c>
      <c r="U117" s="37">
        <v>1999000</v>
      </c>
      <c r="V117" s="37">
        <v>2359000</v>
      </c>
      <c r="W117" s="37">
        <v>-4932000</v>
      </c>
      <c r="X117" s="37">
        <v>-1757000</v>
      </c>
      <c r="Y117" s="37">
        <v>8357000</v>
      </c>
      <c r="Z117" s="37">
        <v>-9986000</v>
      </c>
      <c r="AB117" s="30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 hidden="1" outlineLevel="1" x14ac:dyDescent="0.25">
      <c r="A118" s="29">
        <v>1</v>
      </c>
      <c r="C118" s="24" t="str">
        <f>"    Effect of Exchange Rate Changes"</f>
        <v xml:space="preserve">    Effect of Exchange Rate Changes</v>
      </c>
      <c r="D118" s="32">
        <f t="shared" si="24"/>
        <v>-217500</v>
      </c>
      <c r="E118" s="32">
        <f t="shared" si="25"/>
        <v>-294714.28571428574</v>
      </c>
      <c r="F118" s="32">
        <f t="shared" si="26"/>
        <v>-1524000</v>
      </c>
      <c r="G118" s="32">
        <f t="shared" si="27"/>
        <v>660000</v>
      </c>
      <c r="H118" s="32">
        <f t="shared" si="28"/>
        <v>-374750</v>
      </c>
      <c r="I118" s="32">
        <f t="shared" si="29"/>
        <v>-20250</v>
      </c>
      <c r="J118" s="32">
        <f t="shared" si="30"/>
        <v>569477.28104497166</v>
      </c>
      <c r="K118" s="33">
        <f t="shared" si="31"/>
        <v>-1.9323029410154151</v>
      </c>
      <c r="L118" s="37"/>
      <c r="M118" s="37">
        <v>-152000</v>
      </c>
      <c r="N118" s="37">
        <v>-222000</v>
      </c>
      <c r="O118" s="37">
        <v>2000</v>
      </c>
      <c r="P118" s="37">
        <v>-299000</v>
      </c>
      <c r="Q118" s="37">
        <v>348000</v>
      </c>
      <c r="R118" s="37">
        <v>-213000</v>
      </c>
      <c r="S118" s="37">
        <v>-1524000</v>
      </c>
      <c r="T118" s="37">
        <v>-1230000</v>
      </c>
      <c r="U118" s="37">
        <v>-400000</v>
      </c>
      <c r="V118" s="37">
        <v>-8000</v>
      </c>
      <c r="W118" s="37">
        <v>-253000</v>
      </c>
      <c r="X118" s="37">
        <v>-57000</v>
      </c>
      <c r="Y118" s="37">
        <v>660000</v>
      </c>
      <c r="Z118" s="37">
        <v>-778000</v>
      </c>
      <c r="AB118" s="30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 hidden="1" outlineLevel="1" x14ac:dyDescent="0.25">
      <c r="A119" s="29">
        <v>1</v>
      </c>
      <c r="C119" s="24" t="str">
        <f>"    Other Changes"</f>
        <v xml:space="preserve">    Other Changes</v>
      </c>
      <c r="D119" s="32">
        <f t="shared" si="24"/>
        <v>391000</v>
      </c>
      <c r="E119" s="32">
        <f t="shared" si="25"/>
        <v>391000</v>
      </c>
      <c r="F119" s="32">
        <f t="shared" si="26"/>
        <v>391000</v>
      </c>
      <c r="G119" s="32">
        <f t="shared" si="27"/>
        <v>391000</v>
      </c>
      <c r="H119" s="32">
        <f t="shared" si="28"/>
        <v>391000</v>
      </c>
      <c r="I119" s="32">
        <f t="shared" si="29"/>
        <v>391000</v>
      </c>
      <c r="J119" s="32" t="str">
        <f t="shared" si="30"/>
        <v/>
      </c>
      <c r="K119" s="33" t="str">
        <f t="shared" si="31"/>
        <v/>
      </c>
      <c r="L119" s="37"/>
      <c r="M119" s="37" t="s">
        <v>124</v>
      </c>
      <c r="N119" s="37" t="s">
        <v>124</v>
      </c>
      <c r="O119" s="37" t="s">
        <v>124</v>
      </c>
      <c r="P119" s="37" t="s">
        <v>124</v>
      </c>
      <c r="Q119" s="37" t="s">
        <v>124</v>
      </c>
      <c r="R119" s="37" t="s">
        <v>124</v>
      </c>
      <c r="S119" s="37" t="s">
        <v>124</v>
      </c>
      <c r="T119" s="37" t="s">
        <v>124</v>
      </c>
      <c r="U119" s="37" t="s">
        <v>124</v>
      </c>
      <c r="V119" s="37" t="s">
        <v>124</v>
      </c>
      <c r="W119" s="37" t="s">
        <v>124</v>
      </c>
      <c r="X119" s="37">
        <v>391000</v>
      </c>
      <c r="Y119" s="37" t="s">
        <v>124</v>
      </c>
      <c r="Z119" s="37" t="s">
        <v>124</v>
      </c>
      <c r="AB119" s="30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 hidden="1" outlineLevel="1" x14ac:dyDescent="0.25">
      <c r="A120" s="29">
        <v>1</v>
      </c>
      <c r="C120" s="24" t="str">
        <f>"    Cash and Cash Equivalents, Beginning of Period"</f>
        <v xml:space="preserve">    Cash and Cash Equivalents, Beginning of Period</v>
      </c>
      <c r="D120" s="32">
        <f t="shared" si="24"/>
        <v>21649000</v>
      </c>
      <c r="E120" s="32">
        <f t="shared" si="25"/>
        <v>21360500</v>
      </c>
      <c r="F120" s="32">
        <f t="shared" si="26"/>
        <v>15160000</v>
      </c>
      <c r="G120" s="32">
        <f t="shared" si="27"/>
        <v>32675000</v>
      </c>
      <c r="H120" s="32">
        <f t="shared" si="28"/>
        <v>17991500</v>
      </c>
      <c r="I120" s="32">
        <f t="shared" si="29"/>
        <v>23073500</v>
      </c>
      <c r="J120" s="32">
        <f t="shared" si="30"/>
        <v>4437469.3021690091</v>
      </c>
      <c r="K120" s="33">
        <f t="shared" si="31"/>
        <v>0.20774182730596236</v>
      </c>
      <c r="L120" s="37"/>
      <c r="M120" s="37">
        <v>23117000</v>
      </c>
      <c r="N120" s="37">
        <v>22943000</v>
      </c>
      <c r="O120" s="37">
        <v>23496000</v>
      </c>
      <c r="P120" s="37">
        <v>17848000</v>
      </c>
      <c r="Q120" s="37">
        <v>15160000</v>
      </c>
      <c r="R120" s="37">
        <v>17332000</v>
      </c>
      <c r="S120" s="37">
        <v>21189000</v>
      </c>
      <c r="T120" s="37">
        <v>22042000</v>
      </c>
      <c r="U120" s="37">
        <v>18422000</v>
      </c>
      <c r="V120" s="37">
        <v>16071000</v>
      </c>
      <c r="W120" s="37">
        <v>21256000</v>
      </c>
      <c r="X120" s="37">
        <v>22679000</v>
      </c>
      <c r="Y120" s="37">
        <v>32675000</v>
      </c>
      <c r="Z120" s="37">
        <v>24817000</v>
      </c>
      <c r="AB120" s="30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 hidden="1" outlineLevel="1" x14ac:dyDescent="0.25">
      <c r="A121" s="29">
        <v>1</v>
      </c>
      <c r="C121" s="26" t="str">
        <f>"    Total Cash and Cash Equivalents, End of Period"</f>
        <v xml:space="preserve">    Total Cash and Cash Equivalents, End of Period</v>
      </c>
      <c r="D121" s="45">
        <f t="shared" si="24"/>
        <v>20605000</v>
      </c>
      <c r="E121" s="45">
        <f t="shared" si="25"/>
        <v>21153000</v>
      </c>
      <c r="F121" s="45">
        <f t="shared" si="26"/>
        <v>14053000</v>
      </c>
      <c r="G121" s="45">
        <f t="shared" si="27"/>
        <v>41692000</v>
      </c>
      <c r="H121" s="45">
        <f t="shared" si="28"/>
        <v>17461000</v>
      </c>
      <c r="I121" s="45">
        <f t="shared" si="29"/>
        <v>23073500</v>
      </c>
      <c r="J121" s="45">
        <f t="shared" si="30"/>
        <v>6717007.2090294678</v>
      </c>
      <c r="K121" s="46">
        <f t="shared" si="31"/>
        <v>0.31754395163945859</v>
      </c>
      <c r="L121" s="45"/>
      <c r="M121" s="45">
        <v>23542000</v>
      </c>
      <c r="N121" s="45">
        <v>23117000</v>
      </c>
      <c r="O121" s="45">
        <v>22943000</v>
      </c>
      <c r="P121" s="45">
        <v>23496000</v>
      </c>
      <c r="Q121" s="45">
        <v>17848000</v>
      </c>
      <c r="R121" s="45">
        <v>15160000</v>
      </c>
      <c r="S121" s="45">
        <v>17332000</v>
      </c>
      <c r="T121" s="45">
        <v>21189000</v>
      </c>
      <c r="U121" s="45">
        <v>20021000</v>
      </c>
      <c r="V121" s="45">
        <v>18422000</v>
      </c>
      <c r="W121" s="45">
        <v>16071000</v>
      </c>
      <c r="X121" s="45">
        <v>21256000</v>
      </c>
      <c r="Y121" s="45">
        <v>41692000</v>
      </c>
      <c r="Z121" s="45">
        <v>14053000</v>
      </c>
      <c r="AB121" s="30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 collapsed="1" x14ac:dyDescent="0.25">
      <c r="A122" s="29">
        <v>1</v>
      </c>
      <c r="C122" s="26" t="str">
        <f>"Cash Flow Supplemental Section"</f>
        <v>Cash Flow Supplemental Section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 t="s">
        <v>124</v>
      </c>
      <c r="N122" s="44" t="s">
        <v>124</v>
      </c>
      <c r="O122" s="44" t="s">
        <v>124</v>
      </c>
      <c r="P122" s="44" t="s">
        <v>124</v>
      </c>
      <c r="Q122" s="44" t="s">
        <v>124</v>
      </c>
      <c r="R122" s="44" t="s">
        <v>124</v>
      </c>
      <c r="S122" s="44" t="s">
        <v>124</v>
      </c>
      <c r="T122" s="44" t="s">
        <v>124</v>
      </c>
      <c r="U122" s="44" t="s">
        <v>124</v>
      </c>
      <c r="V122" s="44" t="s">
        <v>124</v>
      </c>
      <c r="W122" s="44" t="s">
        <v>124</v>
      </c>
      <c r="X122" s="44" t="s">
        <v>124</v>
      </c>
      <c r="Y122" s="44" t="s">
        <v>124</v>
      </c>
      <c r="Z122" s="44" t="s">
        <v>124</v>
      </c>
      <c r="AB122" s="30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 hidden="1" outlineLevel="1" x14ac:dyDescent="0.25">
      <c r="A123" s="29">
        <v>1</v>
      </c>
      <c r="C123" s="24" t="str">
        <f>"    Change in Cash As Reported, Supplemental"</f>
        <v xml:space="preserve">    Change in Cash As Reported, Supplemental</v>
      </c>
      <c r="D123" s="32">
        <f>IF(COUNT(M123:Z123)&gt;0,MEDIAN(M123:Z123),"")</f>
        <v>-189500</v>
      </c>
      <c r="E123" s="32">
        <f>IF(COUNT(M123:Z123)&gt;0,AVERAGE(M123:Z123),"")</f>
        <v>-235428.57142857142</v>
      </c>
      <c r="F123" s="32">
        <f>IF(COUNT(M123:Z123)&gt;0,MIN(M123:Z123),"")</f>
        <v>-10764000</v>
      </c>
      <c r="G123" s="32">
        <f>IF(COUNT(M123:Z123)&gt;0,MAX(M123:Z123),"")</f>
        <v>9017000</v>
      </c>
      <c r="H123" s="32">
        <f>IF(COUNT(M123:Z123)&gt;0,QUARTILE(M123:Z123,1),"")</f>
        <v>-2082500</v>
      </c>
      <c r="I123" s="32">
        <f>IF(COUNT(M123:Z123)&gt;0,QUARTILE(M123:Z123,3),"")</f>
        <v>2163000</v>
      </c>
      <c r="J123" s="32">
        <f>IF(COUNT(M123:Z123)&gt;1,STDEV(M123:Z123),"")</f>
        <v>4760546.4733867189</v>
      </c>
      <c r="K123" s="33">
        <f>IF(COUNT(M123:Z123)&gt;1,STDEV(M123:Z123)/AVERAGE(M123:Z123),"")</f>
        <v>-20.220767787443588</v>
      </c>
      <c r="L123" s="37"/>
      <c r="M123" s="37">
        <v>425000</v>
      </c>
      <c r="N123" s="37">
        <v>174000</v>
      </c>
      <c r="O123" s="37">
        <v>-553000</v>
      </c>
      <c r="P123" s="37">
        <v>5648000</v>
      </c>
      <c r="Q123" s="37">
        <v>2688000</v>
      </c>
      <c r="R123" s="37">
        <v>-2172000</v>
      </c>
      <c r="S123" s="37">
        <v>-3857000</v>
      </c>
      <c r="T123" s="37">
        <v>-853000</v>
      </c>
      <c r="U123" s="37">
        <v>1599000</v>
      </c>
      <c r="V123" s="37">
        <v>2351000</v>
      </c>
      <c r="W123" s="37">
        <v>-5185000</v>
      </c>
      <c r="X123" s="37">
        <v>-1814000</v>
      </c>
      <c r="Y123" s="37">
        <v>9017000</v>
      </c>
      <c r="Z123" s="37">
        <v>-10764000</v>
      </c>
      <c r="AB123" s="30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 hidden="1" outlineLevel="1" x14ac:dyDescent="0.25">
      <c r="A124" s="29">
        <v>1</v>
      </c>
      <c r="C124" s="24" t="str">
        <f>"    Income Tax Paid, Supplemental"</f>
        <v xml:space="preserve">    Income Tax Paid, Supplemental</v>
      </c>
      <c r="D124" s="32">
        <f>IF(COUNT(M124:Z124)&gt;0,MEDIAN(M124:Z124),"")</f>
        <v>-676000</v>
      </c>
      <c r="E124" s="32">
        <f>IF(COUNT(M124:Z124)&gt;0,AVERAGE(M124:Z124),"")</f>
        <v>-664272.72727272729</v>
      </c>
      <c r="F124" s="32">
        <f>IF(COUNT(M124:Z124)&gt;0,MIN(M124:Z124),"")</f>
        <v>-947000</v>
      </c>
      <c r="G124" s="32">
        <f>IF(COUNT(M124:Z124)&gt;0,MAX(M124:Z124),"")</f>
        <v>-357000</v>
      </c>
      <c r="H124" s="32">
        <f>IF(COUNT(M124:Z124)&gt;0,QUARTILE(M124:Z124,1),"")</f>
        <v>-723000</v>
      </c>
      <c r="I124" s="32">
        <f>IF(COUNT(M124:Z124)&gt;0,QUARTILE(M124:Z124,3),"")</f>
        <v>-613500</v>
      </c>
      <c r="J124" s="32">
        <f>IF(COUNT(M124:Z124)&gt;1,STDEV(M124:Z124),"")</f>
        <v>143188.75019294696</v>
      </c>
      <c r="K124" s="33">
        <f>IF(COUNT(M124:Z124)&gt;1,STDEV(M124:Z124)/AVERAGE(M124:Z124),"")</f>
        <v>-0.21555717149615664</v>
      </c>
      <c r="L124" s="37"/>
      <c r="M124" s="37">
        <v>-652000</v>
      </c>
      <c r="N124" s="37">
        <v>-719000</v>
      </c>
      <c r="O124" s="37">
        <v>-689000</v>
      </c>
      <c r="P124" s="37" t="s">
        <v>124</v>
      </c>
      <c r="Q124" s="37">
        <v>-656000</v>
      </c>
      <c r="R124" s="37">
        <v>-676000</v>
      </c>
      <c r="S124" s="37">
        <v>-740000</v>
      </c>
      <c r="T124" s="37">
        <v>-947000</v>
      </c>
      <c r="U124" s="37">
        <v>-727000</v>
      </c>
      <c r="V124" s="37">
        <v>-575000</v>
      </c>
      <c r="W124" s="37">
        <v>-569000</v>
      </c>
      <c r="X124" s="37">
        <v>-357000</v>
      </c>
      <c r="Y124" s="37" t="s">
        <v>124</v>
      </c>
      <c r="Z124" s="37" t="s">
        <v>124</v>
      </c>
      <c r="AB124" s="30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 hidden="1" outlineLevel="1" x14ac:dyDescent="0.25">
      <c r="A125" s="29">
        <v>1</v>
      </c>
      <c r="C125" s="24" t="str">
        <f>"    Interest Paid, Supplemental"</f>
        <v xml:space="preserve">    Interest Paid, Supplemental</v>
      </c>
      <c r="D125" s="32">
        <f>IF(COUNT(M125:Z125)&gt;0,MEDIAN(M125:Z125),"")</f>
        <v>-1879000</v>
      </c>
      <c r="E125" s="32">
        <f>IF(COUNT(M125:Z125)&gt;0,AVERAGE(M125:Z125),"")</f>
        <v>-2131583.3333333335</v>
      </c>
      <c r="F125" s="32">
        <f>IF(COUNT(M125:Z125)&gt;0,MIN(M125:Z125),"")</f>
        <v>-4214000</v>
      </c>
      <c r="G125" s="32">
        <f>IF(COUNT(M125:Z125)&gt;0,MAX(M125:Z125),"")</f>
        <v>-510000</v>
      </c>
      <c r="H125" s="32">
        <f>IF(COUNT(M125:Z125)&gt;0,QUARTILE(M125:Z125,1),"")</f>
        <v>-3154750</v>
      </c>
      <c r="I125" s="32">
        <f>IF(COUNT(M125:Z125)&gt;0,QUARTILE(M125:Z125,3),"")</f>
        <v>-1065000</v>
      </c>
      <c r="J125" s="32">
        <f>IF(COUNT(M125:Z125)&gt;1,STDEV(M125:Z125),"")</f>
        <v>1290625.2507520483</v>
      </c>
      <c r="K125" s="33">
        <f>IF(COUNT(M125:Z125)&gt;1,STDEV(M125:Z125)/AVERAGE(M125:Z125),"")</f>
        <v>-0.60547726686049408</v>
      </c>
      <c r="L125" s="37"/>
      <c r="M125" s="37">
        <v>-3403000</v>
      </c>
      <c r="N125" s="37">
        <v>-3958000</v>
      </c>
      <c r="O125" s="37">
        <v>-4214000</v>
      </c>
      <c r="P125" s="37" t="s">
        <v>124</v>
      </c>
      <c r="Q125" s="37">
        <v>-3072000</v>
      </c>
      <c r="R125" s="37">
        <v>-2221000</v>
      </c>
      <c r="S125" s="37">
        <v>-1537000</v>
      </c>
      <c r="T125" s="37">
        <v>-1421000</v>
      </c>
      <c r="U125" s="37">
        <v>-1059000</v>
      </c>
      <c r="V125" s="37">
        <v>-633000</v>
      </c>
      <c r="W125" s="37">
        <v>-510000</v>
      </c>
      <c r="X125" s="37">
        <v>-1067000</v>
      </c>
      <c r="Y125" s="37" t="s">
        <v>124</v>
      </c>
      <c r="Z125" s="37">
        <v>-2484000</v>
      </c>
      <c r="AB125" s="30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 collapsed="1" x14ac:dyDescent="0.25">
      <c r="A126" s="29">
        <v>1</v>
      </c>
      <c r="C126" s="26" t="str">
        <f>"Cash Flow Metrics"</f>
        <v>Cash Flow Metrics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 t="s">
        <v>124</v>
      </c>
      <c r="N126" s="44" t="s">
        <v>124</v>
      </c>
      <c r="O126" s="44" t="s">
        <v>124</v>
      </c>
      <c r="P126" s="44" t="s">
        <v>124</v>
      </c>
      <c r="Q126" s="44" t="s">
        <v>124</v>
      </c>
      <c r="R126" s="44" t="s">
        <v>124</v>
      </c>
      <c r="S126" s="44" t="s">
        <v>124</v>
      </c>
      <c r="T126" s="44" t="s">
        <v>124</v>
      </c>
      <c r="U126" s="44" t="s">
        <v>124</v>
      </c>
      <c r="V126" s="44" t="s">
        <v>124</v>
      </c>
      <c r="W126" s="44" t="s">
        <v>124</v>
      </c>
      <c r="X126" s="44" t="s">
        <v>124</v>
      </c>
      <c r="Y126" s="44" t="s">
        <v>124</v>
      </c>
      <c r="Z126" s="44" t="s">
        <v>124</v>
      </c>
      <c r="AB126" s="30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 hidden="1" outlineLevel="1" x14ac:dyDescent="0.25">
      <c r="A127" s="29">
        <v>1</v>
      </c>
      <c r="C127" s="24" t="str">
        <f>"    Free Cash Flow (FCF)"</f>
        <v xml:space="preserve">    Free Cash Flow (FCF)</v>
      </c>
      <c r="D127" s="32">
        <f t="shared" ref="D127:D134" si="32">IF(COUNT(M127:Z127)&gt;0,MEDIAN(M127:Z127),"")</f>
        <v>-4371500</v>
      </c>
      <c r="E127" s="32">
        <f t="shared" ref="E127:E134" si="33">IF(COUNT(M127:Z127)&gt;0,AVERAGE(M127:Z127),"")</f>
        <v>-5120214.2857142854</v>
      </c>
      <c r="F127" s="32">
        <f t="shared" ref="F127:F134" si="34">IF(COUNT(M127:Z127)&gt;0,MIN(M127:Z127),"")</f>
        <v>-19689000</v>
      </c>
      <c r="G127" s="32">
        <f t="shared" ref="G127:G134" si="35">IF(COUNT(M127:Z127)&gt;0,MAX(M127:Z127),"")</f>
        <v>5202000</v>
      </c>
      <c r="H127" s="32">
        <f t="shared" ref="H127:H134" si="36">IF(COUNT(M127:Z127)&gt;0,QUARTILE(M127:Z127,1),"")</f>
        <v>-8671500</v>
      </c>
      <c r="I127" s="32">
        <f t="shared" ref="I127:I134" si="37">IF(COUNT(M127:Z127)&gt;0,QUARTILE(M127:Z127,3),"")</f>
        <v>129500</v>
      </c>
      <c r="J127" s="32">
        <f t="shared" ref="J127:J134" si="38">IF(COUNT(M127:Z127)&gt;1,STDEV(M127:Z127),"")</f>
        <v>7393898.962903562</v>
      </c>
      <c r="K127" s="33">
        <f t="shared" ref="K127:K134" si="39">IF(COUNT(M127:Z127)&gt;1,STDEV(M127:Z127)/AVERAGE(M127:Z127),"")</f>
        <v>-1.4440604533941084</v>
      </c>
      <c r="L127" s="37"/>
      <c r="M127" s="37">
        <v>-3557000</v>
      </c>
      <c r="N127" s="37">
        <v>-3464000</v>
      </c>
      <c r="O127" s="37">
        <v>-5186000</v>
      </c>
      <c r="P127" s="37">
        <v>-8865000</v>
      </c>
      <c r="Q127" s="37">
        <v>-7280000</v>
      </c>
      <c r="R127" s="37">
        <v>-11466000</v>
      </c>
      <c r="S127" s="37">
        <v>-8091000</v>
      </c>
      <c r="T127" s="37">
        <v>-2053000</v>
      </c>
      <c r="U127" s="37">
        <v>4137000</v>
      </c>
      <c r="V127" s="37">
        <v>857000</v>
      </c>
      <c r="W127" s="37">
        <v>5202000</v>
      </c>
      <c r="X127" s="37">
        <v>3533000</v>
      </c>
      <c r="Y127" s="37">
        <v>-15761000</v>
      </c>
      <c r="Z127" s="37">
        <v>-19689000</v>
      </c>
      <c r="AB127" s="30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 hidden="1" outlineLevel="1" x14ac:dyDescent="0.25">
      <c r="A128" s="29">
        <v>1</v>
      </c>
      <c r="C128" s="24" t="str">
        <f>"    FCF to Firm (FCFF)"</f>
        <v xml:space="preserve">    FCF to Firm (FCFF)</v>
      </c>
      <c r="D128" s="32">
        <f t="shared" si="32"/>
        <v>-3649323</v>
      </c>
      <c r="E128" s="32">
        <f t="shared" si="33"/>
        <v>-4274986.1804033136</v>
      </c>
      <c r="F128" s="32">
        <f t="shared" si="34"/>
        <v>-18047750</v>
      </c>
      <c r="G128" s="32">
        <f t="shared" si="35"/>
        <v>5553000</v>
      </c>
      <c r="H128" s="32">
        <f t="shared" si="36"/>
        <v>-8143818.75</v>
      </c>
      <c r="I128" s="32">
        <f t="shared" si="37"/>
        <v>463227.46702779084</v>
      </c>
      <c r="J128" s="32">
        <f t="shared" si="38"/>
        <v>6889956.6075807614</v>
      </c>
      <c r="K128" s="33">
        <f t="shared" si="39"/>
        <v>-1.6116909661988064</v>
      </c>
      <c r="L128" s="37"/>
      <c r="M128" s="37">
        <v>-2814100</v>
      </c>
      <c r="N128" s="37">
        <v>-2606462</v>
      </c>
      <c r="O128" s="37">
        <v>-4484546</v>
      </c>
      <c r="P128" s="37">
        <v>-8246025</v>
      </c>
      <c r="Q128" s="37">
        <v>-6935000</v>
      </c>
      <c r="R128" s="37">
        <v>-11031364</v>
      </c>
      <c r="S128" s="37">
        <v>-7837200</v>
      </c>
      <c r="T128" s="37">
        <v>-1671640.1318888366</v>
      </c>
      <c r="U128" s="37">
        <v>4375744.1673370879</v>
      </c>
      <c r="V128" s="37">
        <v>1174850</v>
      </c>
      <c r="W128" s="37">
        <v>5553000</v>
      </c>
      <c r="X128" s="37">
        <v>4502386.4389053518</v>
      </c>
      <c r="Y128" s="37">
        <v>-11781700</v>
      </c>
      <c r="Z128" s="37">
        <v>-18047750</v>
      </c>
      <c r="AB128" s="3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 hidden="1" outlineLevel="1" x14ac:dyDescent="0.25">
      <c r="A129" s="29">
        <v>1</v>
      </c>
      <c r="C129" s="24" t="str">
        <f>"    FCF to Equityholders (FCFE)"</f>
        <v xml:space="preserve">    FCF to Equityholders (FCFE)</v>
      </c>
      <c r="D129" s="32">
        <f t="shared" si="32"/>
        <v>-4371500</v>
      </c>
      <c r="E129" s="32">
        <f t="shared" si="33"/>
        <v>-5120214.2857142854</v>
      </c>
      <c r="F129" s="32">
        <f t="shared" si="34"/>
        <v>-19689000</v>
      </c>
      <c r="G129" s="32">
        <f t="shared" si="35"/>
        <v>5202000</v>
      </c>
      <c r="H129" s="32">
        <f t="shared" si="36"/>
        <v>-8671500</v>
      </c>
      <c r="I129" s="32">
        <f t="shared" si="37"/>
        <v>129500</v>
      </c>
      <c r="J129" s="32">
        <f t="shared" si="38"/>
        <v>7393898.962903562</v>
      </c>
      <c r="K129" s="33">
        <f t="shared" si="39"/>
        <v>-1.4440604533941084</v>
      </c>
      <c r="L129" s="37"/>
      <c r="M129" s="37">
        <v>-3557000</v>
      </c>
      <c r="N129" s="37">
        <v>-3464000</v>
      </c>
      <c r="O129" s="37">
        <v>-5186000</v>
      </c>
      <c r="P129" s="37">
        <v>-8865000</v>
      </c>
      <c r="Q129" s="37">
        <v>-7280000</v>
      </c>
      <c r="R129" s="37">
        <v>-11466000</v>
      </c>
      <c r="S129" s="37">
        <v>-8091000</v>
      </c>
      <c r="T129" s="37">
        <v>-2053000</v>
      </c>
      <c r="U129" s="37">
        <v>4137000</v>
      </c>
      <c r="V129" s="37">
        <v>857000</v>
      </c>
      <c r="W129" s="37">
        <v>5202000</v>
      </c>
      <c r="X129" s="37">
        <v>3533000</v>
      </c>
      <c r="Y129" s="37">
        <v>-15761000</v>
      </c>
      <c r="Z129" s="37">
        <v>-19689000</v>
      </c>
      <c r="AB129" s="30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 hidden="1" outlineLevel="1" x14ac:dyDescent="0.25">
      <c r="A130" s="29">
        <v>1</v>
      </c>
      <c r="C130" s="24" t="str">
        <f>"    Issuance of Capital Stock"</f>
        <v xml:space="preserve">    Issuance of Capital Stock</v>
      </c>
      <c r="D130" s="32">
        <f t="shared" si="32"/>
        <v>0</v>
      </c>
      <c r="E130" s="32">
        <f t="shared" si="33"/>
        <v>813500</v>
      </c>
      <c r="F130" s="32">
        <f t="shared" si="34"/>
        <v>0</v>
      </c>
      <c r="G130" s="32">
        <f t="shared" si="35"/>
        <v>4857000</v>
      </c>
      <c r="H130" s="32">
        <f t="shared" si="36"/>
        <v>0</v>
      </c>
      <c r="I130" s="32">
        <f t="shared" si="37"/>
        <v>861750</v>
      </c>
      <c r="J130" s="32">
        <f t="shared" si="38"/>
        <v>1439855.1075609068</v>
      </c>
      <c r="K130" s="33">
        <f t="shared" si="39"/>
        <v>1.7699509619679248</v>
      </c>
      <c r="L130" s="37"/>
      <c r="M130" s="37">
        <v>1736000</v>
      </c>
      <c r="N130" s="37">
        <v>492000</v>
      </c>
      <c r="O130" s="37">
        <v>457000</v>
      </c>
      <c r="P130" s="37">
        <v>2862000</v>
      </c>
      <c r="Q130" s="37">
        <v>985000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4857000</v>
      </c>
      <c r="Y130" s="37">
        <v>0</v>
      </c>
      <c r="Z130" s="37">
        <v>0</v>
      </c>
      <c r="AB130" s="30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 hidden="1" outlineLevel="1" x14ac:dyDescent="0.25">
      <c r="A131" s="29">
        <v>1</v>
      </c>
      <c r="C131" s="24" t="str">
        <f>"    Issuance of Debt"</f>
        <v xml:space="preserve">    Issuance of Debt</v>
      </c>
      <c r="D131" s="32">
        <f t="shared" si="32"/>
        <v>34350500</v>
      </c>
      <c r="E131" s="32">
        <f t="shared" si="33"/>
        <v>34342000</v>
      </c>
      <c r="F131" s="32">
        <f t="shared" si="34"/>
        <v>1886000</v>
      </c>
      <c r="G131" s="32">
        <f t="shared" si="35"/>
        <v>78804000</v>
      </c>
      <c r="H131" s="32">
        <f t="shared" si="36"/>
        <v>13923000</v>
      </c>
      <c r="I131" s="32">
        <f t="shared" si="37"/>
        <v>47405750</v>
      </c>
      <c r="J131" s="32">
        <f t="shared" si="38"/>
        <v>22391202.060012493</v>
      </c>
      <c r="K131" s="33">
        <f t="shared" si="39"/>
        <v>0.65200634965967308</v>
      </c>
      <c r="L131" s="37"/>
      <c r="M131" s="37">
        <v>48212000</v>
      </c>
      <c r="N131" s="37">
        <v>78804000</v>
      </c>
      <c r="O131" s="37">
        <v>36937000</v>
      </c>
      <c r="P131" s="37">
        <v>44987000</v>
      </c>
      <c r="Q131" s="37">
        <v>52187000</v>
      </c>
      <c r="R131" s="37">
        <v>42036000</v>
      </c>
      <c r="S131" s="37">
        <v>31547000</v>
      </c>
      <c r="T131" s="37">
        <v>31764000</v>
      </c>
      <c r="U131" s="37">
        <v>28197000</v>
      </c>
      <c r="V131" s="37">
        <v>9036000</v>
      </c>
      <c r="W131" s="37">
        <v>9165000</v>
      </c>
      <c r="X131" s="37">
        <v>1886000</v>
      </c>
      <c r="Y131" s="37">
        <v>60102000</v>
      </c>
      <c r="Z131" s="37">
        <v>5928000</v>
      </c>
      <c r="AB131" s="30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 hidden="1" outlineLevel="1" x14ac:dyDescent="0.25">
      <c r="A132" s="29">
        <v>1</v>
      </c>
      <c r="C132" s="24" t="str">
        <f>"    Repayment of Debt"</f>
        <v xml:space="preserve">    Repayment of Debt</v>
      </c>
      <c r="D132" s="32">
        <f t="shared" si="32"/>
        <v>-19857500</v>
      </c>
      <c r="E132" s="32">
        <f t="shared" si="33"/>
        <v>-24913785.714285713</v>
      </c>
      <c r="F132" s="32">
        <f t="shared" si="34"/>
        <v>-72663000</v>
      </c>
      <c r="G132" s="32">
        <f t="shared" si="35"/>
        <v>-4100000</v>
      </c>
      <c r="H132" s="32">
        <f t="shared" si="36"/>
        <v>-33629750</v>
      </c>
      <c r="I132" s="32">
        <f t="shared" si="37"/>
        <v>-13363500</v>
      </c>
      <c r="J132" s="32">
        <f t="shared" si="38"/>
        <v>18843341.677259214</v>
      </c>
      <c r="K132" s="33">
        <f t="shared" si="39"/>
        <v>-0.75634196638587647</v>
      </c>
      <c r="L132" s="37"/>
      <c r="M132" s="37">
        <v>-47806000</v>
      </c>
      <c r="N132" s="37">
        <v>-72663000</v>
      </c>
      <c r="O132" s="37">
        <v>-39468000</v>
      </c>
      <c r="P132" s="37">
        <v>-33323000</v>
      </c>
      <c r="Q132" s="37">
        <v>-33732000</v>
      </c>
      <c r="R132" s="37">
        <v>-21009000</v>
      </c>
      <c r="S132" s="37">
        <v>-13530000</v>
      </c>
      <c r="T132" s="37">
        <v>-19524000</v>
      </c>
      <c r="U132" s="37">
        <v>-20191000</v>
      </c>
      <c r="V132" s="37">
        <v>-7624000</v>
      </c>
      <c r="W132" s="37">
        <v>-8468000</v>
      </c>
      <c r="X132" s="37">
        <v>-13308000</v>
      </c>
      <c r="Y132" s="37">
        <v>-14047000</v>
      </c>
      <c r="Z132" s="37">
        <v>-4100000</v>
      </c>
      <c r="AB132" s="30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 hidden="1" outlineLevel="1" x14ac:dyDescent="0.25">
      <c r="A133" s="29">
        <v>1</v>
      </c>
      <c r="C133" s="24" t="str">
        <f>"    Repurchase of Capital Stock"</f>
        <v xml:space="preserve">    Repurchase of Capital Stock</v>
      </c>
      <c r="D133" s="32">
        <f t="shared" si="32"/>
        <v>-731000</v>
      </c>
      <c r="E133" s="32">
        <f t="shared" si="33"/>
        <v>-1627642.857142857</v>
      </c>
      <c r="F133" s="32">
        <f t="shared" si="34"/>
        <v>-5098000</v>
      </c>
      <c r="G133" s="32">
        <f t="shared" si="35"/>
        <v>0</v>
      </c>
      <c r="H133" s="32">
        <f t="shared" si="36"/>
        <v>-3082750</v>
      </c>
      <c r="I133" s="32">
        <f t="shared" si="37"/>
        <v>0</v>
      </c>
      <c r="J133" s="32">
        <f t="shared" si="38"/>
        <v>1892068.2052734233</v>
      </c>
      <c r="K133" s="33">
        <f t="shared" si="39"/>
        <v>-1.1624590720071939</v>
      </c>
      <c r="L133" s="37"/>
      <c r="M133" s="37">
        <v>0</v>
      </c>
      <c r="N133" s="37">
        <v>0</v>
      </c>
      <c r="O133" s="37">
        <v>0</v>
      </c>
      <c r="P133" s="37">
        <v>0</v>
      </c>
      <c r="Q133" s="37">
        <v>-4492000</v>
      </c>
      <c r="R133" s="37">
        <v>-2500000</v>
      </c>
      <c r="S133" s="37">
        <v>-3520000</v>
      </c>
      <c r="T133" s="37">
        <v>-3277000</v>
      </c>
      <c r="U133" s="37">
        <v>-2438000</v>
      </c>
      <c r="V133" s="37">
        <v>-5098000</v>
      </c>
      <c r="W133" s="37">
        <v>0</v>
      </c>
      <c r="X133" s="37">
        <v>-1462000</v>
      </c>
      <c r="Y133" s="37">
        <v>0</v>
      </c>
      <c r="Z133" s="37">
        <v>0</v>
      </c>
      <c r="AB133" s="30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 hidden="1" outlineLevel="1" x14ac:dyDescent="0.25">
      <c r="A134" s="29">
        <v>1</v>
      </c>
      <c r="C134" s="24" t="str">
        <f>"    FCF to CFO Ratio"</f>
        <v xml:space="preserve">    FCF to CFO Ratio</v>
      </c>
      <c r="D134" s="34">
        <f t="shared" si="32"/>
        <v>-0.20606597793061912</v>
      </c>
      <c r="E134" s="34">
        <f t="shared" si="33"/>
        <v>-0.14820815424798703</v>
      </c>
      <c r="F134" s="34">
        <f t="shared" si="34"/>
        <v>-0.6985925790531895</v>
      </c>
      <c r="G134" s="34">
        <f t="shared" si="35"/>
        <v>0.45610637748515365</v>
      </c>
      <c r="H134" s="34">
        <f t="shared" si="36"/>
        <v>-0.40151728512320317</v>
      </c>
      <c r="I134" s="34">
        <f t="shared" si="37"/>
        <v>0.14910791057609632</v>
      </c>
      <c r="J134" s="34">
        <f t="shared" si="38"/>
        <v>0.38872434505220482</v>
      </c>
      <c r="K134" s="33">
        <f t="shared" si="39"/>
        <v>-2.6228269761849794</v>
      </c>
      <c r="L134" s="39"/>
      <c r="M134" s="39">
        <v>-0.19171068233265065</v>
      </c>
      <c r="N134" s="39">
        <v>-0.20294100415958755</v>
      </c>
      <c r="O134" s="39">
        <v>-0.27570441254651779</v>
      </c>
      <c r="P134" s="39">
        <v>-0.53300865800865804</v>
      </c>
      <c r="Q134" s="39">
        <v>-0.3576868274947182</v>
      </c>
      <c r="R134" s="39">
        <v>-0.6985925790531895</v>
      </c>
      <c r="S134" s="39">
        <v>-0.58554059921841073</v>
      </c>
      <c r="T134" s="39">
        <v>-0.2091909517016507</v>
      </c>
      <c r="U134" s="39">
        <v>0.29643164230438523</v>
      </c>
      <c r="V134" s="39">
        <v>0.1</v>
      </c>
      <c r="W134" s="39">
        <v>0.42333984375</v>
      </c>
      <c r="X134" s="39">
        <v>0.45610637748515365</v>
      </c>
      <c r="Y134" s="39" t="s">
        <v>124</v>
      </c>
      <c r="Z134" s="39" t="s">
        <v>124</v>
      </c>
      <c r="AB134" s="3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 collapsed="1" x14ac:dyDescent="0.25">
      <c r="A135" s="29">
        <v>1</v>
      </c>
      <c r="C135" s="26" t="str">
        <f>"Per Share Calculations"</f>
        <v>Per Share Calculations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 t="s">
        <v>124</v>
      </c>
      <c r="N135" s="44" t="s">
        <v>124</v>
      </c>
      <c r="O135" s="44" t="s">
        <v>124</v>
      </c>
      <c r="P135" s="44" t="s">
        <v>124</v>
      </c>
      <c r="Q135" s="44" t="s">
        <v>124</v>
      </c>
      <c r="R135" s="44" t="s">
        <v>124</v>
      </c>
      <c r="S135" s="44" t="s">
        <v>124</v>
      </c>
      <c r="T135" s="44" t="s">
        <v>124</v>
      </c>
      <c r="U135" s="44" t="s">
        <v>124</v>
      </c>
      <c r="V135" s="44" t="s">
        <v>124</v>
      </c>
      <c r="W135" s="44" t="s">
        <v>124</v>
      </c>
      <c r="X135" s="44" t="s">
        <v>124</v>
      </c>
      <c r="Y135" s="44" t="s">
        <v>124</v>
      </c>
      <c r="Z135" s="44" t="s">
        <v>124</v>
      </c>
      <c r="AB135" s="30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 hidden="1" outlineLevel="1" x14ac:dyDescent="0.25">
      <c r="A136" s="29">
        <v>1</v>
      </c>
      <c r="C136" s="24" t="str">
        <f>"    Free Cash Flow per Share"</f>
        <v xml:space="preserve">    Free Cash Flow per Share</v>
      </c>
      <c r="D136" s="33">
        <f>IF(COUNT(M136:Z136)&gt;0,MEDIAN(M136:Z136),"")</f>
        <v>-3.0134580572718339</v>
      </c>
      <c r="E136" s="33">
        <f>IF(COUNT(M136:Z136)&gt;0,AVERAGE(M136:Z136),"")</f>
        <v>-5.4090727561723231</v>
      </c>
      <c r="F136" s="33">
        <f>IF(COUNT(M136:Z136)&gt;0,MIN(M136:Z136),"")</f>
        <v>-34.005181347150256</v>
      </c>
      <c r="G136" s="33">
        <f>IF(COUNT(M136:Z136)&gt;0,MAX(M136:Z136),"")</f>
        <v>3.1187050359712232</v>
      </c>
      <c r="H136" s="33">
        <f>IF(COUNT(M136:Z136)&gt;0,QUARTILE(M136:Z136,1),"")</f>
        <v>-5.8796105614358032</v>
      </c>
      <c r="I136" s="33">
        <f>IF(COUNT(M136:Z136)&gt;0,QUARTILE(M136:Z136,3),"")</f>
        <v>7.9493050456077574E-2</v>
      </c>
      <c r="J136" s="33">
        <f>IF(COUNT(M136:Z136)&gt;1,STDEV(M136:Z136),"")</f>
        <v>9.702698576116326</v>
      </c>
      <c r="K136" s="33">
        <f>IF(COUNT(M136:Z136)&gt;1,STDEV(M136:Z136)/AVERAGE(M136:Z136),"")</f>
        <v>-1.7937822272855404</v>
      </c>
      <c r="L136" s="38"/>
      <c r="M136" s="38">
        <v>-2.423024523160763</v>
      </c>
      <c r="N136" s="38">
        <v>-2.4022191400832176</v>
      </c>
      <c r="O136" s="38">
        <v>-3.6038915913829048</v>
      </c>
      <c r="P136" s="38">
        <v>-6.1949685534591197</v>
      </c>
      <c r="Q136" s="38">
        <v>-4.879356568364611</v>
      </c>
      <c r="R136" s="38">
        <v>-7.3031847133757966</v>
      </c>
      <c r="S136" s="38">
        <v>-4.9335365853658537</v>
      </c>
      <c r="T136" s="38">
        <v>-1.2169531713100177</v>
      </c>
      <c r="U136" s="38">
        <v>2.4683770883054894</v>
      </c>
      <c r="V136" s="38">
        <v>0.51164179104477614</v>
      </c>
      <c r="W136" s="38">
        <v>3.1187050359712232</v>
      </c>
      <c r="X136" s="38">
        <v>2.1754926108374386</v>
      </c>
      <c r="Y136" s="38">
        <v>-17.03891891891892</v>
      </c>
      <c r="Z136" s="38">
        <v>-34.005181347150256</v>
      </c>
      <c r="AB136" s="30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 hidden="1" outlineLevel="1" x14ac:dyDescent="0.25">
      <c r="A137" s="29">
        <v>1</v>
      </c>
      <c r="C137" s="24" t="str">
        <f>"    Operating Cash Flow per Share"</f>
        <v xml:space="preserve">    Operating Cash Flow per Share</v>
      </c>
      <c r="D137" s="33">
        <f>IF(COUNT(M137:Z137)&gt;0,MEDIAN(M137:Z137),"")</f>
        <v>8.3762893649222896</v>
      </c>
      <c r="E137" s="33">
        <f>IF(COUNT(M137:Z137)&gt;0,AVERAGE(M137:Z137),"")</f>
        <v>5.8359881165269831</v>
      </c>
      <c r="F137" s="33">
        <f>IF(COUNT(M137:Z137)&gt;0,MIN(M137:Z137),"")</f>
        <v>-21</v>
      </c>
      <c r="G137" s="33">
        <f>IF(COUNT(M137:Z137)&gt;0,MAX(M137:Z137),"")</f>
        <v>13.641420911528151</v>
      </c>
      <c r="H137" s="33">
        <f>IF(COUNT(M137:Z137)&gt;0,QUARTILE(M137:Z137,1),"")</f>
        <v>5.8518765095683403</v>
      </c>
      <c r="I137" s="33">
        <f>IF(COUNT(M137:Z137)&gt;0,QUARTILE(M137:Z137,3),"")</f>
        <v>11.783434302462512</v>
      </c>
      <c r="J137" s="33">
        <f>IF(COUNT(M137:Z137)&gt;1,STDEV(M137:Z137),"")</f>
        <v>9.9150106491839392</v>
      </c>
      <c r="K137" s="33">
        <f>IF(COUNT(M137:Z137)&gt;1,STDEV(M137:Z137)/AVERAGE(M137:Z137),"")</f>
        <v>1.6989429127015421</v>
      </c>
      <c r="L137" s="38"/>
      <c r="M137" s="38">
        <v>12.638964577656676</v>
      </c>
      <c r="N137" s="38">
        <v>11.837031900138696</v>
      </c>
      <c r="O137" s="38">
        <v>13.071577484364141</v>
      </c>
      <c r="P137" s="38">
        <v>11.622641509433961</v>
      </c>
      <c r="Q137" s="38">
        <v>13.641420911528151</v>
      </c>
      <c r="R137" s="38">
        <v>10.454140127388534</v>
      </c>
      <c r="S137" s="38">
        <v>8.4256097560975611</v>
      </c>
      <c r="T137" s="38">
        <v>5.8174273858921159</v>
      </c>
      <c r="U137" s="38">
        <v>8.3269689737470163</v>
      </c>
      <c r="V137" s="38">
        <v>5.955223880597015</v>
      </c>
      <c r="W137" s="38">
        <v>7.3669064748201443</v>
      </c>
      <c r="X137" s="38">
        <v>4.7697044334975374</v>
      </c>
      <c r="Y137" s="38">
        <v>-11.223783783783784</v>
      </c>
      <c r="Z137" s="38">
        <v>-21</v>
      </c>
      <c r="AB137" s="30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 x14ac:dyDescent="0.25">
      <c r="A138" s="29">
        <v>1</v>
      </c>
      <c r="C138" s="26" t="str">
        <f>"Data Origination"</f>
        <v>Data Origination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 t="s">
        <v>124</v>
      </c>
      <c r="N138" s="44" t="s">
        <v>124</v>
      </c>
      <c r="O138" s="44" t="s">
        <v>124</v>
      </c>
      <c r="P138" s="44" t="s">
        <v>124</v>
      </c>
      <c r="Q138" s="44" t="s">
        <v>124</v>
      </c>
      <c r="R138" s="44" t="s">
        <v>124</v>
      </c>
      <c r="S138" s="44" t="s">
        <v>124</v>
      </c>
      <c r="T138" s="44" t="s">
        <v>124</v>
      </c>
      <c r="U138" s="44" t="s">
        <v>124</v>
      </c>
      <c r="V138" s="44" t="s">
        <v>124</v>
      </c>
      <c r="W138" s="44" t="s">
        <v>124</v>
      </c>
      <c r="X138" s="44" t="s">
        <v>124</v>
      </c>
      <c r="Y138" s="44" t="s">
        <v>124</v>
      </c>
      <c r="Z138" s="44" t="s">
        <v>124</v>
      </c>
      <c r="AB138" s="30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 x14ac:dyDescent="0.25">
      <c r="A139" s="29">
        <v>1</v>
      </c>
      <c r="C139" s="24" t="str">
        <f>"    Preliminary"</f>
        <v xml:space="preserve">    Preliminary</v>
      </c>
      <c r="D139" s="36"/>
      <c r="E139" s="36"/>
      <c r="F139" s="36"/>
      <c r="G139" s="36"/>
      <c r="H139" s="36"/>
      <c r="I139" s="36"/>
      <c r="J139" s="36"/>
      <c r="K139" s="36"/>
      <c r="L139" s="41"/>
      <c r="M139" s="41" t="s">
        <v>125</v>
      </c>
      <c r="N139" s="41" t="s">
        <v>125</v>
      </c>
      <c r="O139" s="41" t="s">
        <v>125</v>
      </c>
      <c r="P139" s="41" t="s">
        <v>125</v>
      </c>
      <c r="Q139" s="41" t="s">
        <v>125</v>
      </c>
      <c r="R139" s="41" t="s">
        <v>125</v>
      </c>
      <c r="S139" s="41" t="s">
        <v>125</v>
      </c>
      <c r="T139" s="41" t="s">
        <v>125</v>
      </c>
      <c r="U139" s="41" t="s">
        <v>125</v>
      </c>
      <c r="V139" s="41" t="s">
        <v>125</v>
      </c>
      <c r="W139" s="41" t="s">
        <v>125</v>
      </c>
      <c r="X139" s="41" t="s">
        <v>125</v>
      </c>
      <c r="Y139" s="41" t="s">
        <v>125</v>
      </c>
      <c r="Z139" s="41" t="s">
        <v>125</v>
      </c>
      <c r="AB139" s="30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 x14ac:dyDescent="0.25">
      <c r="A140" s="29">
        <v>1</v>
      </c>
      <c r="C140" s="24" t="str">
        <f>"    Original"</f>
        <v xml:space="preserve">    Original</v>
      </c>
      <c r="D140" s="36"/>
      <c r="E140" s="36"/>
      <c r="F140" s="36"/>
      <c r="G140" s="36"/>
      <c r="H140" s="36"/>
      <c r="I140" s="36"/>
      <c r="J140" s="36"/>
      <c r="K140" s="36"/>
      <c r="L140" s="41"/>
      <c r="M140" s="41" t="s">
        <v>125</v>
      </c>
      <c r="N140" s="41" t="s">
        <v>125</v>
      </c>
      <c r="O140" s="41" t="s">
        <v>125</v>
      </c>
      <c r="P140" s="41" t="s">
        <v>125</v>
      </c>
      <c r="Q140" s="41" t="s">
        <v>125</v>
      </c>
      <c r="R140" s="41" t="s">
        <v>125</v>
      </c>
      <c r="S140" s="41" t="s">
        <v>125</v>
      </c>
      <c r="T140" s="41" t="s">
        <v>125</v>
      </c>
      <c r="U140" s="41" t="s">
        <v>125</v>
      </c>
      <c r="V140" s="41" t="s">
        <v>125</v>
      </c>
      <c r="W140" s="41" t="s">
        <v>125</v>
      </c>
      <c r="X140" s="41" t="s">
        <v>125</v>
      </c>
      <c r="Y140" s="41" t="s">
        <v>125</v>
      </c>
      <c r="Z140" s="41" t="s">
        <v>125</v>
      </c>
      <c r="AB140" s="3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 x14ac:dyDescent="0.25">
      <c r="A141" s="29">
        <v>1</v>
      </c>
      <c r="C141" s="24" t="str">
        <f>"    Restated"</f>
        <v xml:space="preserve">    Restated</v>
      </c>
      <c r="D141" s="36"/>
      <c r="E141" s="36"/>
      <c r="F141" s="36"/>
      <c r="G141" s="36"/>
      <c r="H141" s="36"/>
      <c r="I141" s="36"/>
      <c r="J141" s="36"/>
      <c r="K141" s="36"/>
      <c r="L141" s="41"/>
      <c r="M141" s="41" t="s">
        <v>125</v>
      </c>
      <c r="N141" s="41" t="s">
        <v>125</v>
      </c>
      <c r="O141" s="41" t="s">
        <v>125</v>
      </c>
      <c r="P141" s="41" t="s">
        <v>125</v>
      </c>
      <c r="Q141" s="41" t="s">
        <v>125</v>
      </c>
      <c r="R141" s="41" t="s">
        <v>125</v>
      </c>
      <c r="S141" s="41" t="s">
        <v>125</v>
      </c>
      <c r="T141" s="41" t="s">
        <v>125</v>
      </c>
      <c r="U141" s="41" t="s">
        <v>125</v>
      </c>
      <c r="V141" s="41" t="s">
        <v>125</v>
      </c>
      <c r="W141" s="41" t="s">
        <v>125</v>
      </c>
      <c r="X141" s="41" t="s">
        <v>125</v>
      </c>
      <c r="Y141" s="41" t="s">
        <v>125</v>
      </c>
      <c r="Z141" s="41" t="s">
        <v>125</v>
      </c>
      <c r="AB141" s="30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 x14ac:dyDescent="0.25">
      <c r="A142" s="29">
        <v>1</v>
      </c>
      <c r="C142" s="24" t="str">
        <f>"    Calculated"</f>
        <v xml:space="preserve">    Calculated</v>
      </c>
      <c r="D142" s="36"/>
      <c r="E142" s="36"/>
      <c r="F142" s="36"/>
      <c r="G142" s="36"/>
      <c r="H142" s="36"/>
      <c r="I142" s="36"/>
      <c r="J142" s="36"/>
      <c r="K142" s="36"/>
      <c r="L142" s="41"/>
      <c r="M142" s="41" t="s">
        <v>125</v>
      </c>
      <c r="N142" s="41" t="s">
        <v>125</v>
      </c>
      <c r="O142" s="41" t="s">
        <v>125</v>
      </c>
      <c r="P142" s="41" t="s">
        <v>125</v>
      </c>
      <c r="Q142" s="41" t="s">
        <v>125</v>
      </c>
      <c r="R142" s="41" t="s">
        <v>125</v>
      </c>
      <c r="S142" s="41" t="s">
        <v>125</v>
      </c>
      <c r="T142" s="41" t="s">
        <v>125</v>
      </c>
      <c r="U142" s="41" t="s">
        <v>125</v>
      </c>
      <c r="V142" s="41" t="s">
        <v>125</v>
      </c>
      <c r="W142" s="41" t="s">
        <v>125</v>
      </c>
      <c r="X142" s="41" t="s">
        <v>125</v>
      </c>
      <c r="Y142" s="41" t="s">
        <v>125</v>
      </c>
      <c r="Z142" s="41" t="s">
        <v>125</v>
      </c>
      <c r="AB142" s="30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 x14ac:dyDescent="0.25">
      <c r="A143" s="29"/>
      <c r="AB143" s="30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 x14ac:dyDescent="0.25">
      <c r="A144" s="29"/>
      <c r="AB144" s="30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 x14ac:dyDescent="0.25">
      <c r="A145" s="29"/>
      <c r="C145" s="111" t="s">
        <v>89</v>
      </c>
      <c r="AB145" s="30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 x14ac:dyDescent="0.25">
      <c r="A146" s="29"/>
      <c r="C146" s="111" t="s">
        <v>11</v>
      </c>
      <c r="AB146" s="30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 x14ac:dyDescent="0.25">
      <c r="A147" s="29"/>
      <c r="AB147" s="30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 x14ac:dyDescent="0.25">
      <c r="A148" s="27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10:Z10 D59:Z59 D83:Z83 D115:Z115 D121:Z121 D125:Z125 D134:Z134 D137:Z137">
    <cfRule type="expression" dxfId="3" priority="1">
      <formula>NOT(SUBTOTAL(109,$A11)=$A11)</formula>
    </cfRule>
  </conditionalFormatting>
  <hyperlinks>
    <hyperlink ref="M5" r:id="rId1" xr:uid="{00000000-0004-0000-0400-000000000000}"/>
    <hyperlink ref="M10" r:id="rId2" xr:uid="{00000000-0004-0000-0400-000001000000}"/>
    <hyperlink ref="N5" r:id="rId3" xr:uid="{00000000-0004-0000-0400-000002000000}"/>
    <hyperlink ref="N10" r:id="rId4" xr:uid="{00000000-0004-0000-0400-000003000000}"/>
    <hyperlink ref="O5" r:id="rId5" xr:uid="{00000000-0004-0000-0400-000004000000}"/>
    <hyperlink ref="O10" r:id="rId6" xr:uid="{00000000-0004-0000-0400-000005000000}"/>
    <hyperlink ref="P5" r:id="rId7" xr:uid="{00000000-0004-0000-0400-000006000000}"/>
    <hyperlink ref="P10" r:id="rId8" xr:uid="{00000000-0004-0000-0400-000007000000}"/>
    <hyperlink ref="Q5" r:id="rId9" xr:uid="{00000000-0004-0000-0400-000008000000}"/>
    <hyperlink ref="Q10" r:id="rId10" xr:uid="{00000000-0004-0000-0400-000009000000}"/>
    <hyperlink ref="R5" r:id="rId11" xr:uid="{00000000-0004-0000-0400-00000A000000}"/>
    <hyperlink ref="R10" r:id="rId12" xr:uid="{00000000-0004-0000-0400-00000B000000}"/>
    <hyperlink ref="S5" r:id="rId13" xr:uid="{00000000-0004-0000-0400-00000C000000}"/>
    <hyperlink ref="S10" r:id="rId14" xr:uid="{00000000-0004-0000-0400-00000D000000}"/>
    <hyperlink ref="T5" r:id="rId15" xr:uid="{00000000-0004-0000-0400-00000E000000}"/>
    <hyperlink ref="T10" r:id="rId16" xr:uid="{00000000-0004-0000-0400-00000F000000}"/>
    <hyperlink ref="U5" r:id="rId17" xr:uid="{00000000-0004-0000-0400-000010000000}"/>
    <hyperlink ref="U10" r:id="rId18" xr:uid="{00000000-0004-0000-0400-000011000000}"/>
    <hyperlink ref="V5" r:id="rId19" xr:uid="{00000000-0004-0000-0400-000012000000}"/>
    <hyperlink ref="V10" r:id="rId20" xr:uid="{00000000-0004-0000-0400-000013000000}"/>
    <hyperlink ref="W5" r:id="rId21" xr:uid="{00000000-0004-0000-0400-000014000000}"/>
    <hyperlink ref="W10" r:id="rId22" xr:uid="{00000000-0004-0000-0400-000015000000}"/>
    <hyperlink ref="X5" r:id="rId23" xr:uid="{00000000-0004-0000-0400-000016000000}"/>
    <hyperlink ref="X10" r:id="rId24" xr:uid="{00000000-0004-0000-0400-000017000000}"/>
    <hyperlink ref="Y5" r:id="rId25" xr:uid="{00000000-0004-0000-0400-000018000000}"/>
    <hyperlink ref="Y10" r:id="rId26" xr:uid="{00000000-0004-0000-0400-000019000000}"/>
    <hyperlink ref="Z5" r:id="rId27" xr:uid="{00000000-0004-0000-0400-00001A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06D3-DE98-074E-B9CE-B4FB031C084A}">
  <sheetPr>
    <outlinePr summaryBelow="0"/>
  </sheetPr>
  <dimension ref="A1:AMK95"/>
  <sheetViews>
    <sheetView showGridLines="0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2" sqref="C12"/>
    </sheetView>
  </sheetViews>
  <sheetFormatPr defaultColWidth="8.85546875" defaultRowHeight="15" outlineLevelRow="4" x14ac:dyDescent="0.25"/>
  <cols>
    <col min="1" max="1" width="1" style="1" customWidth="1"/>
    <col min="2" max="2" width="2" style="1" customWidth="1"/>
    <col min="3" max="3" width="57" style="1" customWidth="1"/>
    <col min="4" max="18" width="14.5703125" style="1" customWidth="1" collapsed="1"/>
    <col min="19" max="19" width="1.85546875" style="1" customWidth="1"/>
    <col min="20" max="1025" width="14.5703125" style="1" customWidth="1" collapsed="1"/>
  </cols>
  <sheetData>
    <row r="1" spans="1:41" ht="6.4" customHeight="1" x14ac:dyDescent="0.25">
      <c r="A1" s="27"/>
      <c r="B1" s="28"/>
      <c r="C1" s="28"/>
      <c r="D1" s="28" t="s">
        <v>124</v>
      </c>
      <c r="E1" s="28" t="s">
        <v>124</v>
      </c>
      <c r="F1" s="28" t="s">
        <v>124</v>
      </c>
      <c r="G1" s="28" t="s">
        <v>124</v>
      </c>
      <c r="H1" s="28" t="s">
        <v>124</v>
      </c>
      <c r="I1" s="28" t="s">
        <v>124</v>
      </c>
      <c r="J1" s="27" t="s">
        <v>124</v>
      </c>
      <c r="K1" s="27" t="s">
        <v>124</v>
      </c>
      <c r="L1" s="27" t="s">
        <v>124</v>
      </c>
      <c r="M1" s="27" t="s">
        <v>124</v>
      </c>
      <c r="N1" s="27" t="s">
        <v>124</v>
      </c>
      <c r="O1" s="27" t="s">
        <v>124</v>
      </c>
      <c r="P1" s="27" t="s">
        <v>124</v>
      </c>
      <c r="Q1" s="27" t="s">
        <v>124</v>
      </c>
      <c r="R1" s="27" t="s">
        <v>124</v>
      </c>
      <c r="S1" s="27" t="s">
        <v>124</v>
      </c>
      <c r="T1" s="27" t="s">
        <v>124</v>
      </c>
      <c r="U1" s="27" t="s">
        <v>124</v>
      </c>
      <c r="V1" s="27" t="s">
        <v>124</v>
      </c>
      <c r="W1" s="27" t="s">
        <v>124</v>
      </c>
      <c r="X1" s="27" t="s">
        <v>124</v>
      </c>
      <c r="Y1" s="27" t="s">
        <v>124</v>
      </c>
      <c r="Z1" s="27" t="s">
        <v>124</v>
      </c>
      <c r="AA1" s="27" t="s">
        <v>124</v>
      </c>
      <c r="AB1" s="27" t="s">
        <v>124</v>
      </c>
      <c r="AC1" s="27" t="s">
        <v>124</v>
      </c>
      <c r="AD1" s="27" t="s">
        <v>124</v>
      </c>
      <c r="AE1" s="27" t="s">
        <v>124</v>
      </c>
      <c r="AF1" s="27" t="s">
        <v>124</v>
      </c>
      <c r="AG1" s="27" t="s">
        <v>124</v>
      </c>
      <c r="AH1" s="27" t="s">
        <v>124</v>
      </c>
      <c r="AI1" s="27" t="s">
        <v>124</v>
      </c>
      <c r="AJ1" s="27" t="s">
        <v>124</v>
      </c>
      <c r="AK1" s="27" t="s">
        <v>124</v>
      </c>
      <c r="AL1" s="27" t="s">
        <v>124</v>
      </c>
      <c r="AM1" s="27" t="s">
        <v>124</v>
      </c>
      <c r="AN1" s="27"/>
      <c r="AO1" s="27"/>
    </row>
    <row r="2" spans="1:41" ht="39.75" customHeight="1" x14ac:dyDescent="0.25">
      <c r="A2" s="29"/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30" t="s">
        <v>124</v>
      </c>
      <c r="K2" s="27" t="s">
        <v>124</v>
      </c>
      <c r="L2" s="27" t="s">
        <v>124</v>
      </c>
      <c r="M2" s="27" t="s">
        <v>124</v>
      </c>
      <c r="N2" s="27" t="s">
        <v>124</v>
      </c>
      <c r="O2" s="27" t="s">
        <v>124</v>
      </c>
      <c r="P2" s="27" t="s">
        <v>124</v>
      </c>
      <c r="Q2" s="27" t="s">
        <v>124</v>
      </c>
      <c r="R2" s="27" t="s">
        <v>124</v>
      </c>
      <c r="S2" s="27" t="s">
        <v>124</v>
      </c>
      <c r="T2" s="27" t="s">
        <v>124</v>
      </c>
      <c r="U2" s="27" t="s">
        <v>124</v>
      </c>
      <c r="V2" s="27" t="s">
        <v>124</v>
      </c>
      <c r="W2" s="27" t="s">
        <v>124</v>
      </c>
      <c r="X2" s="27" t="s">
        <v>124</v>
      </c>
      <c r="Y2" s="27" t="s">
        <v>124</v>
      </c>
      <c r="Z2" s="27" t="s">
        <v>124</v>
      </c>
      <c r="AA2" s="27" t="s">
        <v>124</v>
      </c>
      <c r="AB2" s="27" t="s">
        <v>124</v>
      </c>
      <c r="AC2" s="27" t="s">
        <v>124</v>
      </c>
      <c r="AD2" s="27" t="s">
        <v>124</v>
      </c>
      <c r="AE2" s="27" t="s">
        <v>124</v>
      </c>
      <c r="AF2" s="27" t="s">
        <v>124</v>
      </c>
      <c r="AG2" s="27" t="s">
        <v>124</v>
      </c>
      <c r="AH2" s="27" t="s">
        <v>124</v>
      </c>
      <c r="AI2" s="27" t="s">
        <v>124</v>
      </c>
      <c r="AJ2" s="27" t="s">
        <v>124</v>
      </c>
      <c r="AK2" s="27" t="s">
        <v>124</v>
      </c>
      <c r="AL2" s="27" t="s">
        <v>124</v>
      </c>
      <c r="AM2" s="27" t="s">
        <v>124</v>
      </c>
      <c r="AN2" s="27"/>
      <c r="AO2" s="27"/>
    </row>
    <row r="3" spans="1:41" ht="18.75" customHeight="1" x14ac:dyDescent="0.25">
      <c r="A3" s="29"/>
      <c r="C3" s="6" t="s">
        <v>131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30" t="s">
        <v>124</v>
      </c>
      <c r="K3" s="27" t="s">
        <v>124</v>
      </c>
      <c r="L3" s="27" t="s">
        <v>124</v>
      </c>
      <c r="M3" s="27" t="s">
        <v>124</v>
      </c>
      <c r="N3" s="27" t="s">
        <v>124</v>
      </c>
      <c r="O3" s="27" t="s">
        <v>124</v>
      </c>
      <c r="P3" s="27" t="s">
        <v>124</v>
      </c>
      <c r="Q3" s="27" t="s">
        <v>124</v>
      </c>
      <c r="R3" s="27" t="s">
        <v>124</v>
      </c>
      <c r="S3" s="27" t="s">
        <v>124</v>
      </c>
      <c r="T3" s="27" t="s">
        <v>124</v>
      </c>
      <c r="U3" s="27" t="s">
        <v>124</v>
      </c>
      <c r="V3" s="27" t="s">
        <v>124</v>
      </c>
      <c r="W3" s="27" t="s">
        <v>124</v>
      </c>
      <c r="X3" s="27" t="s">
        <v>124</v>
      </c>
      <c r="Y3" s="27" t="s">
        <v>124</v>
      </c>
      <c r="Z3" s="27" t="s">
        <v>124</v>
      </c>
      <c r="AA3" s="27" t="s">
        <v>124</v>
      </c>
      <c r="AB3" s="27" t="s">
        <v>124</v>
      </c>
      <c r="AC3" s="27" t="s">
        <v>124</v>
      </c>
      <c r="AD3" s="27" t="s">
        <v>124</v>
      </c>
      <c r="AE3" s="27" t="s">
        <v>124</v>
      </c>
      <c r="AF3" s="27" t="s">
        <v>124</v>
      </c>
      <c r="AG3" s="27" t="s">
        <v>124</v>
      </c>
      <c r="AH3" s="27" t="s">
        <v>124</v>
      </c>
      <c r="AI3" s="27" t="s">
        <v>124</v>
      </c>
      <c r="AJ3" s="27" t="s">
        <v>124</v>
      </c>
      <c r="AK3" s="27" t="s">
        <v>124</v>
      </c>
      <c r="AL3" s="27" t="s">
        <v>124</v>
      </c>
      <c r="AM3" s="27" t="s">
        <v>124</v>
      </c>
      <c r="AN3" s="27"/>
      <c r="AO3" s="27"/>
    </row>
    <row r="4" spans="1:41" x14ac:dyDescent="0.25">
      <c r="A4" s="29"/>
      <c r="C4" s="7" t="s">
        <v>94</v>
      </c>
      <c r="D4" t="s">
        <v>124</v>
      </c>
      <c r="E4" t="s">
        <v>124</v>
      </c>
      <c r="F4" t="s">
        <v>124</v>
      </c>
      <c r="G4" t="s">
        <v>124</v>
      </c>
      <c r="H4" t="s">
        <v>124</v>
      </c>
      <c r="I4" t="s">
        <v>124</v>
      </c>
      <c r="J4" s="30" t="s">
        <v>124</v>
      </c>
      <c r="K4" s="27" t="s">
        <v>124</v>
      </c>
      <c r="L4" s="27" t="s">
        <v>124</v>
      </c>
      <c r="M4" s="27" t="s">
        <v>124</v>
      </c>
      <c r="N4" s="27" t="s">
        <v>124</v>
      </c>
      <c r="O4" s="27" t="s">
        <v>124</v>
      </c>
      <c r="P4" s="27" t="s">
        <v>124</v>
      </c>
      <c r="Q4" s="27" t="s">
        <v>124</v>
      </c>
      <c r="R4" s="27" t="s">
        <v>124</v>
      </c>
      <c r="S4" s="27" t="s">
        <v>124</v>
      </c>
      <c r="T4" s="27" t="s">
        <v>124</v>
      </c>
      <c r="U4" s="27" t="s">
        <v>124</v>
      </c>
      <c r="V4" s="27" t="s">
        <v>124</v>
      </c>
      <c r="W4" s="27" t="s">
        <v>124</v>
      </c>
      <c r="X4" s="27" t="s">
        <v>124</v>
      </c>
      <c r="Y4" s="27" t="s">
        <v>124</v>
      </c>
      <c r="Z4" s="27" t="s">
        <v>124</v>
      </c>
      <c r="AA4" s="27" t="s">
        <v>124</v>
      </c>
      <c r="AB4" s="27" t="s">
        <v>124</v>
      </c>
      <c r="AC4" s="27" t="s">
        <v>124</v>
      </c>
      <c r="AD4" s="27" t="s">
        <v>124</v>
      </c>
      <c r="AE4" s="27" t="s">
        <v>124</v>
      </c>
      <c r="AF4" s="27" t="s">
        <v>124</v>
      </c>
      <c r="AG4" s="27" t="s">
        <v>124</v>
      </c>
      <c r="AH4" s="27" t="s">
        <v>124</v>
      </c>
      <c r="AI4" s="27" t="s">
        <v>124</v>
      </c>
      <c r="AJ4" s="27" t="s">
        <v>124</v>
      </c>
      <c r="AK4" s="27" t="s">
        <v>124</v>
      </c>
      <c r="AL4" s="27" t="s">
        <v>124</v>
      </c>
      <c r="AM4" s="27" t="s">
        <v>124</v>
      </c>
      <c r="AN4" s="27"/>
      <c r="AO4" s="27"/>
    </row>
    <row r="5" spans="1:41" x14ac:dyDescent="0.25">
      <c r="A5" s="29"/>
      <c r="C5" s="7" t="s">
        <v>95</v>
      </c>
      <c r="D5" s="48" t="s">
        <v>97</v>
      </c>
      <c r="E5" s="48" t="s">
        <v>100</v>
      </c>
      <c r="F5" s="48" t="s">
        <v>101</v>
      </c>
      <c r="G5" s="48" t="s">
        <v>102</v>
      </c>
      <c r="H5" s="48" t="s">
        <v>104</v>
      </c>
      <c r="I5" s="48" t="s">
        <v>106</v>
      </c>
      <c r="J5" s="30" t="s">
        <v>124</v>
      </c>
      <c r="K5" s="27" t="s">
        <v>124</v>
      </c>
      <c r="L5" s="27" t="s">
        <v>124</v>
      </c>
      <c r="M5" s="27" t="s">
        <v>124</v>
      </c>
      <c r="N5" s="27" t="s">
        <v>124</v>
      </c>
      <c r="O5" s="27" t="s">
        <v>124</v>
      </c>
      <c r="P5" s="27" t="s">
        <v>124</v>
      </c>
      <c r="Q5" s="27" t="s">
        <v>124</v>
      </c>
      <c r="R5" s="27" t="s">
        <v>124</v>
      </c>
      <c r="S5" s="27" t="s">
        <v>124</v>
      </c>
      <c r="T5" s="27" t="s">
        <v>124</v>
      </c>
      <c r="U5" s="27" t="s">
        <v>124</v>
      </c>
      <c r="V5" s="27" t="s">
        <v>124</v>
      </c>
      <c r="W5" s="27" t="s">
        <v>124</v>
      </c>
      <c r="X5" s="27" t="s">
        <v>124</v>
      </c>
      <c r="Y5" s="27" t="s">
        <v>124</v>
      </c>
      <c r="Z5" s="27" t="s">
        <v>124</v>
      </c>
      <c r="AA5" s="27" t="s">
        <v>124</v>
      </c>
      <c r="AB5" s="27" t="s">
        <v>124</v>
      </c>
      <c r="AC5" s="27" t="s">
        <v>124</v>
      </c>
      <c r="AD5" s="27" t="s">
        <v>124</v>
      </c>
      <c r="AE5" s="27" t="s">
        <v>124</v>
      </c>
      <c r="AF5" s="27" t="s">
        <v>124</v>
      </c>
      <c r="AG5" s="27" t="s">
        <v>124</v>
      </c>
      <c r="AH5" s="27" t="s">
        <v>124</v>
      </c>
      <c r="AI5" s="27" t="s">
        <v>124</v>
      </c>
      <c r="AJ5" s="27" t="s">
        <v>124</v>
      </c>
      <c r="AK5" s="27" t="s">
        <v>124</v>
      </c>
      <c r="AL5" s="27" t="s">
        <v>124</v>
      </c>
      <c r="AM5" s="27" t="s">
        <v>124</v>
      </c>
      <c r="AN5" s="27"/>
      <c r="AO5" s="27"/>
    </row>
    <row r="6" spans="1:41" x14ac:dyDescent="0.25">
      <c r="A6" s="29"/>
      <c r="D6" t="s">
        <v>124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s="30" t="s">
        <v>124</v>
      </c>
      <c r="K6" s="27" t="s">
        <v>124</v>
      </c>
      <c r="L6" s="27" t="s">
        <v>124</v>
      </c>
      <c r="M6" s="27" t="s">
        <v>124</v>
      </c>
      <c r="N6" s="27" t="s">
        <v>124</v>
      </c>
      <c r="O6" s="27" t="s">
        <v>124</v>
      </c>
      <c r="P6" s="27" t="s">
        <v>124</v>
      </c>
      <c r="Q6" s="27" t="s">
        <v>124</v>
      </c>
      <c r="R6" s="27" t="s">
        <v>124</v>
      </c>
      <c r="S6" s="27" t="s">
        <v>124</v>
      </c>
      <c r="T6" s="27" t="s">
        <v>124</v>
      </c>
      <c r="U6" s="27" t="s">
        <v>124</v>
      </c>
      <c r="V6" s="27" t="s">
        <v>124</v>
      </c>
      <c r="W6" s="27" t="s">
        <v>124</v>
      </c>
      <c r="X6" s="27" t="s">
        <v>124</v>
      </c>
      <c r="Y6" s="27" t="s">
        <v>124</v>
      </c>
      <c r="Z6" s="27" t="s">
        <v>124</v>
      </c>
      <c r="AA6" s="27" t="s">
        <v>124</v>
      </c>
      <c r="AB6" s="27" t="s">
        <v>124</v>
      </c>
      <c r="AC6" s="27" t="s">
        <v>124</v>
      </c>
      <c r="AD6" s="27" t="s">
        <v>124</v>
      </c>
      <c r="AE6" s="27" t="s">
        <v>124</v>
      </c>
      <c r="AF6" s="27" t="s">
        <v>124</v>
      </c>
      <c r="AG6" s="27" t="s">
        <v>124</v>
      </c>
      <c r="AH6" s="27" t="s">
        <v>124</v>
      </c>
      <c r="AI6" s="27" t="s">
        <v>124</v>
      </c>
      <c r="AJ6" s="27" t="s">
        <v>124</v>
      </c>
      <c r="AK6" s="27" t="s">
        <v>124</v>
      </c>
      <c r="AL6" s="27" t="s">
        <v>124</v>
      </c>
      <c r="AM6" s="27" t="s">
        <v>124</v>
      </c>
      <c r="AN6" s="27"/>
      <c r="AO6" s="27"/>
    </row>
    <row r="7" spans="1:41" x14ac:dyDescent="0.25">
      <c r="A7" s="29"/>
      <c r="C7" s="8" t="s">
        <v>96</v>
      </c>
      <c r="D7" t="s">
        <v>124</v>
      </c>
      <c r="E7" t="s">
        <v>124</v>
      </c>
      <c r="F7" t="s">
        <v>124</v>
      </c>
      <c r="G7" t="s">
        <v>124</v>
      </c>
      <c r="H7" t="s">
        <v>124</v>
      </c>
      <c r="I7" t="s">
        <v>124</v>
      </c>
      <c r="J7" s="30" t="s">
        <v>124</v>
      </c>
      <c r="K7" s="27" t="s">
        <v>124</v>
      </c>
      <c r="L7" s="27" t="s">
        <v>124</v>
      </c>
      <c r="M7" s="27" t="s">
        <v>124</v>
      </c>
      <c r="N7" s="27" t="s">
        <v>124</v>
      </c>
      <c r="O7" s="27" t="s">
        <v>124</v>
      </c>
      <c r="P7" s="27" t="s">
        <v>124</v>
      </c>
      <c r="Q7" s="27" t="s">
        <v>124</v>
      </c>
      <c r="R7" s="27" t="s">
        <v>124</v>
      </c>
      <c r="S7" s="27" t="s">
        <v>124</v>
      </c>
      <c r="T7" s="27" t="s">
        <v>124</v>
      </c>
      <c r="U7" s="27" t="s">
        <v>124</v>
      </c>
      <c r="V7" s="27" t="s">
        <v>124</v>
      </c>
      <c r="W7" s="27" t="s">
        <v>124</v>
      </c>
      <c r="X7" s="27" t="s">
        <v>124</v>
      </c>
      <c r="Y7" s="27" t="s">
        <v>124</v>
      </c>
      <c r="Z7" s="27" t="s">
        <v>124</v>
      </c>
      <c r="AA7" s="27" t="s">
        <v>124</v>
      </c>
      <c r="AB7" s="27" t="s">
        <v>124</v>
      </c>
      <c r="AC7" s="27" t="s">
        <v>124</v>
      </c>
      <c r="AD7" s="27" t="s">
        <v>124</v>
      </c>
      <c r="AE7" s="27" t="s">
        <v>124</v>
      </c>
      <c r="AF7" s="27" t="s">
        <v>124</v>
      </c>
      <c r="AG7" s="27" t="s">
        <v>124</v>
      </c>
      <c r="AH7" s="27" t="s">
        <v>124</v>
      </c>
      <c r="AI7" s="27" t="s">
        <v>124</v>
      </c>
      <c r="AJ7" s="27" t="s">
        <v>124</v>
      </c>
      <c r="AK7" s="27" t="s">
        <v>124</v>
      </c>
      <c r="AL7" s="27" t="s">
        <v>124</v>
      </c>
      <c r="AM7" s="27" t="s">
        <v>124</v>
      </c>
      <c r="AN7" s="27"/>
      <c r="AO7" s="27"/>
    </row>
    <row r="8" spans="1:41" x14ac:dyDescent="0.25">
      <c r="A8" s="29"/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 t="s">
        <v>124</v>
      </c>
      <c r="J8" s="30" t="s">
        <v>124</v>
      </c>
      <c r="K8" s="27" t="s">
        <v>124</v>
      </c>
      <c r="L8" s="27" t="s">
        <v>124</v>
      </c>
      <c r="M8" s="27" t="s">
        <v>124</v>
      </c>
      <c r="N8" s="27" t="s">
        <v>124</v>
      </c>
      <c r="O8" s="27" t="s">
        <v>124</v>
      </c>
      <c r="P8" s="27" t="s">
        <v>124</v>
      </c>
      <c r="Q8" s="27" t="s">
        <v>124</v>
      </c>
      <c r="R8" s="27" t="s">
        <v>124</v>
      </c>
      <c r="S8" s="27" t="s">
        <v>124</v>
      </c>
      <c r="T8" s="27" t="s">
        <v>124</v>
      </c>
      <c r="U8" s="27" t="s">
        <v>124</v>
      </c>
      <c r="V8" s="27" t="s">
        <v>124</v>
      </c>
      <c r="W8" s="27" t="s">
        <v>124</v>
      </c>
      <c r="X8" s="27" t="s">
        <v>124</v>
      </c>
      <c r="Y8" s="27" t="s">
        <v>124</v>
      </c>
      <c r="Z8" s="27" t="s">
        <v>124</v>
      </c>
      <c r="AA8" s="27" t="s">
        <v>124</v>
      </c>
      <c r="AB8" s="27" t="s">
        <v>124</v>
      </c>
      <c r="AC8" s="27" t="s">
        <v>124</v>
      </c>
      <c r="AD8" s="27" t="s">
        <v>124</v>
      </c>
      <c r="AE8" s="27" t="s">
        <v>124</v>
      </c>
      <c r="AF8" s="27" t="s">
        <v>124</v>
      </c>
      <c r="AG8" s="27" t="s">
        <v>124</v>
      </c>
      <c r="AH8" s="27" t="s">
        <v>124</v>
      </c>
      <c r="AI8" s="27" t="s">
        <v>124</v>
      </c>
      <c r="AJ8" s="27" t="s">
        <v>124</v>
      </c>
      <c r="AK8" s="27" t="s">
        <v>124</v>
      </c>
      <c r="AL8" s="27" t="s">
        <v>124</v>
      </c>
      <c r="AM8" s="27" t="s">
        <v>124</v>
      </c>
      <c r="AN8" s="27"/>
      <c r="AO8" s="27"/>
    </row>
    <row r="9" spans="1:41" x14ac:dyDescent="0.25">
      <c r="A9" s="29"/>
      <c r="D9" s="49" t="s">
        <v>98</v>
      </c>
      <c r="E9" s="49" t="s">
        <v>98</v>
      </c>
      <c r="F9" s="49" t="s">
        <v>98</v>
      </c>
      <c r="G9" s="49" t="s">
        <v>103</v>
      </c>
      <c r="H9" s="49" t="s">
        <v>105</v>
      </c>
      <c r="I9" s="49" t="s">
        <v>107</v>
      </c>
      <c r="J9" s="30" t="s">
        <v>124</v>
      </c>
      <c r="K9" s="27" t="s">
        <v>124</v>
      </c>
      <c r="L9" s="27" t="s">
        <v>124</v>
      </c>
      <c r="M9" s="27" t="s">
        <v>124</v>
      </c>
      <c r="N9" s="27" t="s">
        <v>124</v>
      </c>
      <c r="O9" s="27" t="s">
        <v>124</v>
      </c>
      <c r="P9" s="27" t="s">
        <v>124</v>
      </c>
      <c r="Q9" s="27" t="s">
        <v>124</v>
      </c>
      <c r="R9" s="27" t="s">
        <v>124</v>
      </c>
      <c r="S9" s="27" t="s">
        <v>124</v>
      </c>
      <c r="T9" s="27" t="s">
        <v>124</v>
      </c>
      <c r="U9" s="27" t="s">
        <v>124</v>
      </c>
      <c r="V9" s="27" t="s">
        <v>124</v>
      </c>
      <c r="W9" s="27" t="s">
        <v>124</v>
      </c>
      <c r="X9" s="27" t="s">
        <v>124</v>
      </c>
      <c r="Y9" s="27" t="s">
        <v>124</v>
      </c>
      <c r="Z9" s="27" t="s">
        <v>124</v>
      </c>
      <c r="AA9" s="27" t="s">
        <v>124</v>
      </c>
      <c r="AB9" s="27" t="s">
        <v>124</v>
      </c>
      <c r="AC9" s="27" t="s">
        <v>124</v>
      </c>
      <c r="AD9" s="27" t="s">
        <v>124</v>
      </c>
      <c r="AE9" s="27" t="s">
        <v>124</v>
      </c>
      <c r="AF9" s="27" t="s">
        <v>124</v>
      </c>
      <c r="AG9" s="27" t="s">
        <v>124</v>
      </c>
      <c r="AH9" s="27" t="s">
        <v>124</v>
      </c>
      <c r="AI9" s="27" t="s">
        <v>124</v>
      </c>
      <c r="AJ9" s="27" t="s">
        <v>124</v>
      </c>
      <c r="AK9" s="27" t="s">
        <v>124</v>
      </c>
      <c r="AL9" s="27" t="s">
        <v>124</v>
      </c>
      <c r="AM9" s="27" t="s">
        <v>124</v>
      </c>
      <c r="AN9" s="27"/>
      <c r="AO9" s="27"/>
    </row>
    <row r="10" spans="1:41" x14ac:dyDescent="0.25">
      <c r="A10" s="29"/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s="30" t="s">
        <v>124</v>
      </c>
      <c r="K10" s="27" t="s">
        <v>124</v>
      </c>
      <c r="L10" s="27" t="s">
        <v>124</v>
      </c>
      <c r="M10" s="27" t="s">
        <v>124</v>
      </c>
      <c r="N10" s="27" t="s">
        <v>124</v>
      </c>
      <c r="O10" s="27" t="s">
        <v>124</v>
      </c>
      <c r="P10" s="27" t="s">
        <v>124</v>
      </c>
      <c r="Q10" s="27" t="s">
        <v>124</v>
      </c>
      <c r="R10" s="27" t="s">
        <v>124</v>
      </c>
      <c r="S10" s="27" t="s">
        <v>124</v>
      </c>
      <c r="T10" s="27" t="s">
        <v>124</v>
      </c>
      <c r="U10" s="27" t="s">
        <v>124</v>
      </c>
      <c r="V10" s="27" t="s">
        <v>124</v>
      </c>
      <c r="W10" s="27" t="s">
        <v>124</v>
      </c>
      <c r="X10" s="27" t="s">
        <v>124</v>
      </c>
      <c r="Y10" s="27" t="s">
        <v>124</v>
      </c>
      <c r="Z10" s="27" t="s">
        <v>124</v>
      </c>
      <c r="AA10" s="27" t="s">
        <v>124</v>
      </c>
      <c r="AB10" s="27" t="s">
        <v>124</v>
      </c>
      <c r="AC10" s="27" t="s">
        <v>124</v>
      </c>
      <c r="AD10" s="27" t="s">
        <v>124</v>
      </c>
      <c r="AE10" s="27" t="s">
        <v>124</v>
      </c>
      <c r="AF10" s="27" t="s">
        <v>124</v>
      </c>
      <c r="AG10" s="27" t="s">
        <v>124</v>
      </c>
      <c r="AH10" s="27" t="s">
        <v>124</v>
      </c>
      <c r="AI10" s="27" t="s">
        <v>124</v>
      </c>
      <c r="AJ10" s="27" t="s">
        <v>124</v>
      </c>
      <c r="AK10" s="27" t="s">
        <v>124</v>
      </c>
      <c r="AL10" s="27" t="s">
        <v>124</v>
      </c>
      <c r="AM10" s="27" t="s">
        <v>124</v>
      </c>
      <c r="AN10" s="27"/>
      <c r="AO10" s="27"/>
    </row>
    <row r="11" spans="1:41" x14ac:dyDescent="0.25">
      <c r="A11" s="29">
        <v>1</v>
      </c>
      <c r="C11" s="26" t="str">
        <f>"Amount in thousands"</f>
        <v>Amount in thousands</v>
      </c>
      <c r="D11" s="44" t="s">
        <v>124</v>
      </c>
      <c r="E11" s="44" t="s">
        <v>124</v>
      </c>
      <c r="F11" s="44" t="s">
        <v>124</v>
      </c>
      <c r="G11" s="44" t="s">
        <v>124</v>
      </c>
      <c r="H11" s="44" t="s">
        <v>124</v>
      </c>
      <c r="I11" s="44" t="s">
        <v>124</v>
      </c>
      <c r="J11" s="30" t="s">
        <v>124</v>
      </c>
      <c r="K11" s="27" t="s">
        <v>124</v>
      </c>
      <c r="L11" s="27" t="s">
        <v>124</v>
      </c>
      <c r="M11" s="27" t="s">
        <v>124</v>
      </c>
      <c r="N11" s="27" t="s">
        <v>124</v>
      </c>
      <c r="O11" s="27" t="s">
        <v>124</v>
      </c>
      <c r="P11" s="27" t="s">
        <v>124</v>
      </c>
      <c r="Q11" s="27" t="s">
        <v>124</v>
      </c>
      <c r="R11" s="27" t="s">
        <v>124</v>
      </c>
      <c r="S11" s="27" t="s">
        <v>124</v>
      </c>
      <c r="T11" s="27" t="s">
        <v>124</v>
      </c>
      <c r="U11" s="27" t="s">
        <v>124</v>
      </c>
      <c r="V11" s="27" t="s">
        <v>124</v>
      </c>
      <c r="W11" s="27" t="s">
        <v>124</v>
      </c>
      <c r="X11" s="27" t="s">
        <v>124</v>
      </c>
      <c r="Y11" s="27" t="s">
        <v>124</v>
      </c>
      <c r="Z11" s="27" t="s">
        <v>124</v>
      </c>
      <c r="AA11" s="27" t="s">
        <v>124</v>
      </c>
      <c r="AB11" s="27" t="s">
        <v>124</v>
      </c>
      <c r="AC11" s="27" t="s">
        <v>124</v>
      </c>
      <c r="AD11" s="27" t="s">
        <v>124</v>
      </c>
      <c r="AE11" s="27" t="s">
        <v>124</v>
      </c>
      <c r="AF11" s="27" t="s">
        <v>124</v>
      </c>
      <c r="AG11" s="27" t="s">
        <v>124</v>
      </c>
      <c r="AH11" s="27" t="s">
        <v>124</v>
      </c>
      <c r="AI11" s="27" t="s">
        <v>124</v>
      </c>
      <c r="AJ11" s="27" t="s">
        <v>124</v>
      </c>
      <c r="AK11" s="27" t="s">
        <v>124</v>
      </c>
      <c r="AL11" s="27" t="s">
        <v>124</v>
      </c>
      <c r="AM11" s="27" t="s">
        <v>124</v>
      </c>
      <c r="AN11" s="27"/>
      <c r="AO11" s="27"/>
    </row>
    <row r="12" spans="1:41" outlineLevel="1" collapsed="1" x14ac:dyDescent="0.25">
      <c r="A12" s="29">
        <v>1</v>
      </c>
      <c r="C12" s="24" t="str">
        <f>"    Business Unit"</f>
        <v xml:space="preserve">    Business Unit</v>
      </c>
      <c r="D12" s="41" t="s">
        <v>124</v>
      </c>
      <c r="E12" s="41" t="s">
        <v>124</v>
      </c>
      <c r="F12" s="41" t="s">
        <v>124</v>
      </c>
      <c r="G12" s="41" t="s">
        <v>124</v>
      </c>
      <c r="H12" s="41" t="s">
        <v>124</v>
      </c>
      <c r="I12" s="41" t="s">
        <v>124</v>
      </c>
      <c r="J12" s="30" t="s">
        <v>124</v>
      </c>
      <c r="K12" s="27" t="s">
        <v>124</v>
      </c>
      <c r="L12" s="27" t="s">
        <v>124</v>
      </c>
      <c r="M12" s="27" t="s">
        <v>124</v>
      </c>
      <c r="N12" s="27" t="s">
        <v>124</v>
      </c>
      <c r="O12" s="27" t="s">
        <v>124</v>
      </c>
      <c r="P12" s="27" t="s">
        <v>124</v>
      </c>
      <c r="Q12" s="27" t="s">
        <v>124</v>
      </c>
      <c r="R12" s="27" t="s">
        <v>124</v>
      </c>
      <c r="S12" s="27" t="s">
        <v>124</v>
      </c>
      <c r="T12" s="27" t="s">
        <v>124</v>
      </c>
      <c r="U12" s="27" t="s">
        <v>124</v>
      </c>
      <c r="V12" s="27" t="s">
        <v>124</v>
      </c>
      <c r="W12" s="27" t="s">
        <v>124</v>
      </c>
      <c r="X12" s="27" t="s">
        <v>124</v>
      </c>
      <c r="Y12" s="27" t="s">
        <v>124</v>
      </c>
      <c r="Z12" s="27" t="s">
        <v>124</v>
      </c>
      <c r="AA12" s="27" t="s">
        <v>124</v>
      </c>
      <c r="AB12" s="27" t="s">
        <v>124</v>
      </c>
      <c r="AC12" s="27" t="s">
        <v>124</v>
      </c>
      <c r="AD12" s="27" t="s">
        <v>124</v>
      </c>
      <c r="AE12" s="27" t="s">
        <v>124</v>
      </c>
      <c r="AF12" s="27" t="s">
        <v>124</v>
      </c>
      <c r="AG12" s="27" t="s">
        <v>124</v>
      </c>
      <c r="AH12" s="27" t="s">
        <v>124</v>
      </c>
      <c r="AI12" s="27" t="s">
        <v>124</v>
      </c>
      <c r="AJ12" s="27" t="s">
        <v>124</v>
      </c>
      <c r="AK12" s="27" t="s">
        <v>124</v>
      </c>
      <c r="AL12" s="27" t="s">
        <v>124</v>
      </c>
      <c r="AM12" s="27" t="s">
        <v>124</v>
      </c>
      <c r="AN12" s="27"/>
      <c r="AO12" s="27"/>
    </row>
    <row r="13" spans="1:41" hidden="1" outlineLevel="2" collapsed="1" x14ac:dyDescent="0.25">
      <c r="A13" s="29">
        <v>1</v>
      </c>
      <c r="C13" s="24" t="str">
        <f>IF(SUBTOTAL(109,A13)=A13,"        Revenue","        Revenue")</f>
        <v xml:space="preserve">        Revenue</v>
      </c>
      <c r="D13" s="37">
        <f>IF(SUBTOTAL(109,A13)=A13,"",127004000)</f>
        <v>127004000</v>
      </c>
      <c r="E13" s="37">
        <f>IF(SUBTOTAL(109,A13)=A13,"",122485000)</f>
        <v>122485000</v>
      </c>
      <c r="F13" s="37">
        <f>IF(SUBTOTAL(109,A13)=A13,"",137237000)</f>
        <v>137237000</v>
      </c>
      <c r="G13" s="37">
        <f>IF(SUBTOTAL(109,A13)=A13,"",147049000)</f>
        <v>147049000</v>
      </c>
      <c r="H13" s="37">
        <f>IF(SUBTOTAL(109,A13)=A13,"",145588000)</f>
        <v>145588000</v>
      </c>
      <c r="I13" s="37">
        <f>IF(SUBTOTAL(109,A13)=A13,"",149184000)</f>
        <v>149184000</v>
      </c>
      <c r="J13" s="30" t="s">
        <v>124</v>
      </c>
      <c r="K13" s="27" t="s">
        <v>124</v>
      </c>
      <c r="L13" s="27" t="s">
        <v>124</v>
      </c>
      <c r="M13" s="27" t="s">
        <v>124</v>
      </c>
      <c r="N13" s="27" t="s">
        <v>124</v>
      </c>
      <c r="O13" s="27" t="s">
        <v>124</v>
      </c>
      <c r="P13" s="27" t="s">
        <v>124</v>
      </c>
      <c r="Q13" s="27" t="s">
        <v>124</v>
      </c>
      <c r="R13" s="27" t="s">
        <v>124</v>
      </c>
      <c r="S13" s="27" t="s">
        <v>124</v>
      </c>
      <c r="T13" s="27" t="s">
        <v>124</v>
      </c>
      <c r="U13" s="27" t="s">
        <v>124</v>
      </c>
      <c r="V13" s="27" t="s">
        <v>124</v>
      </c>
      <c r="W13" s="27" t="s">
        <v>124</v>
      </c>
      <c r="X13" s="27" t="s">
        <v>124</v>
      </c>
      <c r="Y13" s="27" t="s">
        <v>124</v>
      </c>
      <c r="Z13" s="27" t="s">
        <v>124</v>
      </c>
      <c r="AA13" s="27" t="s">
        <v>124</v>
      </c>
      <c r="AB13" s="27" t="s">
        <v>124</v>
      </c>
      <c r="AC13" s="27" t="s">
        <v>124</v>
      </c>
      <c r="AD13" s="27" t="s">
        <v>124</v>
      </c>
      <c r="AE13" s="27" t="s">
        <v>124</v>
      </c>
      <c r="AF13" s="27" t="s">
        <v>124</v>
      </c>
      <c r="AG13" s="27" t="s">
        <v>124</v>
      </c>
      <c r="AH13" s="27" t="s">
        <v>124</v>
      </c>
      <c r="AI13" s="27" t="s">
        <v>124</v>
      </c>
      <c r="AJ13" s="27" t="s">
        <v>124</v>
      </c>
      <c r="AK13" s="27" t="s">
        <v>124</v>
      </c>
      <c r="AL13" s="27" t="s">
        <v>124</v>
      </c>
      <c r="AM13" s="27" t="s">
        <v>124</v>
      </c>
      <c r="AN13" s="27"/>
      <c r="AO13" s="27"/>
    </row>
    <row r="14" spans="1:41" hidden="1" outlineLevel="3" x14ac:dyDescent="0.25">
      <c r="A14" s="29">
        <v>1</v>
      </c>
      <c r="C14" s="24" t="str">
        <f>"            General Motors North America"</f>
        <v xml:space="preserve">            General Motors North America</v>
      </c>
      <c r="D14" s="37">
        <v>101308000</v>
      </c>
      <c r="E14" s="37">
        <v>96733000</v>
      </c>
      <c r="F14" s="37">
        <v>106366000</v>
      </c>
      <c r="G14" s="37">
        <v>113792000</v>
      </c>
      <c r="H14" s="37">
        <v>111345000</v>
      </c>
      <c r="I14" s="37">
        <v>119113000</v>
      </c>
      <c r="J14" s="30" t="s">
        <v>124</v>
      </c>
      <c r="K14" s="27" t="s">
        <v>124</v>
      </c>
      <c r="L14" s="27" t="s">
        <v>124</v>
      </c>
      <c r="M14" s="27" t="s">
        <v>124</v>
      </c>
      <c r="N14" s="27" t="s">
        <v>124</v>
      </c>
      <c r="O14" s="27" t="s">
        <v>124</v>
      </c>
      <c r="P14" s="27" t="s">
        <v>124</v>
      </c>
      <c r="Q14" s="27" t="s">
        <v>124</v>
      </c>
      <c r="R14" s="27" t="s">
        <v>124</v>
      </c>
      <c r="S14" s="27" t="s">
        <v>124</v>
      </c>
      <c r="T14" s="27" t="s">
        <v>124</v>
      </c>
      <c r="U14" s="27" t="s">
        <v>124</v>
      </c>
      <c r="V14" s="27" t="s">
        <v>124</v>
      </c>
      <c r="W14" s="27" t="s">
        <v>124</v>
      </c>
      <c r="X14" s="27" t="s">
        <v>124</v>
      </c>
      <c r="Y14" s="27" t="s">
        <v>124</v>
      </c>
      <c r="Z14" s="27" t="s">
        <v>124</v>
      </c>
      <c r="AA14" s="27" t="s">
        <v>124</v>
      </c>
      <c r="AB14" s="27" t="s">
        <v>124</v>
      </c>
      <c r="AC14" s="27" t="s">
        <v>124</v>
      </c>
      <c r="AD14" s="27" t="s">
        <v>124</v>
      </c>
      <c r="AE14" s="27" t="s">
        <v>124</v>
      </c>
      <c r="AF14" s="27" t="s">
        <v>124</v>
      </c>
      <c r="AG14" s="27" t="s">
        <v>124</v>
      </c>
      <c r="AH14" s="27" t="s">
        <v>124</v>
      </c>
      <c r="AI14" s="27" t="s">
        <v>124</v>
      </c>
      <c r="AJ14" s="27" t="s">
        <v>124</v>
      </c>
      <c r="AK14" s="27" t="s">
        <v>124</v>
      </c>
      <c r="AL14" s="27" t="s">
        <v>124</v>
      </c>
      <c r="AM14" s="27" t="s">
        <v>124</v>
      </c>
      <c r="AN14" s="27"/>
      <c r="AO14" s="27"/>
    </row>
    <row r="15" spans="1:41" hidden="1" outlineLevel="3" x14ac:dyDescent="0.25">
      <c r="A15" s="29">
        <v>1</v>
      </c>
      <c r="C15" s="24" t="str">
        <f>"            General Motors Financial"</f>
        <v xml:space="preserve">            General Motors Financial</v>
      </c>
      <c r="D15" s="37">
        <v>13419000</v>
      </c>
      <c r="E15" s="37">
        <v>13831000</v>
      </c>
      <c r="F15" s="37">
        <v>14554000</v>
      </c>
      <c r="G15" s="37">
        <v>14016000</v>
      </c>
      <c r="H15" s="37">
        <v>12151000</v>
      </c>
      <c r="I15" s="37">
        <v>8983000</v>
      </c>
      <c r="J15" s="30" t="s">
        <v>124</v>
      </c>
      <c r="K15" s="27" t="s">
        <v>124</v>
      </c>
      <c r="L15" s="27" t="s">
        <v>124</v>
      </c>
      <c r="M15" s="27" t="s">
        <v>124</v>
      </c>
      <c r="N15" s="27" t="s">
        <v>124</v>
      </c>
      <c r="O15" s="27" t="s">
        <v>124</v>
      </c>
      <c r="P15" s="27" t="s">
        <v>124</v>
      </c>
      <c r="Q15" s="27" t="s">
        <v>124</v>
      </c>
      <c r="R15" s="27" t="s">
        <v>124</v>
      </c>
      <c r="S15" s="27" t="s">
        <v>124</v>
      </c>
      <c r="T15" s="27" t="s">
        <v>124</v>
      </c>
      <c r="U15" s="27" t="s">
        <v>124</v>
      </c>
      <c r="V15" s="27" t="s">
        <v>124</v>
      </c>
      <c r="W15" s="27" t="s">
        <v>124</v>
      </c>
      <c r="X15" s="27" t="s">
        <v>124</v>
      </c>
      <c r="Y15" s="27" t="s">
        <v>124</v>
      </c>
      <c r="Z15" s="27" t="s">
        <v>124</v>
      </c>
      <c r="AA15" s="27" t="s">
        <v>124</v>
      </c>
      <c r="AB15" s="27" t="s">
        <v>124</v>
      </c>
      <c r="AC15" s="27" t="s">
        <v>124</v>
      </c>
      <c r="AD15" s="27" t="s">
        <v>124</v>
      </c>
      <c r="AE15" s="27" t="s">
        <v>124</v>
      </c>
      <c r="AF15" s="27" t="s">
        <v>124</v>
      </c>
      <c r="AG15" s="27" t="s">
        <v>124</v>
      </c>
      <c r="AH15" s="27" t="s">
        <v>124</v>
      </c>
      <c r="AI15" s="27" t="s">
        <v>124</v>
      </c>
      <c r="AJ15" s="27" t="s">
        <v>124</v>
      </c>
      <c r="AK15" s="27" t="s">
        <v>124</v>
      </c>
      <c r="AL15" s="27" t="s">
        <v>124</v>
      </c>
      <c r="AM15" s="27" t="s">
        <v>124</v>
      </c>
      <c r="AN15" s="27"/>
      <c r="AO15" s="27"/>
    </row>
    <row r="16" spans="1:41" hidden="1" outlineLevel="3" x14ac:dyDescent="0.25">
      <c r="A16" s="29">
        <v>1</v>
      </c>
      <c r="C16" s="24" t="str">
        <f>"            General Motors International"</f>
        <v xml:space="preserve">            General Motors International</v>
      </c>
      <c r="D16" s="37">
        <v>12172000</v>
      </c>
      <c r="E16" s="37">
        <v>11586000</v>
      </c>
      <c r="F16" s="37">
        <v>16111000</v>
      </c>
      <c r="G16" s="37">
        <v>19148000</v>
      </c>
      <c r="H16" s="37">
        <v>21920000</v>
      </c>
      <c r="I16" s="37">
        <v>20943000</v>
      </c>
      <c r="J16" s="30" t="s">
        <v>124</v>
      </c>
      <c r="K16" s="27" t="s">
        <v>124</v>
      </c>
      <c r="L16" s="27" t="s">
        <v>124</v>
      </c>
      <c r="M16" s="27" t="s">
        <v>124</v>
      </c>
      <c r="N16" s="27" t="s">
        <v>124</v>
      </c>
      <c r="O16" s="27" t="s">
        <v>124</v>
      </c>
      <c r="P16" s="27" t="s">
        <v>124</v>
      </c>
      <c r="Q16" s="27" t="s">
        <v>124</v>
      </c>
      <c r="R16" s="27" t="s">
        <v>124</v>
      </c>
      <c r="S16" s="27" t="s">
        <v>124</v>
      </c>
      <c r="T16" s="27" t="s">
        <v>124</v>
      </c>
      <c r="U16" s="27" t="s">
        <v>124</v>
      </c>
      <c r="V16" s="27" t="s">
        <v>124</v>
      </c>
      <c r="W16" s="27" t="s">
        <v>124</v>
      </c>
      <c r="X16" s="27" t="s">
        <v>124</v>
      </c>
      <c r="Y16" s="27" t="s">
        <v>124</v>
      </c>
      <c r="Z16" s="27" t="s">
        <v>124</v>
      </c>
      <c r="AA16" s="27" t="s">
        <v>124</v>
      </c>
      <c r="AB16" s="27" t="s">
        <v>124</v>
      </c>
      <c r="AC16" s="27" t="s">
        <v>124</v>
      </c>
      <c r="AD16" s="27" t="s">
        <v>124</v>
      </c>
      <c r="AE16" s="27" t="s">
        <v>124</v>
      </c>
      <c r="AF16" s="27" t="s">
        <v>124</v>
      </c>
      <c r="AG16" s="27" t="s">
        <v>124</v>
      </c>
      <c r="AH16" s="27" t="s">
        <v>124</v>
      </c>
      <c r="AI16" s="27" t="s">
        <v>124</v>
      </c>
      <c r="AJ16" s="27" t="s">
        <v>124</v>
      </c>
      <c r="AK16" s="27" t="s">
        <v>124</v>
      </c>
      <c r="AL16" s="27" t="s">
        <v>124</v>
      </c>
      <c r="AM16" s="27" t="s">
        <v>124</v>
      </c>
      <c r="AN16" s="27"/>
      <c r="AO16" s="27"/>
    </row>
    <row r="17" spans="1:41" hidden="1" outlineLevel="3" x14ac:dyDescent="0.25">
      <c r="A17" s="29">
        <v>1</v>
      </c>
      <c r="C17" s="24" t="str">
        <f>"            Cruise"</f>
        <v xml:space="preserve">            Cruise</v>
      </c>
      <c r="D17" s="37">
        <v>106000</v>
      </c>
      <c r="E17" s="37">
        <v>103000</v>
      </c>
      <c r="F17" s="37">
        <v>100000</v>
      </c>
      <c r="G17" s="37">
        <v>0</v>
      </c>
      <c r="H17" s="37">
        <v>0</v>
      </c>
      <c r="I17" s="37">
        <v>0</v>
      </c>
      <c r="J17" s="30" t="s">
        <v>124</v>
      </c>
      <c r="K17" s="27" t="s">
        <v>124</v>
      </c>
      <c r="L17" s="27" t="s">
        <v>124</v>
      </c>
      <c r="M17" s="27" t="s">
        <v>124</v>
      </c>
      <c r="N17" s="27" t="s">
        <v>124</v>
      </c>
      <c r="O17" s="27" t="s">
        <v>124</v>
      </c>
      <c r="P17" s="27" t="s">
        <v>124</v>
      </c>
      <c r="Q17" s="27" t="s">
        <v>124</v>
      </c>
      <c r="R17" s="27" t="s">
        <v>124</v>
      </c>
      <c r="S17" s="27" t="s">
        <v>124</v>
      </c>
      <c r="T17" s="27" t="s">
        <v>124</v>
      </c>
      <c r="U17" s="27" t="s">
        <v>124</v>
      </c>
      <c r="V17" s="27" t="s">
        <v>124</v>
      </c>
      <c r="W17" s="27" t="s">
        <v>124</v>
      </c>
      <c r="X17" s="27" t="s">
        <v>124</v>
      </c>
      <c r="Y17" s="27" t="s">
        <v>124</v>
      </c>
      <c r="Z17" s="27" t="s">
        <v>124</v>
      </c>
      <c r="AA17" s="27" t="s">
        <v>124</v>
      </c>
      <c r="AB17" s="27" t="s">
        <v>124</v>
      </c>
      <c r="AC17" s="27" t="s">
        <v>124</v>
      </c>
      <c r="AD17" s="27" t="s">
        <v>124</v>
      </c>
      <c r="AE17" s="27" t="s">
        <v>124</v>
      </c>
      <c r="AF17" s="27" t="s">
        <v>124</v>
      </c>
      <c r="AG17" s="27" t="s">
        <v>124</v>
      </c>
      <c r="AH17" s="27" t="s">
        <v>124</v>
      </c>
      <c r="AI17" s="27" t="s">
        <v>124</v>
      </c>
      <c r="AJ17" s="27" t="s">
        <v>124</v>
      </c>
      <c r="AK17" s="27" t="s">
        <v>124</v>
      </c>
      <c r="AL17" s="27" t="s">
        <v>124</v>
      </c>
      <c r="AM17" s="27" t="s">
        <v>124</v>
      </c>
      <c r="AN17" s="27"/>
      <c r="AO17" s="27"/>
    </row>
    <row r="18" spans="1:41" hidden="1" outlineLevel="3" x14ac:dyDescent="0.25">
      <c r="A18" s="29">
        <v>1</v>
      </c>
      <c r="C18" s="24" t="str">
        <f>"            Corporate"</f>
        <v xml:space="preserve">            Corporate</v>
      </c>
      <c r="D18" s="37">
        <v>104000</v>
      </c>
      <c r="E18" s="37">
        <v>350000</v>
      </c>
      <c r="F18" s="37">
        <v>220000</v>
      </c>
      <c r="G18" s="37">
        <v>203000</v>
      </c>
      <c r="H18" s="37">
        <v>342000</v>
      </c>
      <c r="I18" s="37">
        <v>149000</v>
      </c>
      <c r="J18" s="30" t="s">
        <v>124</v>
      </c>
      <c r="K18" s="27" t="s">
        <v>124</v>
      </c>
      <c r="L18" s="27" t="s">
        <v>124</v>
      </c>
      <c r="M18" s="27" t="s">
        <v>124</v>
      </c>
      <c r="N18" s="27" t="s">
        <v>124</v>
      </c>
      <c r="O18" s="27" t="s">
        <v>124</v>
      </c>
      <c r="P18" s="27" t="s">
        <v>124</v>
      </c>
      <c r="Q18" s="27" t="s">
        <v>124</v>
      </c>
      <c r="R18" s="27" t="s">
        <v>124</v>
      </c>
      <c r="S18" s="27" t="s">
        <v>124</v>
      </c>
      <c r="T18" s="27" t="s">
        <v>124</v>
      </c>
      <c r="U18" s="27" t="s">
        <v>124</v>
      </c>
      <c r="V18" s="27" t="s">
        <v>124</v>
      </c>
      <c r="W18" s="27" t="s">
        <v>124</v>
      </c>
      <c r="X18" s="27" t="s">
        <v>124</v>
      </c>
      <c r="Y18" s="27" t="s">
        <v>124</v>
      </c>
      <c r="Z18" s="27" t="s">
        <v>124</v>
      </c>
      <c r="AA18" s="27" t="s">
        <v>124</v>
      </c>
      <c r="AB18" s="27" t="s">
        <v>124</v>
      </c>
      <c r="AC18" s="27" t="s">
        <v>124</v>
      </c>
      <c r="AD18" s="27" t="s">
        <v>124</v>
      </c>
      <c r="AE18" s="27" t="s">
        <v>124</v>
      </c>
      <c r="AF18" s="27" t="s">
        <v>124</v>
      </c>
      <c r="AG18" s="27" t="s">
        <v>124</v>
      </c>
      <c r="AH18" s="27" t="s">
        <v>124</v>
      </c>
      <c r="AI18" s="27" t="s">
        <v>124</v>
      </c>
      <c r="AJ18" s="27" t="s">
        <v>124</v>
      </c>
      <c r="AK18" s="27" t="s">
        <v>124</v>
      </c>
      <c r="AL18" s="27" t="s">
        <v>124</v>
      </c>
      <c r="AM18" s="27" t="s">
        <v>124</v>
      </c>
      <c r="AN18" s="27"/>
      <c r="AO18" s="27"/>
    </row>
    <row r="19" spans="1:41" hidden="1" outlineLevel="3" x14ac:dyDescent="0.25">
      <c r="A19" s="29">
        <v>1</v>
      </c>
      <c r="C19" s="24" t="str">
        <f>"            Eliminations/Reclassifications"</f>
        <v xml:space="preserve">            Eliminations/Reclassifications</v>
      </c>
      <c r="D19" s="37">
        <v>-105000</v>
      </c>
      <c r="E19" s="37">
        <v>-118000</v>
      </c>
      <c r="F19" s="37">
        <v>-114000</v>
      </c>
      <c r="G19" s="37">
        <v>-110000</v>
      </c>
      <c r="H19" s="37">
        <v>-170000</v>
      </c>
      <c r="I19" s="37">
        <v>-4000</v>
      </c>
      <c r="J19" s="30" t="s">
        <v>124</v>
      </c>
      <c r="K19" s="27" t="s">
        <v>124</v>
      </c>
      <c r="L19" s="27" t="s">
        <v>124</v>
      </c>
      <c r="M19" s="27" t="s">
        <v>124</v>
      </c>
      <c r="N19" s="27" t="s">
        <v>124</v>
      </c>
      <c r="O19" s="27" t="s">
        <v>124</v>
      </c>
      <c r="P19" s="27" t="s">
        <v>124</v>
      </c>
      <c r="Q19" s="27" t="s">
        <v>124</v>
      </c>
      <c r="R19" s="27" t="s">
        <v>124</v>
      </c>
      <c r="S19" s="27" t="s">
        <v>124</v>
      </c>
      <c r="T19" s="27" t="s">
        <v>124</v>
      </c>
      <c r="U19" s="27" t="s">
        <v>124</v>
      </c>
      <c r="V19" s="27" t="s">
        <v>124</v>
      </c>
      <c r="W19" s="27" t="s">
        <v>124</v>
      </c>
      <c r="X19" s="27" t="s">
        <v>124</v>
      </c>
      <c r="Y19" s="27" t="s">
        <v>124</v>
      </c>
      <c r="Z19" s="27" t="s">
        <v>124</v>
      </c>
      <c r="AA19" s="27" t="s">
        <v>124</v>
      </c>
      <c r="AB19" s="27" t="s">
        <v>124</v>
      </c>
      <c r="AC19" s="27" t="s">
        <v>124</v>
      </c>
      <c r="AD19" s="27" t="s">
        <v>124</v>
      </c>
      <c r="AE19" s="27" t="s">
        <v>124</v>
      </c>
      <c r="AF19" s="27" t="s">
        <v>124</v>
      </c>
      <c r="AG19" s="27" t="s">
        <v>124</v>
      </c>
      <c r="AH19" s="27" t="s">
        <v>124</v>
      </c>
      <c r="AI19" s="27" t="s">
        <v>124</v>
      </c>
      <c r="AJ19" s="27" t="s">
        <v>124</v>
      </c>
      <c r="AK19" s="27" t="s">
        <v>124</v>
      </c>
      <c r="AL19" s="27" t="s">
        <v>124</v>
      </c>
      <c r="AM19" s="27" t="s">
        <v>124</v>
      </c>
      <c r="AN19" s="27"/>
      <c r="AO19" s="27"/>
    </row>
    <row r="20" spans="1:41" hidden="1" outlineLevel="3" x14ac:dyDescent="0.25">
      <c r="A20" s="29">
        <v>1</v>
      </c>
      <c r="C20" s="25" t="str">
        <f>"            Total Revenue"</f>
        <v xml:space="preserve">            Total Revenue</v>
      </c>
      <c r="D20" s="47">
        <v>127004000</v>
      </c>
      <c r="E20" s="47">
        <v>122485000</v>
      </c>
      <c r="F20" s="47">
        <v>137237000</v>
      </c>
      <c r="G20" s="47">
        <v>147049000</v>
      </c>
      <c r="H20" s="47">
        <v>145588000</v>
      </c>
      <c r="I20" s="47">
        <v>149184000</v>
      </c>
      <c r="J20" s="30" t="s">
        <v>124</v>
      </c>
      <c r="K20" s="27" t="s">
        <v>124</v>
      </c>
      <c r="L20" s="27" t="s">
        <v>124</v>
      </c>
      <c r="M20" s="27" t="s">
        <v>124</v>
      </c>
      <c r="N20" s="27" t="s">
        <v>124</v>
      </c>
      <c r="O20" s="27" t="s">
        <v>124</v>
      </c>
      <c r="P20" s="27" t="s">
        <v>124</v>
      </c>
      <c r="Q20" s="27" t="s">
        <v>124</v>
      </c>
      <c r="R20" s="27" t="s">
        <v>124</v>
      </c>
      <c r="S20" s="27" t="s">
        <v>124</v>
      </c>
      <c r="T20" s="27" t="s">
        <v>124</v>
      </c>
      <c r="U20" s="27" t="s">
        <v>124</v>
      </c>
      <c r="V20" s="27" t="s">
        <v>124</v>
      </c>
      <c r="W20" s="27" t="s">
        <v>124</v>
      </c>
      <c r="X20" s="27" t="s">
        <v>124</v>
      </c>
      <c r="Y20" s="27" t="s">
        <v>124</v>
      </c>
      <c r="Z20" s="27" t="s">
        <v>124</v>
      </c>
      <c r="AA20" s="27" t="s">
        <v>124</v>
      </c>
      <c r="AB20" s="27" t="s">
        <v>124</v>
      </c>
      <c r="AC20" s="27" t="s">
        <v>124</v>
      </c>
      <c r="AD20" s="27" t="s">
        <v>124</v>
      </c>
      <c r="AE20" s="27" t="s">
        <v>124</v>
      </c>
      <c r="AF20" s="27" t="s">
        <v>124</v>
      </c>
      <c r="AG20" s="27" t="s">
        <v>124</v>
      </c>
      <c r="AH20" s="27" t="s">
        <v>124</v>
      </c>
      <c r="AI20" s="27" t="s">
        <v>124</v>
      </c>
      <c r="AJ20" s="27" t="s">
        <v>124</v>
      </c>
      <c r="AK20" s="27" t="s">
        <v>124</v>
      </c>
      <c r="AL20" s="27" t="s">
        <v>124</v>
      </c>
      <c r="AM20" s="27" t="s">
        <v>124</v>
      </c>
      <c r="AN20" s="27"/>
      <c r="AO20" s="27"/>
    </row>
    <row r="21" spans="1:41" hidden="1" outlineLevel="2" x14ac:dyDescent="0.25">
      <c r="A21" s="29">
        <v>1</v>
      </c>
      <c r="C21" s="24" t="str">
        <f>IF(SUBTOTAL(109,A21)=A21,"        Assets","        Assets")</f>
        <v xml:space="preserve">        Assets</v>
      </c>
      <c r="D21" s="37">
        <f>IF(SUBTOTAL(109,A21)=A21,"",244718000)</f>
        <v>244718000</v>
      </c>
      <c r="E21" s="37">
        <f>IF(SUBTOTAL(109,A21)=A21,"",235194000)</f>
        <v>235194000</v>
      </c>
      <c r="F21" s="37">
        <f>IF(SUBTOTAL(109,A21)=A21,"",228037000)</f>
        <v>228037000</v>
      </c>
      <c r="G21" s="37">
        <f>IF(SUBTOTAL(109,A21)=A21,"",227339000)</f>
        <v>227339000</v>
      </c>
      <c r="H21" s="37">
        <f>IF(SUBTOTAL(109,A21)=A21,"",212482000)</f>
        <v>212482000</v>
      </c>
      <c r="I21" s="37">
        <f>IF(SUBTOTAL(109,A21)=A21,"",221690000)</f>
        <v>221690000</v>
      </c>
      <c r="J21" s="30" t="s">
        <v>124</v>
      </c>
      <c r="K21" s="27" t="s">
        <v>124</v>
      </c>
      <c r="L21" s="27" t="s">
        <v>124</v>
      </c>
      <c r="M21" s="27" t="s">
        <v>124</v>
      </c>
      <c r="N21" s="27" t="s">
        <v>124</v>
      </c>
      <c r="O21" s="27" t="s">
        <v>124</v>
      </c>
      <c r="P21" s="27" t="s">
        <v>124</v>
      </c>
      <c r="Q21" s="27" t="s">
        <v>124</v>
      </c>
      <c r="R21" s="27" t="s">
        <v>124</v>
      </c>
      <c r="S21" s="27" t="s">
        <v>124</v>
      </c>
      <c r="T21" s="27" t="s">
        <v>124</v>
      </c>
      <c r="U21" s="27" t="s">
        <v>124</v>
      </c>
      <c r="V21" s="27" t="s">
        <v>124</v>
      </c>
      <c r="W21" s="27" t="s">
        <v>124</v>
      </c>
      <c r="X21" s="27" t="s">
        <v>124</v>
      </c>
      <c r="Y21" s="27" t="s">
        <v>124</v>
      </c>
      <c r="Z21" s="27" t="s">
        <v>124</v>
      </c>
      <c r="AA21" s="27" t="s">
        <v>124</v>
      </c>
      <c r="AB21" s="27" t="s">
        <v>124</v>
      </c>
      <c r="AC21" s="27" t="s">
        <v>124</v>
      </c>
      <c r="AD21" s="27" t="s">
        <v>124</v>
      </c>
      <c r="AE21" s="27" t="s">
        <v>124</v>
      </c>
      <c r="AF21" s="27" t="s">
        <v>124</v>
      </c>
      <c r="AG21" s="27" t="s">
        <v>124</v>
      </c>
      <c r="AH21" s="27" t="s">
        <v>124</v>
      </c>
      <c r="AI21" s="27" t="s">
        <v>124</v>
      </c>
      <c r="AJ21" s="27" t="s">
        <v>124</v>
      </c>
      <c r="AK21" s="27" t="s">
        <v>124</v>
      </c>
      <c r="AL21" s="27" t="s">
        <v>124</v>
      </c>
      <c r="AM21" s="27" t="s">
        <v>124</v>
      </c>
      <c r="AN21" s="27"/>
      <c r="AO21" s="27"/>
    </row>
    <row r="22" spans="1:41" hidden="1" outlineLevel="3" x14ac:dyDescent="0.25">
      <c r="A22" s="29">
        <v>1</v>
      </c>
      <c r="C22" s="24" t="str">
        <f>"            General Motors North America"</f>
        <v xml:space="preserve">            General Motors North America</v>
      </c>
      <c r="D22" s="37">
        <v>121735000</v>
      </c>
      <c r="E22" s="37">
        <v>114137000</v>
      </c>
      <c r="F22" s="37">
        <v>109290000</v>
      </c>
      <c r="G22" s="37">
        <v>109763000</v>
      </c>
      <c r="H22" s="37">
        <v>99874000</v>
      </c>
      <c r="I22" s="37">
        <v>103908000</v>
      </c>
      <c r="J22" s="30" t="s">
        <v>124</v>
      </c>
      <c r="K22" s="27" t="s">
        <v>124</v>
      </c>
      <c r="L22" s="27" t="s">
        <v>124</v>
      </c>
      <c r="M22" s="27" t="s">
        <v>124</v>
      </c>
      <c r="N22" s="27" t="s">
        <v>124</v>
      </c>
      <c r="O22" s="27" t="s">
        <v>124</v>
      </c>
      <c r="P22" s="27" t="s">
        <v>124</v>
      </c>
      <c r="Q22" s="27" t="s">
        <v>124</v>
      </c>
      <c r="R22" s="27" t="s">
        <v>124</v>
      </c>
      <c r="S22" s="27" t="s">
        <v>124</v>
      </c>
      <c r="T22" s="27" t="s">
        <v>124</v>
      </c>
      <c r="U22" s="27" t="s">
        <v>124</v>
      </c>
      <c r="V22" s="27" t="s">
        <v>124</v>
      </c>
      <c r="W22" s="27" t="s">
        <v>124</v>
      </c>
      <c r="X22" s="27" t="s">
        <v>124</v>
      </c>
      <c r="Y22" s="27" t="s">
        <v>124</v>
      </c>
      <c r="Z22" s="27" t="s">
        <v>124</v>
      </c>
      <c r="AA22" s="27" t="s">
        <v>124</v>
      </c>
      <c r="AB22" s="27" t="s">
        <v>124</v>
      </c>
      <c r="AC22" s="27" t="s">
        <v>124</v>
      </c>
      <c r="AD22" s="27" t="s">
        <v>124</v>
      </c>
      <c r="AE22" s="27" t="s">
        <v>124</v>
      </c>
      <c r="AF22" s="27" t="s">
        <v>124</v>
      </c>
      <c r="AG22" s="27" t="s">
        <v>124</v>
      </c>
      <c r="AH22" s="27" t="s">
        <v>124</v>
      </c>
      <c r="AI22" s="27" t="s">
        <v>124</v>
      </c>
      <c r="AJ22" s="27" t="s">
        <v>124</v>
      </c>
      <c r="AK22" s="27" t="s">
        <v>124</v>
      </c>
      <c r="AL22" s="27" t="s">
        <v>124</v>
      </c>
      <c r="AM22" s="27" t="s">
        <v>124</v>
      </c>
      <c r="AN22" s="27"/>
      <c r="AO22" s="27"/>
    </row>
    <row r="23" spans="1:41" hidden="1" outlineLevel="3" x14ac:dyDescent="0.25">
      <c r="A23" s="29">
        <v>1</v>
      </c>
      <c r="C23" s="24" t="str">
        <f>"            General Motors Financial"</f>
        <v xml:space="preserve">            General Motors Financial</v>
      </c>
      <c r="D23" s="37">
        <v>113207000</v>
      </c>
      <c r="E23" s="37">
        <v>113410000</v>
      </c>
      <c r="F23" s="37">
        <v>108881000</v>
      </c>
      <c r="G23" s="37">
        <v>109953000</v>
      </c>
      <c r="H23" s="37">
        <v>97251000</v>
      </c>
      <c r="I23" s="37">
        <v>87947000</v>
      </c>
      <c r="J23" s="30" t="s">
        <v>124</v>
      </c>
      <c r="K23" s="27" t="s">
        <v>124</v>
      </c>
      <c r="L23" s="27" t="s">
        <v>124</v>
      </c>
      <c r="M23" s="27" t="s">
        <v>124</v>
      </c>
      <c r="N23" s="27" t="s">
        <v>124</v>
      </c>
      <c r="O23" s="27" t="s">
        <v>124</v>
      </c>
      <c r="P23" s="27" t="s">
        <v>124</v>
      </c>
      <c r="Q23" s="27" t="s">
        <v>124</v>
      </c>
      <c r="R23" s="27" t="s">
        <v>124</v>
      </c>
      <c r="S23" s="27" t="s">
        <v>124</v>
      </c>
      <c r="T23" s="27" t="s">
        <v>124</v>
      </c>
      <c r="U23" s="27" t="s">
        <v>124</v>
      </c>
      <c r="V23" s="27" t="s">
        <v>124</v>
      </c>
      <c r="W23" s="27" t="s">
        <v>124</v>
      </c>
      <c r="X23" s="27" t="s">
        <v>124</v>
      </c>
      <c r="Y23" s="27" t="s">
        <v>124</v>
      </c>
      <c r="Z23" s="27" t="s">
        <v>124</v>
      </c>
      <c r="AA23" s="27" t="s">
        <v>124</v>
      </c>
      <c r="AB23" s="27" t="s">
        <v>124</v>
      </c>
      <c r="AC23" s="27" t="s">
        <v>124</v>
      </c>
      <c r="AD23" s="27" t="s">
        <v>124</v>
      </c>
      <c r="AE23" s="27" t="s">
        <v>124</v>
      </c>
      <c r="AF23" s="27" t="s">
        <v>124</v>
      </c>
      <c r="AG23" s="27" t="s">
        <v>124</v>
      </c>
      <c r="AH23" s="27" t="s">
        <v>124</v>
      </c>
      <c r="AI23" s="27" t="s">
        <v>124</v>
      </c>
      <c r="AJ23" s="27" t="s">
        <v>124</v>
      </c>
      <c r="AK23" s="27" t="s">
        <v>124</v>
      </c>
      <c r="AL23" s="27" t="s">
        <v>124</v>
      </c>
      <c r="AM23" s="27" t="s">
        <v>124</v>
      </c>
      <c r="AN23" s="27"/>
      <c r="AO23" s="27"/>
    </row>
    <row r="24" spans="1:41" hidden="1" outlineLevel="3" x14ac:dyDescent="0.25">
      <c r="A24" s="29">
        <v>1</v>
      </c>
      <c r="C24" s="24" t="str">
        <f>"            Corporate"</f>
        <v xml:space="preserve">            Corporate</v>
      </c>
      <c r="D24" s="37">
        <v>40492000</v>
      </c>
      <c r="E24" s="37">
        <v>39933000</v>
      </c>
      <c r="F24" s="37">
        <v>32365000</v>
      </c>
      <c r="G24" s="37">
        <v>31694000</v>
      </c>
      <c r="H24" s="37">
        <v>30573000</v>
      </c>
      <c r="I24" s="37">
        <v>38465000</v>
      </c>
      <c r="J24" s="30" t="s">
        <v>124</v>
      </c>
      <c r="K24" s="27" t="s">
        <v>124</v>
      </c>
      <c r="L24" s="27" t="s">
        <v>124</v>
      </c>
      <c r="M24" s="27" t="s">
        <v>124</v>
      </c>
      <c r="N24" s="27" t="s">
        <v>124</v>
      </c>
      <c r="O24" s="27" t="s">
        <v>124</v>
      </c>
      <c r="P24" s="27" t="s">
        <v>124</v>
      </c>
      <c r="Q24" s="27" t="s">
        <v>124</v>
      </c>
      <c r="R24" s="27" t="s">
        <v>124</v>
      </c>
      <c r="S24" s="27" t="s">
        <v>124</v>
      </c>
      <c r="T24" s="27" t="s">
        <v>124</v>
      </c>
      <c r="U24" s="27" t="s">
        <v>124</v>
      </c>
      <c r="V24" s="27" t="s">
        <v>124</v>
      </c>
      <c r="W24" s="27" t="s">
        <v>124</v>
      </c>
      <c r="X24" s="27" t="s">
        <v>124</v>
      </c>
      <c r="Y24" s="27" t="s">
        <v>124</v>
      </c>
      <c r="Z24" s="27" t="s">
        <v>124</v>
      </c>
      <c r="AA24" s="27" t="s">
        <v>124</v>
      </c>
      <c r="AB24" s="27" t="s">
        <v>124</v>
      </c>
      <c r="AC24" s="27" t="s">
        <v>124</v>
      </c>
      <c r="AD24" s="27" t="s">
        <v>124</v>
      </c>
      <c r="AE24" s="27" t="s">
        <v>124</v>
      </c>
      <c r="AF24" s="27" t="s">
        <v>124</v>
      </c>
      <c r="AG24" s="27" t="s">
        <v>124</v>
      </c>
      <c r="AH24" s="27" t="s">
        <v>124</v>
      </c>
      <c r="AI24" s="27" t="s">
        <v>124</v>
      </c>
      <c r="AJ24" s="27" t="s">
        <v>124</v>
      </c>
      <c r="AK24" s="27" t="s">
        <v>124</v>
      </c>
      <c r="AL24" s="27" t="s">
        <v>124</v>
      </c>
      <c r="AM24" s="27" t="s">
        <v>124</v>
      </c>
      <c r="AN24" s="27"/>
      <c r="AO24" s="27"/>
    </row>
    <row r="25" spans="1:41" hidden="1" outlineLevel="3" x14ac:dyDescent="0.25">
      <c r="A25" s="29">
        <v>1</v>
      </c>
      <c r="C25" s="24" t="str">
        <f>"            General Motors International"</f>
        <v xml:space="preserve">            General Motors International</v>
      </c>
      <c r="D25" s="37">
        <v>22876000</v>
      </c>
      <c r="E25" s="37">
        <v>23019000</v>
      </c>
      <c r="F25" s="37">
        <v>24969000</v>
      </c>
      <c r="G25" s="37">
        <v>24911000</v>
      </c>
      <c r="H25" s="37">
        <v>27712000</v>
      </c>
      <c r="I25" s="37">
        <v>27273000</v>
      </c>
      <c r="J25" s="30" t="s">
        <v>124</v>
      </c>
      <c r="K25" s="27" t="s">
        <v>124</v>
      </c>
      <c r="L25" s="27" t="s">
        <v>124</v>
      </c>
      <c r="M25" s="27" t="s">
        <v>124</v>
      </c>
      <c r="N25" s="27" t="s">
        <v>124</v>
      </c>
      <c r="O25" s="27" t="s">
        <v>124</v>
      </c>
      <c r="P25" s="27" t="s">
        <v>124</v>
      </c>
      <c r="Q25" s="27" t="s">
        <v>124</v>
      </c>
      <c r="R25" s="27" t="s">
        <v>124</v>
      </c>
      <c r="S25" s="27" t="s">
        <v>124</v>
      </c>
      <c r="T25" s="27" t="s">
        <v>124</v>
      </c>
      <c r="U25" s="27" t="s">
        <v>124</v>
      </c>
      <c r="V25" s="27" t="s">
        <v>124</v>
      </c>
      <c r="W25" s="27" t="s">
        <v>124</v>
      </c>
      <c r="X25" s="27" t="s">
        <v>124</v>
      </c>
      <c r="Y25" s="27" t="s">
        <v>124</v>
      </c>
      <c r="Z25" s="27" t="s">
        <v>124</v>
      </c>
      <c r="AA25" s="27" t="s">
        <v>124</v>
      </c>
      <c r="AB25" s="27" t="s">
        <v>124</v>
      </c>
      <c r="AC25" s="27" t="s">
        <v>124</v>
      </c>
      <c r="AD25" s="27" t="s">
        <v>124</v>
      </c>
      <c r="AE25" s="27" t="s">
        <v>124</v>
      </c>
      <c r="AF25" s="27" t="s">
        <v>124</v>
      </c>
      <c r="AG25" s="27" t="s">
        <v>124</v>
      </c>
      <c r="AH25" s="27" t="s">
        <v>124</v>
      </c>
      <c r="AI25" s="27" t="s">
        <v>124</v>
      </c>
      <c r="AJ25" s="27" t="s">
        <v>124</v>
      </c>
      <c r="AK25" s="27" t="s">
        <v>124</v>
      </c>
      <c r="AL25" s="27" t="s">
        <v>124</v>
      </c>
      <c r="AM25" s="27" t="s">
        <v>124</v>
      </c>
      <c r="AN25" s="27"/>
      <c r="AO25" s="27"/>
    </row>
    <row r="26" spans="1:41" hidden="1" outlineLevel="3" x14ac:dyDescent="0.25">
      <c r="A26" s="29">
        <v>1</v>
      </c>
      <c r="C26" s="24" t="str">
        <f>"            Cruise"</f>
        <v xml:space="preserve">            Cruise</v>
      </c>
      <c r="D26" s="37">
        <v>4489000</v>
      </c>
      <c r="E26" s="37">
        <v>3625000</v>
      </c>
      <c r="F26" s="37">
        <v>4230000</v>
      </c>
      <c r="G26" s="37">
        <v>3195000</v>
      </c>
      <c r="H26" s="37">
        <v>666000</v>
      </c>
      <c r="I26" s="37">
        <v>548000</v>
      </c>
      <c r="J26" s="30" t="s">
        <v>124</v>
      </c>
      <c r="K26" s="27" t="s">
        <v>124</v>
      </c>
      <c r="L26" s="27" t="s">
        <v>124</v>
      </c>
      <c r="M26" s="27" t="s">
        <v>124</v>
      </c>
      <c r="N26" s="27" t="s">
        <v>124</v>
      </c>
      <c r="O26" s="27" t="s">
        <v>124</v>
      </c>
      <c r="P26" s="27" t="s">
        <v>124</v>
      </c>
      <c r="Q26" s="27" t="s">
        <v>124</v>
      </c>
      <c r="R26" s="27" t="s">
        <v>124</v>
      </c>
      <c r="S26" s="27" t="s">
        <v>124</v>
      </c>
      <c r="T26" s="27" t="s">
        <v>124</v>
      </c>
      <c r="U26" s="27" t="s">
        <v>124</v>
      </c>
      <c r="V26" s="27" t="s">
        <v>124</v>
      </c>
      <c r="W26" s="27" t="s">
        <v>124</v>
      </c>
      <c r="X26" s="27" t="s">
        <v>124</v>
      </c>
      <c r="Y26" s="27" t="s">
        <v>124</v>
      </c>
      <c r="Z26" s="27" t="s">
        <v>124</v>
      </c>
      <c r="AA26" s="27" t="s">
        <v>124</v>
      </c>
      <c r="AB26" s="27" t="s">
        <v>124</v>
      </c>
      <c r="AC26" s="27" t="s">
        <v>124</v>
      </c>
      <c r="AD26" s="27" t="s">
        <v>124</v>
      </c>
      <c r="AE26" s="27" t="s">
        <v>124</v>
      </c>
      <c r="AF26" s="27" t="s">
        <v>124</v>
      </c>
      <c r="AG26" s="27" t="s">
        <v>124</v>
      </c>
      <c r="AH26" s="27" t="s">
        <v>124</v>
      </c>
      <c r="AI26" s="27" t="s">
        <v>124</v>
      </c>
      <c r="AJ26" s="27" t="s">
        <v>124</v>
      </c>
      <c r="AK26" s="27" t="s">
        <v>124</v>
      </c>
      <c r="AL26" s="27" t="s">
        <v>124</v>
      </c>
      <c r="AM26" s="27" t="s">
        <v>124</v>
      </c>
      <c r="AN26" s="27"/>
      <c r="AO26" s="27"/>
    </row>
    <row r="27" spans="1:41" hidden="1" outlineLevel="3" x14ac:dyDescent="0.25">
      <c r="A27" s="29">
        <v>1</v>
      </c>
      <c r="C27" s="24" t="str">
        <f>"            Eliminations/Reclassifications"</f>
        <v xml:space="preserve">            Eliminations/Reclassifications</v>
      </c>
      <c r="D27" s="37">
        <v>-1145000</v>
      </c>
      <c r="E27" s="37">
        <v>-1466000</v>
      </c>
      <c r="F27" s="37">
        <v>-1454000</v>
      </c>
      <c r="G27" s="37">
        <v>-1487000</v>
      </c>
      <c r="H27" s="37">
        <v>-844000</v>
      </c>
      <c r="I27" s="37">
        <v>-1312000</v>
      </c>
      <c r="J27" s="30" t="s">
        <v>124</v>
      </c>
      <c r="K27" s="27" t="s">
        <v>124</v>
      </c>
      <c r="L27" s="27" t="s">
        <v>124</v>
      </c>
      <c r="M27" s="27" t="s">
        <v>124</v>
      </c>
      <c r="N27" s="27" t="s">
        <v>124</v>
      </c>
      <c r="O27" s="27" t="s">
        <v>124</v>
      </c>
      <c r="P27" s="27" t="s">
        <v>124</v>
      </c>
      <c r="Q27" s="27" t="s">
        <v>124</v>
      </c>
      <c r="R27" s="27" t="s">
        <v>124</v>
      </c>
      <c r="S27" s="27" t="s">
        <v>124</v>
      </c>
      <c r="T27" s="27" t="s">
        <v>124</v>
      </c>
      <c r="U27" s="27" t="s">
        <v>124</v>
      </c>
      <c r="V27" s="27" t="s">
        <v>124</v>
      </c>
      <c r="W27" s="27" t="s">
        <v>124</v>
      </c>
      <c r="X27" s="27" t="s">
        <v>124</v>
      </c>
      <c r="Y27" s="27" t="s">
        <v>124</v>
      </c>
      <c r="Z27" s="27" t="s">
        <v>124</v>
      </c>
      <c r="AA27" s="27" t="s">
        <v>124</v>
      </c>
      <c r="AB27" s="27" t="s">
        <v>124</v>
      </c>
      <c r="AC27" s="27" t="s">
        <v>124</v>
      </c>
      <c r="AD27" s="27" t="s">
        <v>124</v>
      </c>
      <c r="AE27" s="27" t="s">
        <v>124</v>
      </c>
      <c r="AF27" s="27" t="s">
        <v>124</v>
      </c>
      <c r="AG27" s="27" t="s">
        <v>124</v>
      </c>
      <c r="AH27" s="27" t="s">
        <v>124</v>
      </c>
      <c r="AI27" s="27" t="s">
        <v>124</v>
      </c>
      <c r="AJ27" s="27" t="s">
        <v>124</v>
      </c>
      <c r="AK27" s="27" t="s">
        <v>124</v>
      </c>
      <c r="AL27" s="27" t="s">
        <v>124</v>
      </c>
      <c r="AM27" s="27" t="s">
        <v>124</v>
      </c>
      <c r="AN27" s="27"/>
      <c r="AO27" s="27"/>
    </row>
    <row r="28" spans="1:41" hidden="1" outlineLevel="3" x14ac:dyDescent="0.25">
      <c r="A28" s="29">
        <v>1</v>
      </c>
      <c r="C28" s="24" t="str">
        <f>"            Eliminations"</f>
        <v xml:space="preserve">            Eliminations</v>
      </c>
      <c r="D28" s="37">
        <v>-56936000</v>
      </c>
      <c r="E28" s="37">
        <v>-57464000</v>
      </c>
      <c r="F28" s="37">
        <v>-50244000</v>
      </c>
      <c r="G28" s="37">
        <v>-50690000</v>
      </c>
      <c r="H28" s="37">
        <v>-42750000</v>
      </c>
      <c r="I28" s="37">
        <v>-35139000</v>
      </c>
      <c r="J28" s="30" t="s">
        <v>124</v>
      </c>
      <c r="K28" s="27" t="s">
        <v>124</v>
      </c>
      <c r="L28" s="27" t="s">
        <v>124</v>
      </c>
      <c r="M28" s="27" t="s">
        <v>124</v>
      </c>
      <c r="N28" s="27" t="s">
        <v>124</v>
      </c>
      <c r="O28" s="27" t="s">
        <v>124</v>
      </c>
      <c r="P28" s="27" t="s">
        <v>124</v>
      </c>
      <c r="Q28" s="27" t="s">
        <v>124</v>
      </c>
      <c r="R28" s="27" t="s">
        <v>124</v>
      </c>
      <c r="S28" s="27" t="s">
        <v>124</v>
      </c>
      <c r="T28" s="27" t="s">
        <v>124</v>
      </c>
      <c r="U28" s="27" t="s">
        <v>124</v>
      </c>
      <c r="V28" s="27" t="s">
        <v>124</v>
      </c>
      <c r="W28" s="27" t="s">
        <v>124</v>
      </c>
      <c r="X28" s="27" t="s">
        <v>124</v>
      </c>
      <c r="Y28" s="27" t="s">
        <v>124</v>
      </c>
      <c r="Z28" s="27" t="s">
        <v>124</v>
      </c>
      <c r="AA28" s="27" t="s">
        <v>124</v>
      </c>
      <c r="AB28" s="27" t="s">
        <v>124</v>
      </c>
      <c r="AC28" s="27" t="s">
        <v>124</v>
      </c>
      <c r="AD28" s="27" t="s">
        <v>124</v>
      </c>
      <c r="AE28" s="27" t="s">
        <v>124</v>
      </c>
      <c r="AF28" s="27" t="s">
        <v>124</v>
      </c>
      <c r="AG28" s="27" t="s">
        <v>124</v>
      </c>
      <c r="AH28" s="27" t="s">
        <v>124</v>
      </c>
      <c r="AI28" s="27" t="s">
        <v>124</v>
      </c>
      <c r="AJ28" s="27" t="s">
        <v>124</v>
      </c>
      <c r="AK28" s="27" t="s">
        <v>124</v>
      </c>
      <c r="AL28" s="27" t="s">
        <v>124</v>
      </c>
      <c r="AM28" s="27" t="s">
        <v>124</v>
      </c>
      <c r="AN28" s="27"/>
      <c r="AO28" s="27"/>
    </row>
    <row r="29" spans="1:41" hidden="1" outlineLevel="3" x14ac:dyDescent="0.25">
      <c r="A29" s="29">
        <v>1</v>
      </c>
      <c r="C29" s="24" t="str">
        <f>"            General Motors International Operations"</f>
        <v xml:space="preserve">            General Motors International Operations</v>
      </c>
      <c r="D29" s="37" t="s">
        <v>124</v>
      </c>
      <c r="E29" s="37" t="s">
        <v>124</v>
      </c>
      <c r="F29" s="37" t="s">
        <v>124</v>
      </c>
      <c r="G29" s="37" t="s">
        <v>124</v>
      </c>
      <c r="H29" s="37" t="s">
        <v>124</v>
      </c>
      <c r="I29" s="37">
        <v>20205000</v>
      </c>
      <c r="J29" s="30" t="s">
        <v>124</v>
      </c>
      <c r="K29" s="27" t="s">
        <v>124</v>
      </c>
      <c r="L29" s="27" t="s">
        <v>124</v>
      </c>
      <c r="M29" s="27" t="s">
        <v>124</v>
      </c>
      <c r="N29" s="27" t="s">
        <v>124</v>
      </c>
      <c r="O29" s="27" t="s">
        <v>124</v>
      </c>
      <c r="P29" s="27" t="s">
        <v>124</v>
      </c>
      <c r="Q29" s="27" t="s">
        <v>124</v>
      </c>
      <c r="R29" s="27" t="s">
        <v>124</v>
      </c>
      <c r="S29" s="27" t="s">
        <v>124</v>
      </c>
      <c r="T29" s="27" t="s">
        <v>124</v>
      </c>
      <c r="U29" s="27" t="s">
        <v>124</v>
      </c>
      <c r="V29" s="27" t="s">
        <v>124</v>
      </c>
      <c r="W29" s="27" t="s">
        <v>124</v>
      </c>
      <c r="X29" s="27" t="s">
        <v>124</v>
      </c>
      <c r="Y29" s="27" t="s">
        <v>124</v>
      </c>
      <c r="Z29" s="27" t="s">
        <v>124</v>
      </c>
      <c r="AA29" s="27" t="s">
        <v>124</v>
      </c>
      <c r="AB29" s="27" t="s">
        <v>124</v>
      </c>
      <c r="AC29" s="27" t="s">
        <v>124</v>
      </c>
      <c r="AD29" s="27" t="s">
        <v>124</v>
      </c>
      <c r="AE29" s="27" t="s">
        <v>124</v>
      </c>
      <c r="AF29" s="27" t="s">
        <v>124</v>
      </c>
      <c r="AG29" s="27" t="s">
        <v>124</v>
      </c>
      <c r="AH29" s="27" t="s">
        <v>124</v>
      </c>
      <c r="AI29" s="27" t="s">
        <v>124</v>
      </c>
      <c r="AJ29" s="27" t="s">
        <v>124</v>
      </c>
      <c r="AK29" s="27" t="s">
        <v>124</v>
      </c>
      <c r="AL29" s="27" t="s">
        <v>124</v>
      </c>
      <c r="AM29" s="27" t="s">
        <v>124</v>
      </c>
      <c r="AN29" s="27"/>
      <c r="AO29" s="27"/>
    </row>
    <row r="30" spans="1:41" hidden="1" outlineLevel="3" x14ac:dyDescent="0.25">
      <c r="A30" s="29">
        <v>1</v>
      </c>
      <c r="C30" s="24" t="str">
        <f>"            General Motors Europe"</f>
        <v xml:space="preserve">            General Motors Europe</v>
      </c>
      <c r="D30" s="37" t="s">
        <v>124</v>
      </c>
      <c r="E30" s="37" t="s">
        <v>124</v>
      </c>
      <c r="F30" s="37" t="s">
        <v>124</v>
      </c>
      <c r="G30" s="37" t="s">
        <v>124</v>
      </c>
      <c r="H30" s="37" t="s">
        <v>124</v>
      </c>
      <c r="I30" s="37">
        <v>13262000</v>
      </c>
      <c r="J30" s="30" t="s">
        <v>124</v>
      </c>
      <c r="K30" s="27" t="s">
        <v>124</v>
      </c>
      <c r="L30" s="27" t="s">
        <v>124</v>
      </c>
      <c r="M30" s="27" t="s">
        <v>124</v>
      </c>
      <c r="N30" s="27" t="s">
        <v>124</v>
      </c>
      <c r="O30" s="27" t="s">
        <v>124</v>
      </c>
      <c r="P30" s="27" t="s">
        <v>124</v>
      </c>
      <c r="Q30" s="27" t="s">
        <v>124</v>
      </c>
      <c r="R30" s="27" t="s">
        <v>124</v>
      </c>
      <c r="S30" s="27" t="s">
        <v>124</v>
      </c>
      <c r="T30" s="27" t="s">
        <v>124</v>
      </c>
      <c r="U30" s="27" t="s">
        <v>124</v>
      </c>
      <c r="V30" s="27" t="s">
        <v>124</v>
      </c>
      <c r="W30" s="27" t="s">
        <v>124</v>
      </c>
      <c r="X30" s="27" t="s">
        <v>124</v>
      </c>
      <c r="Y30" s="27" t="s">
        <v>124</v>
      </c>
      <c r="Z30" s="27" t="s">
        <v>124</v>
      </c>
      <c r="AA30" s="27" t="s">
        <v>124</v>
      </c>
      <c r="AB30" s="27" t="s">
        <v>124</v>
      </c>
      <c r="AC30" s="27" t="s">
        <v>124</v>
      </c>
      <c r="AD30" s="27" t="s">
        <v>124</v>
      </c>
      <c r="AE30" s="27" t="s">
        <v>124</v>
      </c>
      <c r="AF30" s="27" t="s">
        <v>124</v>
      </c>
      <c r="AG30" s="27" t="s">
        <v>124</v>
      </c>
      <c r="AH30" s="27" t="s">
        <v>124</v>
      </c>
      <c r="AI30" s="27" t="s">
        <v>124</v>
      </c>
      <c r="AJ30" s="27" t="s">
        <v>124</v>
      </c>
      <c r="AK30" s="27" t="s">
        <v>124</v>
      </c>
      <c r="AL30" s="27" t="s">
        <v>124</v>
      </c>
      <c r="AM30" s="27" t="s">
        <v>124</v>
      </c>
      <c r="AN30" s="27"/>
      <c r="AO30" s="27"/>
    </row>
    <row r="31" spans="1:41" hidden="1" outlineLevel="3" x14ac:dyDescent="0.25">
      <c r="A31" s="29">
        <v>1</v>
      </c>
      <c r="C31" s="24" t="str">
        <f>"            General Motors South America"</f>
        <v xml:space="preserve">            General Motors South America</v>
      </c>
      <c r="D31" s="37" t="s">
        <v>124</v>
      </c>
      <c r="E31" s="37" t="s">
        <v>124</v>
      </c>
      <c r="F31" s="37" t="s">
        <v>124</v>
      </c>
      <c r="G31" s="37" t="s">
        <v>124</v>
      </c>
      <c r="H31" s="37" t="s">
        <v>124</v>
      </c>
      <c r="I31" s="37">
        <v>7439000</v>
      </c>
      <c r="J31" s="30" t="s">
        <v>124</v>
      </c>
      <c r="K31" s="27" t="s">
        <v>124</v>
      </c>
      <c r="L31" s="27" t="s">
        <v>124</v>
      </c>
      <c r="M31" s="27" t="s">
        <v>124</v>
      </c>
      <c r="N31" s="27" t="s">
        <v>124</v>
      </c>
      <c r="O31" s="27" t="s">
        <v>124</v>
      </c>
      <c r="P31" s="27" t="s">
        <v>124</v>
      </c>
      <c r="Q31" s="27" t="s">
        <v>124</v>
      </c>
      <c r="R31" s="27" t="s">
        <v>124</v>
      </c>
      <c r="S31" s="27" t="s">
        <v>124</v>
      </c>
      <c r="T31" s="27" t="s">
        <v>124</v>
      </c>
      <c r="U31" s="27" t="s">
        <v>124</v>
      </c>
      <c r="V31" s="27" t="s">
        <v>124</v>
      </c>
      <c r="W31" s="27" t="s">
        <v>124</v>
      </c>
      <c r="X31" s="27" t="s">
        <v>124</v>
      </c>
      <c r="Y31" s="27" t="s">
        <v>124</v>
      </c>
      <c r="Z31" s="27" t="s">
        <v>124</v>
      </c>
      <c r="AA31" s="27" t="s">
        <v>124</v>
      </c>
      <c r="AB31" s="27" t="s">
        <v>124</v>
      </c>
      <c r="AC31" s="27" t="s">
        <v>124</v>
      </c>
      <c r="AD31" s="27" t="s">
        <v>124</v>
      </c>
      <c r="AE31" s="27" t="s">
        <v>124</v>
      </c>
      <c r="AF31" s="27" t="s">
        <v>124</v>
      </c>
      <c r="AG31" s="27" t="s">
        <v>124</v>
      </c>
      <c r="AH31" s="27" t="s">
        <v>124</v>
      </c>
      <c r="AI31" s="27" t="s">
        <v>124</v>
      </c>
      <c r="AJ31" s="27" t="s">
        <v>124</v>
      </c>
      <c r="AK31" s="27" t="s">
        <v>124</v>
      </c>
      <c r="AL31" s="27" t="s">
        <v>124</v>
      </c>
      <c r="AM31" s="27" t="s">
        <v>124</v>
      </c>
      <c r="AN31" s="27"/>
      <c r="AO31" s="27"/>
    </row>
    <row r="32" spans="1:41" hidden="1" outlineLevel="3" x14ac:dyDescent="0.25">
      <c r="A32" s="29">
        <v>1</v>
      </c>
      <c r="C32" s="25" t="str">
        <f>"            Total Assets"</f>
        <v xml:space="preserve">            Total Assets</v>
      </c>
      <c r="D32" s="47">
        <v>244718000</v>
      </c>
      <c r="E32" s="47">
        <v>235194000</v>
      </c>
      <c r="F32" s="47">
        <v>228037000</v>
      </c>
      <c r="G32" s="47">
        <v>227339000</v>
      </c>
      <c r="H32" s="47">
        <v>212482000</v>
      </c>
      <c r="I32" s="47">
        <v>221690000</v>
      </c>
      <c r="J32" s="30" t="s">
        <v>124</v>
      </c>
      <c r="K32" s="27" t="s">
        <v>124</v>
      </c>
      <c r="L32" s="27" t="s">
        <v>124</v>
      </c>
      <c r="M32" s="27" t="s">
        <v>124</v>
      </c>
      <c r="N32" s="27" t="s">
        <v>124</v>
      </c>
      <c r="O32" s="27" t="s">
        <v>124</v>
      </c>
      <c r="P32" s="27" t="s">
        <v>124</v>
      </c>
      <c r="Q32" s="27" t="s">
        <v>124</v>
      </c>
      <c r="R32" s="27" t="s">
        <v>124</v>
      </c>
      <c r="S32" s="27" t="s">
        <v>124</v>
      </c>
      <c r="T32" s="27" t="s">
        <v>124</v>
      </c>
      <c r="U32" s="27" t="s">
        <v>124</v>
      </c>
      <c r="V32" s="27" t="s">
        <v>124</v>
      </c>
      <c r="W32" s="27" t="s">
        <v>124</v>
      </c>
      <c r="X32" s="27" t="s">
        <v>124</v>
      </c>
      <c r="Y32" s="27" t="s">
        <v>124</v>
      </c>
      <c r="Z32" s="27" t="s">
        <v>124</v>
      </c>
      <c r="AA32" s="27" t="s">
        <v>124</v>
      </c>
      <c r="AB32" s="27" t="s">
        <v>124</v>
      </c>
      <c r="AC32" s="27" t="s">
        <v>124</v>
      </c>
      <c r="AD32" s="27" t="s">
        <v>124</v>
      </c>
      <c r="AE32" s="27" t="s">
        <v>124</v>
      </c>
      <c r="AF32" s="27" t="s">
        <v>124</v>
      </c>
      <c r="AG32" s="27" t="s">
        <v>124</v>
      </c>
      <c r="AH32" s="27" t="s">
        <v>124</v>
      </c>
      <c r="AI32" s="27" t="s">
        <v>124</v>
      </c>
      <c r="AJ32" s="27" t="s">
        <v>124</v>
      </c>
      <c r="AK32" s="27" t="s">
        <v>124</v>
      </c>
      <c r="AL32" s="27" t="s">
        <v>124</v>
      </c>
      <c r="AM32" s="27" t="s">
        <v>124</v>
      </c>
      <c r="AN32" s="27"/>
      <c r="AO32" s="27"/>
    </row>
    <row r="33" spans="1:41" outlineLevel="1" x14ac:dyDescent="0.25">
      <c r="A33" s="29">
        <v>1</v>
      </c>
      <c r="C33" s="24" t="str">
        <f>"    Region"</f>
        <v xml:space="preserve">    Region</v>
      </c>
      <c r="D33" s="41" t="s">
        <v>124</v>
      </c>
      <c r="E33" s="41" t="s">
        <v>124</v>
      </c>
      <c r="F33" s="41" t="s">
        <v>124</v>
      </c>
      <c r="G33" s="41" t="s">
        <v>124</v>
      </c>
      <c r="H33" s="41" t="s">
        <v>124</v>
      </c>
      <c r="I33" s="41" t="s">
        <v>124</v>
      </c>
      <c r="J33" s="30" t="s">
        <v>124</v>
      </c>
      <c r="K33" s="27" t="s">
        <v>124</v>
      </c>
      <c r="L33" s="27" t="s">
        <v>124</v>
      </c>
      <c r="M33" s="27" t="s">
        <v>124</v>
      </c>
      <c r="N33" s="27" t="s">
        <v>124</v>
      </c>
      <c r="O33" s="27" t="s">
        <v>124</v>
      </c>
      <c r="P33" s="27" t="s">
        <v>124</v>
      </c>
      <c r="Q33" s="27" t="s">
        <v>124</v>
      </c>
      <c r="R33" s="27" t="s">
        <v>124</v>
      </c>
      <c r="S33" s="27" t="s">
        <v>124</v>
      </c>
      <c r="T33" s="27" t="s">
        <v>124</v>
      </c>
      <c r="U33" s="27" t="s">
        <v>124</v>
      </c>
      <c r="V33" s="27" t="s">
        <v>124</v>
      </c>
      <c r="W33" s="27" t="s">
        <v>124</v>
      </c>
      <c r="X33" s="27" t="s">
        <v>124</v>
      </c>
      <c r="Y33" s="27" t="s">
        <v>124</v>
      </c>
      <c r="Z33" s="27" t="s">
        <v>124</v>
      </c>
      <c r="AA33" s="27" t="s">
        <v>124</v>
      </c>
      <c r="AB33" s="27" t="s">
        <v>124</v>
      </c>
      <c r="AC33" s="27" t="s">
        <v>124</v>
      </c>
      <c r="AD33" s="27" t="s">
        <v>124</v>
      </c>
      <c r="AE33" s="27" t="s">
        <v>124</v>
      </c>
      <c r="AF33" s="27" t="s">
        <v>124</v>
      </c>
      <c r="AG33" s="27" t="s">
        <v>124</v>
      </c>
      <c r="AH33" s="27" t="s">
        <v>124</v>
      </c>
      <c r="AI33" s="27" t="s">
        <v>124</v>
      </c>
      <c r="AJ33" s="27" t="s">
        <v>124</v>
      </c>
      <c r="AK33" s="27" t="s">
        <v>124</v>
      </c>
      <c r="AL33" s="27" t="s">
        <v>124</v>
      </c>
      <c r="AM33" s="27" t="s">
        <v>124</v>
      </c>
      <c r="AN33" s="27"/>
      <c r="AO33" s="27"/>
    </row>
    <row r="34" spans="1:41" outlineLevel="2" x14ac:dyDescent="0.25">
      <c r="A34" s="29">
        <v>1</v>
      </c>
      <c r="C34" s="24" t="str">
        <f>IF(SUBTOTAL(109,A34)=A34,"        Revenue","        Revenue")</f>
        <v xml:space="preserve">        Revenue</v>
      </c>
      <c r="D34" s="37" t="str">
        <f>IF(SUBTOTAL(109,A34)=A34,"",127004000)</f>
        <v/>
      </c>
      <c r="E34" s="37" t="str">
        <f>IF(SUBTOTAL(109,A34)=A34,"",122485000)</f>
        <v/>
      </c>
      <c r="F34" s="37" t="str">
        <f>IF(SUBTOTAL(109,A34)=A34,"",137237000)</f>
        <v/>
      </c>
      <c r="G34" s="37" t="str">
        <f>IF(SUBTOTAL(109,A34)=A34,"",147049000)</f>
        <v/>
      </c>
      <c r="H34" s="37" t="str">
        <f>IF(SUBTOTAL(109,A34)=A34,"",145588000)</f>
        <v/>
      </c>
      <c r="I34" s="37" t="str">
        <f>IF(SUBTOTAL(109,A34)=A34,"","")</f>
        <v/>
      </c>
      <c r="J34" s="30" t="s">
        <v>124</v>
      </c>
      <c r="K34" s="27" t="s">
        <v>124</v>
      </c>
      <c r="L34" s="27" t="s">
        <v>124</v>
      </c>
      <c r="M34" s="27" t="s">
        <v>124</v>
      </c>
      <c r="N34" s="27" t="s">
        <v>124</v>
      </c>
      <c r="O34" s="27" t="s">
        <v>124</v>
      </c>
      <c r="P34" s="27" t="s">
        <v>124</v>
      </c>
      <c r="Q34" s="27" t="s">
        <v>124</v>
      </c>
      <c r="R34" s="27" t="s">
        <v>124</v>
      </c>
      <c r="S34" s="27" t="s">
        <v>124</v>
      </c>
      <c r="T34" s="27" t="s">
        <v>124</v>
      </c>
      <c r="U34" s="27" t="s">
        <v>124</v>
      </c>
      <c r="V34" s="27" t="s">
        <v>124</v>
      </c>
      <c r="W34" s="27" t="s">
        <v>124</v>
      </c>
      <c r="X34" s="27" t="s">
        <v>124</v>
      </c>
      <c r="Y34" s="27" t="s">
        <v>124</v>
      </c>
      <c r="Z34" s="27" t="s">
        <v>124</v>
      </c>
      <c r="AA34" s="27" t="s">
        <v>124</v>
      </c>
      <c r="AB34" s="27" t="s">
        <v>124</v>
      </c>
      <c r="AC34" s="27" t="s">
        <v>124</v>
      </c>
      <c r="AD34" s="27" t="s">
        <v>124</v>
      </c>
      <c r="AE34" s="27" t="s">
        <v>124</v>
      </c>
      <c r="AF34" s="27" t="s">
        <v>124</v>
      </c>
      <c r="AG34" s="27" t="s">
        <v>124</v>
      </c>
      <c r="AH34" s="27" t="s">
        <v>124</v>
      </c>
      <c r="AI34" s="27" t="s">
        <v>124</v>
      </c>
      <c r="AJ34" s="27" t="s">
        <v>124</v>
      </c>
      <c r="AK34" s="27" t="s">
        <v>124</v>
      </c>
      <c r="AL34" s="27" t="s">
        <v>124</v>
      </c>
      <c r="AM34" s="27" t="s">
        <v>124</v>
      </c>
      <c r="AN34" s="27"/>
      <c r="AO34" s="27"/>
    </row>
    <row r="35" spans="1:41" outlineLevel="3" x14ac:dyDescent="0.25">
      <c r="A35" s="29">
        <v>1</v>
      </c>
      <c r="C35" s="123" t="str">
        <f>"            Automotive US"</f>
        <v xml:space="preserve">            Automotive US</v>
      </c>
      <c r="D35" s="126">
        <v>92771000</v>
      </c>
      <c r="E35" s="126">
        <v>89204000</v>
      </c>
      <c r="F35" s="126">
        <v>97887000</v>
      </c>
      <c r="G35" s="126">
        <v>104413000</v>
      </c>
      <c r="H35" s="126">
        <v>100674000</v>
      </c>
      <c r="I35" s="37" t="s">
        <v>124</v>
      </c>
      <c r="J35" s="30" t="s">
        <v>124</v>
      </c>
      <c r="K35" s="27" t="s">
        <v>124</v>
      </c>
      <c r="L35" s="27" t="s">
        <v>124</v>
      </c>
      <c r="M35" s="27" t="s">
        <v>124</v>
      </c>
      <c r="N35" s="27" t="s">
        <v>124</v>
      </c>
      <c r="O35" s="27" t="s">
        <v>124</v>
      </c>
      <c r="P35" s="27" t="s">
        <v>124</v>
      </c>
      <c r="Q35" s="27" t="s">
        <v>124</v>
      </c>
      <c r="R35" s="27" t="s">
        <v>124</v>
      </c>
      <c r="S35" s="27" t="s">
        <v>124</v>
      </c>
      <c r="T35" s="27" t="s">
        <v>124</v>
      </c>
      <c r="U35" s="27" t="s">
        <v>124</v>
      </c>
      <c r="V35" s="27" t="s">
        <v>124</v>
      </c>
      <c r="W35" s="27" t="s">
        <v>124</v>
      </c>
      <c r="X35" s="27" t="s">
        <v>124</v>
      </c>
      <c r="Y35" s="27" t="s">
        <v>124</v>
      </c>
      <c r="Z35" s="27" t="s">
        <v>124</v>
      </c>
      <c r="AA35" s="27" t="s">
        <v>124</v>
      </c>
      <c r="AB35" s="27" t="s">
        <v>124</v>
      </c>
      <c r="AC35" s="27" t="s">
        <v>124</v>
      </c>
      <c r="AD35" s="27" t="s">
        <v>124</v>
      </c>
      <c r="AE35" s="27" t="s">
        <v>124</v>
      </c>
      <c r="AF35" s="27" t="s">
        <v>124</v>
      </c>
      <c r="AG35" s="27" t="s">
        <v>124</v>
      </c>
      <c r="AH35" s="27" t="s">
        <v>124</v>
      </c>
      <c r="AI35" s="27" t="s">
        <v>124</v>
      </c>
      <c r="AJ35" s="27" t="s">
        <v>124</v>
      </c>
      <c r="AK35" s="27" t="s">
        <v>124</v>
      </c>
      <c r="AL35" s="27" t="s">
        <v>124</v>
      </c>
      <c r="AM35" s="27" t="s">
        <v>124</v>
      </c>
      <c r="AN35" s="27"/>
      <c r="AO35" s="27"/>
    </row>
    <row r="36" spans="1:41" outlineLevel="3" x14ac:dyDescent="0.25">
      <c r="A36" s="29">
        <v>1</v>
      </c>
      <c r="C36" s="123" t="str">
        <f>"            Automotive Non-US"</f>
        <v xml:space="preserve">            Automotive Non-US</v>
      </c>
      <c r="D36" s="126">
        <v>20819000</v>
      </c>
      <c r="E36" s="126">
        <v>19469000</v>
      </c>
      <c r="F36" s="126">
        <v>24810000</v>
      </c>
      <c r="G36" s="126">
        <v>28632000</v>
      </c>
      <c r="H36" s="126">
        <v>32775000</v>
      </c>
      <c r="I36" s="37" t="s">
        <v>124</v>
      </c>
      <c r="J36" s="30" t="s">
        <v>124</v>
      </c>
      <c r="K36" s="27" t="s">
        <v>124</v>
      </c>
      <c r="L36" s="27" t="s">
        <v>124</v>
      </c>
      <c r="M36" s="27" t="s">
        <v>124</v>
      </c>
      <c r="N36" s="27" t="s">
        <v>124</v>
      </c>
      <c r="O36" s="27" t="s">
        <v>124</v>
      </c>
      <c r="P36" s="27" t="s">
        <v>124</v>
      </c>
      <c r="Q36" s="27" t="s">
        <v>124</v>
      </c>
      <c r="R36" s="27" t="s">
        <v>124</v>
      </c>
      <c r="S36" s="27" t="s">
        <v>124</v>
      </c>
      <c r="T36" s="27" t="s">
        <v>124</v>
      </c>
      <c r="U36" s="27" t="s">
        <v>124</v>
      </c>
      <c r="V36" s="27" t="s">
        <v>124</v>
      </c>
      <c r="W36" s="27" t="s">
        <v>124</v>
      </c>
      <c r="X36" s="27" t="s">
        <v>124</v>
      </c>
      <c r="Y36" s="27" t="s">
        <v>124</v>
      </c>
      <c r="Z36" s="27" t="s">
        <v>124</v>
      </c>
      <c r="AA36" s="27" t="s">
        <v>124</v>
      </c>
      <c r="AB36" s="27" t="s">
        <v>124</v>
      </c>
      <c r="AC36" s="27" t="s">
        <v>124</v>
      </c>
      <c r="AD36" s="27" t="s">
        <v>124</v>
      </c>
      <c r="AE36" s="27" t="s">
        <v>124</v>
      </c>
      <c r="AF36" s="27" t="s">
        <v>124</v>
      </c>
      <c r="AG36" s="27" t="s">
        <v>124</v>
      </c>
      <c r="AH36" s="27" t="s">
        <v>124</v>
      </c>
      <c r="AI36" s="27" t="s">
        <v>124</v>
      </c>
      <c r="AJ36" s="27" t="s">
        <v>124</v>
      </c>
      <c r="AK36" s="27" t="s">
        <v>124</v>
      </c>
      <c r="AL36" s="27" t="s">
        <v>124</v>
      </c>
      <c r="AM36" s="27" t="s">
        <v>124</v>
      </c>
      <c r="AN36" s="27"/>
      <c r="AO36" s="27"/>
    </row>
    <row r="37" spans="1:41" outlineLevel="3" x14ac:dyDescent="0.25">
      <c r="A37" s="29">
        <v>1</v>
      </c>
      <c r="C37" s="123" t="str">
        <f>"            General Motors Financial US"</f>
        <v xml:space="preserve">            General Motors Financial US</v>
      </c>
      <c r="D37" s="126">
        <v>11712000</v>
      </c>
      <c r="E37" s="126">
        <v>12227000</v>
      </c>
      <c r="F37" s="126">
        <v>12727000</v>
      </c>
      <c r="G37" s="126">
        <v>12169000</v>
      </c>
      <c r="H37" s="126">
        <v>10489000</v>
      </c>
      <c r="I37" s="37" t="s">
        <v>124</v>
      </c>
      <c r="J37" s="30" t="s">
        <v>124</v>
      </c>
      <c r="K37" s="27" t="s">
        <v>124</v>
      </c>
      <c r="L37" s="27" t="s">
        <v>124</v>
      </c>
      <c r="M37" s="27" t="s">
        <v>124</v>
      </c>
      <c r="N37" s="27" t="s">
        <v>124</v>
      </c>
      <c r="O37" s="27" t="s">
        <v>124</v>
      </c>
      <c r="P37" s="27" t="s">
        <v>124</v>
      </c>
      <c r="Q37" s="27" t="s">
        <v>124</v>
      </c>
      <c r="R37" s="27" t="s">
        <v>124</v>
      </c>
      <c r="S37" s="27" t="s">
        <v>124</v>
      </c>
      <c r="T37" s="27" t="s">
        <v>124</v>
      </c>
      <c r="U37" s="27" t="s">
        <v>124</v>
      </c>
      <c r="V37" s="27" t="s">
        <v>124</v>
      </c>
      <c r="W37" s="27" t="s">
        <v>124</v>
      </c>
      <c r="X37" s="27" t="s">
        <v>124</v>
      </c>
      <c r="Y37" s="27" t="s">
        <v>124</v>
      </c>
      <c r="Z37" s="27" t="s">
        <v>124</v>
      </c>
      <c r="AA37" s="27" t="s">
        <v>124</v>
      </c>
      <c r="AB37" s="27" t="s">
        <v>124</v>
      </c>
      <c r="AC37" s="27" t="s">
        <v>124</v>
      </c>
      <c r="AD37" s="27" t="s">
        <v>124</v>
      </c>
      <c r="AE37" s="27" t="s">
        <v>124</v>
      </c>
      <c r="AF37" s="27" t="s">
        <v>124</v>
      </c>
      <c r="AG37" s="27" t="s">
        <v>124</v>
      </c>
      <c r="AH37" s="27" t="s">
        <v>124</v>
      </c>
      <c r="AI37" s="27" t="s">
        <v>124</v>
      </c>
      <c r="AJ37" s="27" t="s">
        <v>124</v>
      </c>
      <c r="AK37" s="27" t="s">
        <v>124</v>
      </c>
      <c r="AL37" s="27" t="s">
        <v>124</v>
      </c>
      <c r="AM37" s="27" t="s">
        <v>124</v>
      </c>
      <c r="AN37" s="27"/>
      <c r="AO37" s="27"/>
    </row>
    <row r="38" spans="1:41" outlineLevel="3" x14ac:dyDescent="0.25">
      <c r="A38" s="29">
        <v>1</v>
      </c>
      <c r="C38" s="123" t="str">
        <f>"            General Motors Financial Non-US"</f>
        <v xml:space="preserve">            General Motors Financial Non-US</v>
      </c>
      <c r="D38" s="126">
        <v>1702000</v>
      </c>
      <c r="E38" s="126">
        <v>1585000</v>
      </c>
      <c r="F38" s="126">
        <v>1813000</v>
      </c>
      <c r="G38" s="126">
        <v>1835000</v>
      </c>
      <c r="H38" s="126">
        <v>1650000</v>
      </c>
      <c r="I38" s="37" t="s">
        <v>124</v>
      </c>
      <c r="J38" s="30" t="s">
        <v>124</v>
      </c>
      <c r="K38" s="27" t="s">
        <v>124</v>
      </c>
      <c r="L38" s="27" t="s">
        <v>124</v>
      </c>
      <c r="M38" s="27" t="s">
        <v>124</v>
      </c>
      <c r="N38" s="27" t="s">
        <v>124</v>
      </c>
      <c r="O38" s="27" t="s">
        <v>124</v>
      </c>
      <c r="P38" s="27" t="s">
        <v>124</v>
      </c>
      <c r="Q38" s="27" t="s">
        <v>124</v>
      </c>
      <c r="R38" s="27" t="s">
        <v>124</v>
      </c>
      <c r="S38" s="27" t="s">
        <v>124</v>
      </c>
      <c r="T38" s="27" t="s">
        <v>124</v>
      </c>
      <c r="U38" s="27" t="s">
        <v>124</v>
      </c>
      <c r="V38" s="27" t="s">
        <v>124</v>
      </c>
      <c r="W38" s="27" t="s">
        <v>124</v>
      </c>
      <c r="X38" s="27" t="s">
        <v>124</v>
      </c>
      <c r="Y38" s="27" t="s">
        <v>124</v>
      </c>
      <c r="Z38" s="27" t="s">
        <v>124</v>
      </c>
      <c r="AA38" s="27" t="s">
        <v>124</v>
      </c>
      <c r="AB38" s="27" t="s">
        <v>124</v>
      </c>
      <c r="AC38" s="27" t="s">
        <v>124</v>
      </c>
      <c r="AD38" s="27" t="s">
        <v>124</v>
      </c>
      <c r="AE38" s="27" t="s">
        <v>124</v>
      </c>
      <c r="AF38" s="27" t="s">
        <v>124</v>
      </c>
      <c r="AG38" s="27" t="s">
        <v>124</v>
      </c>
      <c r="AH38" s="27" t="s">
        <v>124</v>
      </c>
      <c r="AI38" s="27" t="s">
        <v>124</v>
      </c>
      <c r="AJ38" s="27" t="s">
        <v>124</v>
      </c>
      <c r="AK38" s="27" t="s">
        <v>124</v>
      </c>
      <c r="AL38" s="27" t="s">
        <v>124</v>
      </c>
      <c r="AM38" s="27" t="s">
        <v>124</v>
      </c>
      <c r="AN38" s="27"/>
      <c r="AO38" s="27"/>
    </row>
    <row r="39" spans="1:41" outlineLevel="3" x14ac:dyDescent="0.25">
      <c r="A39" s="29">
        <v>1</v>
      </c>
      <c r="C39" s="121" t="str">
        <f>"            Total Revenue"</f>
        <v xml:space="preserve">            Total Revenue</v>
      </c>
      <c r="D39" s="122">
        <v>127004000</v>
      </c>
      <c r="E39" s="122">
        <v>122485000</v>
      </c>
      <c r="F39" s="122">
        <v>137237000</v>
      </c>
      <c r="G39" s="122">
        <v>147049000</v>
      </c>
      <c r="H39" s="122">
        <v>145588000</v>
      </c>
      <c r="I39" s="47" t="s">
        <v>124</v>
      </c>
      <c r="J39" s="30" t="s">
        <v>124</v>
      </c>
      <c r="K39" s="27" t="s">
        <v>124</v>
      </c>
      <c r="L39" s="27" t="s">
        <v>124</v>
      </c>
      <c r="M39" s="27" t="s">
        <v>124</v>
      </c>
      <c r="N39" s="27" t="s">
        <v>124</v>
      </c>
      <c r="O39" s="27" t="s">
        <v>124</v>
      </c>
      <c r="P39" s="27" t="s">
        <v>124</v>
      </c>
      <c r="Q39" s="27" t="s">
        <v>124</v>
      </c>
      <c r="R39" s="27" t="s">
        <v>124</v>
      </c>
      <c r="S39" s="27" t="s">
        <v>124</v>
      </c>
      <c r="T39" s="27" t="s">
        <v>124</v>
      </c>
      <c r="U39" s="27" t="s">
        <v>124</v>
      </c>
      <c r="V39" s="27" t="s">
        <v>124</v>
      </c>
      <c r="W39" s="27" t="s">
        <v>124</v>
      </c>
      <c r="X39" s="27" t="s">
        <v>124</v>
      </c>
      <c r="Y39" s="27" t="s">
        <v>124</v>
      </c>
      <c r="Z39" s="27" t="s">
        <v>124</v>
      </c>
      <c r="AA39" s="27" t="s">
        <v>124</v>
      </c>
      <c r="AB39" s="27" t="s">
        <v>124</v>
      </c>
      <c r="AC39" s="27" t="s">
        <v>124</v>
      </c>
      <c r="AD39" s="27" t="s">
        <v>124</v>
      </c>
      <c r="AE39" s="27" t="s">
        <v>124</v>
      </c>
      <c r="AF39" s="27" t="s">
        <v>124</v>
      </c>
      <c r="AG39" s="27" t="s">
        <v>124</v>
      </c>
      <c r="AH39" s="27" t="s">
        <v>124</v>
      </c>
      <c r="AI39" s="27" t="s">
        <v>124</v>
      </c>
      <c r="AJ39" s="27" t="s">
        <v>124</v>
      </c>
      <c r="AK39" s="27" t="s">
        <v>124</v>
      </c>
      <c r="AL39" s="27" t="s">
        <v>124</v>
      </c>
      <c r="AM39" s="27" t="s">
        <v>124</v>
      </c>
      <c r="AN39" s="27"/>
      <c r="AO39" s="27"/>
    </row>
    <row r="40" spans="1:41" outlineLevel="1" x14ac:dyDescent="0.25">
      <c r="A40" s="29">
        <v>1</v>
      </c>
      <c r="C40" s="24" t="str">
        <f>"    Other"</f>
        <v xml:space="preserve">    Other</v>
      </c>
      <c r="D40" s="41" t="s">
        <v>124</v>
      </c>
      <c r="E40" s="41" t="s">
        <v>124</v>
      </c>
      <c r="F40" s="41" t="s">
        <v>124</v>
      </c>
      <c r="G40" s="41" t="s">
        <v>124</v>
      </c>
      <c r="H40" s="41" t="s">
        <v>124</v>
      </c>
      <c r="I40" s="41" t="s">
        <v>124</v>
      </c>
      <c r="J40" s="30" t="s">
        <v>124</v>
      </c>
      <c r="K40" s="27" t="s">
        <v>124</v>
      </c>
      <c r="L40" s="27" t="s">
        <v>124</v>
      </c>
      <c r="M40" s="27" t="s">
        <v>124</v>
      </c>
      <c r="N40" s="27" t="s">
        <v>124</v>
      </c>
      <c r="O40" s="27" t="s">
        <v>124</v>
      </c>
      <c r="P40" s="27" t="s">
        <v>124</v>
      </c>
      <c r="Q40" s="27" t="s">
        <v>124</v>
      </c>
      <c r="R40" s="27" t="s">
        <v>124</v>
      </c>
      <c r="S40" s="27" t="s">
        <v>124</v>
      </c>
      <c r="T40" s="27" t="s">
        <v>124</v>
      </c>
      <c r="U40" s="27" t="s">
        <v>124</v>
      </c>
      <c r="V40" s="27" t="s">
        <v>124</v>
      </c>
      <c r="W40" s="27" t="s">
        <v>124</v>
      </c>
      <c r="X40" s="27" t="s">
        <v>124</v>
      </c>
      <c r="Y40" s="27" t="s">
        <v>124</v>
      </c>
      <c r="Z40" s="27" t="s">
        <v>124</v>
      </c>
      <c r="AA40" s="27" t="s">
        <v>124</v>
      </c>
      <c r="AB40" s="27" t="s">
        <v>124</v>
      </c>
      <c r="AC40" s="27" t="s">
        <v>124</v>
      </c>
      <c r="AD40" s="27" t="s">
        <v>124</v>
      </c>
      <c r="AE40" s="27" t="s">
        <v>124</v>
      </c>
      <c r="AF40" s="27" t="s">
        <v>124</v>
      </c>
      <c r="AG40" s="27" t="s">
        <v>124</v>
      </c>
      <c r="AH40" s="27" t="s">
        <v>124</v>
      </c>
      <c r="AI40" s="27" t="s">
        <v>124</v>
      </c>
      <c r="AJ40" s="27" t="s">
        <v>124</v>
      </c>
      <c r="AK40" s="27" t="s">
        <v>124</v>
      </c>
      <c r="AL40" s="27" t="s">
        <v>124</v>
      </c>
      <c r="AM40" s="27" t="s">
        <v>124</v>
      </c>
      <c r="AN40" s="27"/>
      <c r="AO40" s="27"/>
    </row>
    <row r="41" spans="1:41" outlineLevel="2" x14ac:dyDescent="0.25">
      <c r="A41" s="29">
        <v>1</v>
      </c>
      <c r="C41" s="24" t="str">
        <f>IF(SUBTOTAL(109,A41)=A41,"        Revenue","        Revenue")</f>
        <v xml:space="preserve">        Revenue</v>
      </c>
      <c r="D41" s="37" t="str">
        <f>IF(SUBTOTAL(109,A41)=A41,"",127004000)</f>
        <v/>
      </c>
      <c r="E41" s="37" t="str">
        <f>IF(SUBTOTAL(109,A41)=A41,"",122485000)</f>
        <v/>
      </c>
      <c r="F41" s="37" t="str">
        <f>IF(SUBTOTAL(109,A41)=A41,"",137237000)</f>
        <v/>
      </c>
      <c r="G41" s="37" t="str">
        <f>IF(SUBTOTAL(109,A41)=A41,"",147049000)</f>
        <v/>
      </c>
      <c r="H41" s="37" t="str">
        <f>IF(SUBTOTAL(109,A41)=A41,"","")</f>
        <v/>
      </c>
      <c r="I41" s="37" t="str">
        <f>IF(SUBTOTAL(109,A41)=A41,"","")</f>
        <v/>
      </c>
      <c r="J41" s="30" t="s">
        <v>124</v>
      </c>
      <c r="K41" s="27" t="s">
        <v>124</v>
      </c>
      <c r="L41" s="27" t="s">
        <v>124</v>
      </c>
      <c r="M41" s="27" t="s">
        <v>124</v>
      </c>
      <c r="N41" s="27" t="s">
        <v>124</v>
      </c>
      <c r="O41" s="27" t="s">
        <v>124</v>
      </c>
      <c r="P41" s="27" t="s">
        <v>124</v>
      </c>
      <c r="Q41" s="27" t="s">
        <v>124</v>
      </c>
      <c r="R41" s="27" t="s">
        <v>124</v>
      </c>
      <c r="S41" s="27" t="s">
        <v>124</v>
      </c>
      <c r="T41" s="27" t="s">
        <v>124</v>
      </c>
      <c r="U41" s="27" t="s">
        <v>124</v>
      </c>
      <c r="V41" s="27" t="s">
        <v>124</v>
      </c>
      <c r="W41" s="27" t="s">
        <v>124</v>
      </c>
      <c r="X41" s="27" t="s">
        <v>124</v>
      </c>
      <c r="Y41" s="27" t="s">
        <v>124</v>
      </c>
      <c r="Z41" s="27" t="s">
        <v>124</v>
      </c>
      <c r="AA41" s="27" t="s">
        <v>124</v>
      </c>
      <c r="AB41" s="27" t="s">
        <v>124</v>
      </c>
      <c r="AC41" s="27" t="s">
        <v>124</v>
      </c>
      <c r="AD41" s="27" t="s">
        <v>124</v>
      </c>
      <c r="AE41" s="27" t="s">
        <v>124</v>
      </c>
      <c r="AF41" s="27" t="s">
        <v>124</v>
      </c>
      <c r="AG41" s="27" t="s">
        <v>124</v>
      </c>
      <c r="AH41" s="27" t="s">
        <v>124</v>
      </c>
      <c r="AI41" s="27" t="s">
        <v>124</v>
      </c>
      <c r="AJ41" s="27" t="s">
        <v>124</v>
      </c>
      <c r="AK41" s="27" t="s">
        <v>124</v>
      </c>
      <c r="AL41" s="27" t="s">
        <v>124</v>
      </c>
      <c r="AM41" s="27" t="s">
        <v>124</v>
      </c>
      <c r="AN41" s="27"/>
      <c r="AO41" s="27"/>
    </row>
    <row r="42" spans="1:41" outlineLevel="3" x14ac:dyDescent="0.25">
      <c r="A42" s="29">
        <v>1</v>
      </c>
      <c r="C42" s="24" t="str">
        <f>"            Automotive net sales and revenue"</f>
        <v xml:space="preserve">            Automotive net sales and revenue</v>
      </c>
      <c r="D42" s="37">
        <v>113590000</v>
      </c>
      <c r="E42" s="37">
        <v>108673000</v>
      </c>
      <c r="F42" s="37">
        <v>122697000</v>
      </c>
      <c r="G42" s="37">
        <v>133045000</v>
      </c>
      <c r="H42" s="37" t="s">
        <v>124</v>
      </c>
      <c r="I42" s="37" t="s">
        <v>124</v>
      </c>
      <c r="J42" s="30" t="s">
        <v>124</v>
      </c>
      <c r="K42" s="27" t="s">
        <v>124</v>
      </c>
      <c r="L42" s="27" t="s">
        <v>124</v>
      </c>
      <c r="M42" s="27" t="s">
        <v>124</v>
      </c>
      <c r="N42" s="27" t="s">
        <v>124</v>
      </c>
      <c r="O42" s="27" t="s">
        <v>124</v>
      </c>
      <c r="P42" s="27" t="s">
        <v>124</v>
      </c>
      <c r="Q42" s="27" t="s">
        <v>124</v>
      </c>
      <c r="R42" s="27" t="s">
        <v>124</v>
      </c>
      <c r="S42" s="27" t="s">
        <v>124</v>
      </c>
      <c r="T42" s="27" t="s">
        <v>124</v>
      </c>
      <c r="U42" s="27" t="s">
        <v>124</v>
      </c>
      <c r="V42" s="27" t="s">
        <v>124</v>
      </c>
      <c r="W42" s="27" t="s">
        <v>124</v>
      </c>
      <c r="X42" s="27" t="s">
        <v>124</v>
      </c>
      <c r="Y42" s="27" t="s">
        <v>124</v>
      </c>
      <c r="Z42" s="27" t="s">
        <v>124</v>
      </c>
      <c r="AA42" s="27" t="s">
        <v>124</v>
      </c>
      <c r="AB42" s="27" t="s">
        <v>124</v>
      </c>
      <c r="AC42" s="27" t="s">
        <v>124</v>
      </c>
      <c r="AD42" s="27" t="s">
        <v>124</v>
      </c>
      <c r="AE42" s="27" t="s">
        <v>124</v>
      </c>
      <c r="AF42" s="27" t="s">
        <v>124</v>
      </c>
      <c r="AG42" s="27" t="s">
        <v>124</v>
      </c>
      <c r="AH42" s="27" t="s">
        <v>124</v>
      </c>
      <c r="AI42" s="27" t="s">
        <v>124</v>
      </c>
      <c r="AJ42" s="27" t="s">
        <v>124</v>
      </c>
      <c r="AK42" s="27" t="s">
        <v>124</v>
      </c>
      <c r="AL42" s="27" t="s">
        <v>124</v>
      </c>
      <c r="AM42" s="27" t="s">
        <v>124</v>
      </c>
      <c r="AN42" s="27"/>
      <c r="AO42" s="27"/>
    </row>
    <row r="43" spans="1:41" outlineLevel="4" x14ac:dyDescent="0.25">
      <c r="A43" s="29">
        <v>1</v>
      </c>
      <c r="C43" s="24" t="str">
        <f>"                Vehicle, parts and accessories"</f>
        <v xml:space="preserve">                Vehicle, parts and accessories</v>
      </c>
      <c r="D43" s="37">
        <v>108485000</v>
      </c>
      <c r="E43" s="37">
        <v>103343000</v>
      </c>
      <c r="F43" s="37">
        <v>116277000</v>
      </c>
      <c r="G43" s="37">
        <v>125155000</v>
      </c>
      <c r="H43" s="37" t="s">
        <v>124</v>
      </c>
      <c r="I43" s="37" t="s">
        <v>124</v>
      </c>
      <c r="J43" s="30" t="s">
        <v>124</v>
      </c>
      <c r="K43" s="27" t="s">
        <v>124</v>
      </c>
      <c r="L43" s="27" t="s">
        <v>124</v>
      </c>
      <c r="M43" s="27" t="s">
        <v>124</v>
      </c>
      <c r="N43" s="27" t="s">
        <v>124</v>
      </c>
      <c r="O43" s="27" t="s">
        <v>124</v>
      </c>
      <c r="P43" s="27" t="s">
        <v>124</v>
      </c>
      <c r="Q43" s="27" t="s">
        <v>124</v>
      </c>
      <c r="R43" s="27" t="s">
        <v>124</v>
      </c>
      <c r="S43" s="27" t="s">
        <v>124</v>
      </c>
      <c r="T43" s="27" t="s">
        <v>124</v>
      </c>
      <c r="U43" s="27" t="s">
        <v>124</v>
      </c>
      <c r="V43" s="27" t="s">
        <v>124</v>
      </c>
      <c r="W43" s="27" t="s">
        <v>124</v>
      </c>
      <c r="X43" s="27" t="s">
        <v>124</v>
      </c>
      <c r="Y43" s="27" t="s">
        <v>124</v>
      </c>
      <c r="Z43" s="27" t="s">
        <v>124</v>
      </c>
      <c r="AA43" s="27" t="s">
        <v>124</v>
      </c>
      <c r="AB43" s="27" t="s">
        <v>124</v>
      </c>
      <c r="AC43" s="27" t="s">
        <v>124</v>
      </c>
      <c r="AD43" s="27" t="s">
        <v>124</v>
      </c>
      <c r="AE43" s="27" t="s">
        <v>124</v>
      </c>
      <c r="AF43" s="27" t="s">
        <v>124</v>
      </c>
      <c r="AG43" s="27" t="s">
        <v>124</v>
      </c>
      <c r="AH43" s="27" t="s">
        <v>124</v>
      </c>
      <c r="AI43" s="27" t="s">
        <v>124</v>
      </c>
      <c r="AJ43" s="27" t="s">
        <v>124</v>
      </c>
      <c r="AK43" s="27" t="s">
        <v>124</v>
      </c>
      <c r="AL43" s="27" t="s">
        <v>124</v>
      </c>
      <c r="AM43" s="27" t="s">
        <v>124</v>
      </c>
      <c r="AN43" s="27"/>
      <c r="AO43" s="27"/>
    </row>
    <row r="44" spans="1:41" outlineLevel="4" x14ac:dyDescent="0.25">
      <c r="A44" s="29">
        <v>1</v>
      </c>
      <c r="C44" s="24" t="str">
        <f>"                Services and other"</f>
        <v xml:space="preserve">                Services and other</v>
      </c>
      <c r="D44" s="37">
        <v>4511000</v>
      </c>
      <c r="E44" s="37">
        <v>4320000</v>
      </c>
      <c r="F44" s="37">
        <v>4401000</v>
      </c>
      <c r="G44" s="37">
        <v>4536000</v>
      </c>
      <c r="H44" s="37" t="s">
        <v>124</v>
      </c>
      <c r="I44" s="37" t="s">
        <v>124</v>
      </c>
      <c r="J44" s="30" t="s">
        <v>124</v>
      </c>
      <c r="K44" s="27" t="s">
        <v>124</v>
      </c>
      <c r="L44" s="27" t="s">
        <v>124</v>
      </c>
      <c r="M44" s="27" t="s">
        <v>124</v>
      </c>
      <c r="N44" s="27" t="s">
        <v>124</v>
      </c>
      <c r="O44" s="27" t="s">
        <v>124</v>
      </c>
      <c r="P44" s="27" t="s">
        <v>124</v>
      </c>
      <c r="Q44" s="27" t="s">
        <v>124</v>
      </c>
      <c r="R44" s="27" t="s">
        <v>124</v>
      </c>
      <c r="S44" s="27" t="s">
        <v>124</v>
      </c>
      <c r="T44" s="27" t="s">
        <v>124</v>
      </c>
      <c r="U44" s="27" t="s">
        <v>124</v>
      </c>
      <c r="V44" s="27" t="s">
        <v>124</v>
      </c>
      <c r="W44" s="27" t="s">
        <v>124</v>
      </c>
      <c r="X44" s="27" t="s">
        <v>124</v>
      </c>
      <c r="Y44" s="27" t="s">
        <v>124</v>
      </c>
      <c r="Z44" s="27" t="s">
        <v>124</v>
      </c>
      <c r="AA44" s="27" t="s">
        <v>124</v>
      </c>
      <c r="AB44" s="27" t="s">
        <v>124</v>
      </c>
      <c r="AC44" s="27" t="s">
        <v>124</v>
      </c>
      <c r="AD44" s="27" t="s">
        <v>124</v>
      </c>
      <c r="AE44" s="27" t="s">
        <v>124</v>
      </c>
      <c r="AF44" s="27" t="s">
        <v>124</v>
      </c>
      <c r="AG44" s="27" t="s">
        <v>124</v>
      </c>
      <c r="AH44" s="27" t="s">
        <v>124</v>
      </c>
      <c r="AI44" s="27" t="s">
        <v>124</v>
      </c>
      <c r="AJ44" s="27" t="s">
        <v>124</v>
      </c>
      <c r="AK44" s="27" t="s">
        <v>124</v>
      </c>
      <c r="AL44" s="27" t="s">
        <v>124</v>
      </c>
      <c r="AM44" s="27" t="s">
        <v>124</v>
      </c>
      <c r="AN44" s="27"/>
      <c r="AO44" s="27"/>
    </row>
    <row r="45" spans="1:41" outlineLevel="4" x14ac:dyDescent="0.25">
      <c r="A45" s="29">
        <v>1</v>
      </c>
      <c r="C45" s="24" t="str">
        <f>"                Used vehicles"</f>
        <v xml:space="preserve">                Used vehicles</v>
      </c>
      <c r="D45" s="37">
        <v>594000</v>
      </c>
      <c r="E45" s="37">
        <v>1010000</v>
      </c>
      <c r="F45" s="37">
        <v>2019000</v>
      </c>
      <c r="G45" s="37">
        <v>3354000</v>
      </c>
      <c r="H45" s="37" t="s">
        <v>124</v>
      </c>
      <c r="I45" s="37" t="s">
        <v>124</v>
      </c>
      <c r="J45" s="30" t="s">
        <v>124</v>
      </c>
      <c r="K45" s="27" t="s">
        <v>124</v>
      </c>
      <c r="L45" s="27" t="s">
        <v>124</v>
      </c>
      <c r="M45" s="27" t="s">
        <v>124</v>
      </c>
      <c r="N45" s="27" t="s">
        <v>124</v>
      </c>
      <c r="O45" s="27" t="s">
        <v>124</v>
      </c>
      <c r="P45" s="27" t="s">
        <v>124</v>
      </c>
      <c r="Q45" s="27" t="s">
        <v>124</v>
      </c>
      <c r="R45" s="27" t="s">
        <v>124</v>
      </c>
      <c r="S45" s="27" t="s">
        <v>124</v>
      </c>
      <c r="T45" s="27" t="s">
        <v>124</v>
      </c>
      <c r="U45" s="27" t="s">
        <v>124</v>
      </c>
      <c r="V45" s="27" t="s">
        <v>124</v>
      </c>
      <c r="W45" s="27" t="s">
        <v>124</v>
      </c>
      <c r="X45" s="27" t="s">
        <v>124</v>
      </c>
      <c r="Y45" s="27" t="s">
        <v>124</v>
      </c>
      <c r="Z45" s="27" t="s">
        <v>124</v>
      </c>
      <c r="AA45" s="27" t="s">
        <v>124</v>
      </c>
      <c r="AB45" s="27" t="s">
        <v>124</v>
      </c>
      <c r="AC45" s="27" t="s">
        <v>124</v>
      </c>
      <c r="AD45" s="27" t="s">
        <v>124</v>
      </c>
      <c r="AE45" s="27" t="s">
        <v>124</v>
      </c>
      <c r="AF45" s="27" t="s">
        <v>124</v>
      </c>
      <c r="AG45" s="27" t="s">
        <v>124</v>
      </c>
      <c r="AH45" s="27" t="s">
        <v>124</v>
      </c>
      <c r="AI45" s="27" t="s">
        <v>124</v>
      </c>
      <c r="AJ45" s="27" t="s">
        <v>124</v>
      </c>
      <c r="AK45" s="27" t="s">
        <v>124</v>
      </c>
      <c r="AL45" s="27" t="s">
        <v>124</v>
      </c>
      <c r="AM45" s="27" t="s">
        <v>124</v>
      </c>
      <c r="AN45" s="27"/>
      <c r="AO45" s="27"/>
    </row>
    <row r="46" spans="1:41" outlineLevel="3" x14ac:dyDescent="0.25">
      <c r="A46" s="29">
        <v>1</v>
      </c>
      <c r="C46" s="24" t="str">
        <f>"            General Motors Financial net sales and revenue"</f>
        <v xml:space="preserve">            General Motors Financial net sales and revenue</v>
      </c>
      <c r="D46" s="37">
        <v>13414000</v>
      </c>
      <c r="E46" s="37">
        <v>13812000</v>
      </c>
      <c r="F46" s="37">
        <v>14540000</v>
      </c>
      <c r="G46" s="37">
        <v>14004000</v>
      </c>
      <c r="H46" s="37" t="s">
        <v>124</v>
      </c>
      <c r="I46" s="37" t="s">
        <v>124</v>
      </c>
      <c r="J46" s="30" t="s">
        <v>124</v>
      </c>
      <c r="K46" s="27" t="s">
        <v>124</v>
      </c>
      <c r="L46" s="27" t="s">
        <v>124</v>
      </c>
      <c r="M46" s="27" t="s">
        <v>124</v>
      </c>
      <c r="N46" s="27" t="s">
        <v>124</v>
      </c>
      <c r="O46" s="27" t="s">
        <v>124</v>
      </c>
      <c r="P46" s="27" t="s">
        <v>124</v>
      </c>
      <c r="Q46" s="27" t="s">
        <v>124</v>
      </c>
      <c r="R46" s="27" t="s">
        <v>124</v>
      </c>
      <c r="S46" s="27" t="s">
        <v>124</v>
      </c>
      <c r="T46" s="27" t="s">
        <v>124</v>
      </c>
      <c r="U46" s="27" t="s">
        <v>124</v>
      </c>
      <c r="V46" s="27" t="s">
        <v>124</v>
      </c>
      <c r="W46" s="27" t="s">
        <v>124</v>
      </c>
      <c r="X46" s="27" t="s">
        <v>124</v>
      </c>
      <c r="Y46" s="27" t="s">
        <v>124</v>
      </c>
      <c r="Z46" s="27" t="s">
        <v>124</v>
      </c>
      <c r="AA46" s="27" t="s">
        <v>124</v>
      </c>
      <c r="AB46" s="27" t="s">
        <v>124</v>
      </c>
      <c r="AC46" s="27" t="s">
        <v>124</v>
      </c>
      <c r="AD46" s="27" t="s">
        <v>124</v>
      </c>
      <c r="AE46" s="27" t="s">
        <v>124</v>
      </c>
      <c r="AF46" s="27" t="s">
        <v>124</v>
      </c>
      <c r="AG46" s="27" t="s">
        <v>124</v>
      </c>
      <c r="AH46" s="27" t="s">
        <v>124</v>
      </c>
      <c r="AI46" s="27" t="s">
        <v>124</v>
      </c>
      <c r="AJ46" s="27" t="s">
        <v>124</v>
      </c>
      <c r="AK46" s="27" t="s">
        <v>124</v>
      </c>
      <c r="AL46" s="27" t="s">
        <v>124</v>
      </c>
      <c r="AM46" s="27" t="s">
        <v>124</v>
      </c>
      <c r="AN46" s="27"/>
      <c r="AO46" s="27"/>
    </row>
    <row r="47" spans="1:41" outlineLevel="4" x14ac:dyDescent="0.25">
      <c r="A47" s="29">
        <v>1</v>
      </c>
      <c r="C47" s="24" t="str">
        <f>"                Leased vehicle income"</f>
        <v xml:space="preserve">                Leased vehicle income</v>
      </c>
      <c r="D47" s="37">
        <v>9026000</v>
      </c>
      <c r="E47" s="37">
        <v>9530000</v>
      </c>
      <c r="F47" s="37">
        <v>10032000</v>
      </c>
      <c r="G47" s="37">
        <v>9963000</v>
      </c>
      <c r="H47" s="37" t="s">
        <v>124</v>
      </c>
      <c r="I47" s="37" t="s">
        <v>124</v>
      </c>
      <c r="J47" s="30" t="s">
        <v>124</v>
      </c>
      <c r="K47" s="27" t="s">
        <v>124</v>
      </c>
      <c r="L47" s="27" t="s">
        <v>124</v>
      </c>
      <c r="M47" s="27" t="s">
        <v>124</v>
      </c>
      <c r="N47" s="27" t="s">
        <v>124</v>
      </c>
      <c r="O47" s="27" t="s">
        <v>124</v>
      </c>
      <c r="P47" s="27" t="s">
        <v>124</v>
      </c>
      <c r="Q47" s="27" t="s">
        <v>124</v>
      </c>
      <c r="R47" s="27" t="s">
        <v>124</v>
      </c>
      <c r="S47" s="27" t="s">
        <v>124</v>
      </c>
      <c r="T47" s="27" t="s">
        <v>124</v>
      </c>
      <c r="U47" s="27" t="s">
        <v>124</v>
      </c>
      <c r="V47" s="27" t="s">
        <v>124</v>
      </c>
      <c r="W47" s="27" t="s">
        <v>124</v>
      </c>
      <c r="X47" s="27" t="s">
        <v>124</v>
      </c>
      <c r="Y47" s="27" t="s">
        <v>124</v>
      </c>
      <c r="Z47" s="27" t="s">
        <v>124</v>
      </c>
      <c r="AA47" s="27" t="s">
        <v>124</v>
      </c>
      <c r="AB47" s="27" t="s">
        <v>124</v>
      </c>
      <c r="AC47" s="27" t="s">
        <v>124</v>
      </c>
      <c r="AD47" s="27" t="s">
        <v>124</v>
      </c>
      <c r="AE47" s="27" t="s">
        <v>124</v>
      </c>
      <c r="AF47" s="27" t="s">
        <v>124</v>
      </c>
      <c r="AG47" s="27" t="s">
        <v>124</v>
      </c>
      <c r="AH47" s="27" t="s">
        <v>124</v>
      </c>
      <c r="AI47" s="27" t="s">
        <v>124</v>
      </c>
      <c r="AJ47" s="27" t="s">
        <v>124</v>
      </c>
      <c r="AK47" s="27" t="s">
        <v>124</v>
      </c>
      <c r="AL47" s="27" t="s">
        <v>124</v>
      </c>
      <c r="AM47" s="27" t="s">
        <v>124</v>
      </c>
      <c r="AN47" s="27"/>
      <c r="AO47" s="27"/>
    </row>
    <row r="48" spans="1:41" outlineLevel="4" x14ac:dyDescent="0.25">
      <c r="A48" s="29">
        <v>1</v>
      </c>
      <c r="C48" s="24" t="str">
        <f>"                Finance charge income"</f>
        <v xml:space="preserve">                Finance charge income</v>
      </c>
      <c r="D48" s="37">
        <v>4103000</v>
      </c>
      <c r="E48" s="37">
        <v>3995000</v>
      </c>
      <c r="F48" s="37">
        <v>4064000</v>
      </c>
      <c r="G48" s="37">
        <v>3621000</v>
      </c>
      <c r="H48" s="37" t="s">
        <v>124</v>
      </c>
      <c r="I48" s="37" t="s">
        <v>124</v>
      </c>
      <c r="J48" s="30" t="s">
        <v>124</v>
      </c>
      <c r="K48" s="27" t="s">
        <v>124</v>
      </c>
      <c r="L48" s="27" t="s">
        <v>124</v>
      </c>
      <c r="M48" s="27" t="s">
        <v>124</v>
      </c>
      <c r="N48" s="27" t="s">
        <v>124</v>
      </c>
      <c r="O48" s="27" t="s">
        <v>124</v>
      </c>
      <c r="P48" s="27" t="s">
        <v>124</v>
      </c>
      <c r="Q48" s="27" t="s">
        <v>124</v>
      </c>
      <c r="R48" s="27" t="s">
        <v>124</v>
      </c>
      <c r="S48" s="27" t="s">
        <v>124</v>
      </c>
      <c r="T48" s="27" t="s">
        <v>124</v>
      </c>
      <c r="U48" s="27" t="s">
        <v>124</v>
      </c>
      <c r="V48" s="27" t="s">
        <v>124</v>
      </c>
      <c r="W48" s="27" t="s">
        <v>124</v>
      </c>
      <c r="X48" s="27" t="s">
        <v>124</v>
      </c>
      <c r="Y48" s="27" t="s">
        <v>124</v>
      </c>
      <c r="Z48" s="27" t="s">
        <v>124</v>
      </c>
      <c r="AA48" s="27" t="s">
        <v>124</v>
      </c>
      <c r="AB48" s="27" t="s">
        <v>124</v>
      </c>
      <c r="AC48" s="27" t="s">
        <v>124</v>
      </c>
      <c r="AD48" s="27" t="s">
        <v>124</v>
      </c>
      <c r="AE48" s="27" t="s">
        <v>124</v>
      </c>
      <c r="AF48" s="27" t="s">
        <v>124</v>
      </c>
      <c r="AG48" s="27" t="s">
        <v>124</v>
      </c>
      <c r="AH48" s="27" t="s">
        <v>124</v>
      </c>
      <c r="AI48" s="27" t="s">
        <v>124</v>
      </c>
      <c r="AJ48" s="27" t="s">
        <v>124</v>
      </c>
      <c r="AK48" s="27" t="s">
        <v>124</v>
      </c>
      <c r="AL48" s="27" t="s">
        <v>124</v>
      </c>
      <c r="AM48" s="27" t="s">
        <v>124</v>
      </c>
      <c r="AN48" s="27"/>
      <c r="AO48" s="27"/>
    </row>
    <row r="49" spans="1:41" outlineLevel="4" x14ac:dyDescent="0.25">
      <c r="A49" s="29">
        <v>1</v>
      </c>
      <c r="C49" s="24" t="str">
        <f>"                Other income"</f>
        <v xml:space="preserve">                Other income</v>
      </c>
      <c r="D49" s="37">
        <v>285000</v>
      </c>
      <c r="E49" s="37">
        <v>287000</v>
      </c>
      <c r="F49" s="37">
        <v>444000</v>
      </c>
      <c r="G49" s="37">
        <v>420000</v>
      </c>
      <c r="H49" s="37" t="s">
        <v>124</v>
      </c>
      <c r="I49" s="37" t="s">
        <v>124</v>
      </c>
      <c r="J49" s="30" t="s">
        <v>124</v>
      </c>
      <c r="K49" s="27" t="s">
        <v>124</v>
      </c>
      <c r="L49" s="27" t="s">
        <v>124</v>
      </c>
      <c r="M49" s="27" t="s">
        <v>124</v>
      </c>
      <c r="N49" s="27" t="s">
        <v>124</v>
      </c>
      <c r="O49" s="27" t="s">
        <v>124</v>
      </c>
      <c r="P49" s="27" t="s">
        <v>124</v>
      </c>
      <c r="Q49" s="27" t="s">
        <v>124</v>
      </c>
      <c r="R49" s="27" t="s">
        <v>124</v>
      </c>
      <c r="S49" s="27" t="s">
        <v>124</v>
      </c>
      <c r="T49" s="27" t="s">
        <v>124</v>
      </c>
      <c r="U49" s="27" t="s">
        <v>124</v>
      </c>
      <c r="V49" s="27" t="s">
        <v>124</v>
      </c>
      <c r="W49" s="27" t="s">
        <v>124</v>
      </c>
      <c r="X49" s="27" t="s">
        <v>124</v>
      </c>
      <c r="Y49" s="27" t="s">
        <v>124</v>
      </c>
      <c r="Z49" s="27" t="s">
        <v>124</v>
      </c>
      <c r="AA49" s="27" t="s">
        <v>124</v>
      </c>
      <c r="AB49" s="27" t="s">
        <v>124</v>
      </c>
      <c r="AC49" s="27" t="s">
        <v>124</v>
      </c>
      <c r="AD49" s="27" t="s">
        <v>124</v>
      </c>
      <c r="AE49" s="27" t="s">
        <v>124</v>
      </c>
      <c r="AF49" s="27" t="s">
        <v>124</v>
      </c>
      <c r="AG49" s="27" t="s">
        <v>124</v>
      </c>
      <c r="AH49" s="27" t="s">
        <v>124</v>
      </c>
      <c r="AI49" s="27" t="s">
        <v>124</v>
      </c>
      <c r="AJ49" s="27" t="s">
        <v>124</v>
      </c>
      <c r="AK49" s="27" t="s">
        <v>124</v>
      </c>
      <c r="AL49" s="27" t="s">
        <v>124</v>
      </c>
      <c r="AM49" s="27" t="s">
        <v>124</v>
      </c>
      <c r="AN49" s="27"/>
      <c r="AO49" s="27"/>
    </row>
    <row r="50" spans="1:41" outlineLevel="3" x14ac:dyDescent="0.25">
      <c r="A50" s="29">
        <v>1</v>
      </c>
      <c r="C50" s="25" t="str">
        <f>"            Total Revenue"</f>
        <v xml:space="preserve">            Total Revenue</v>
      </c>
      <c r="D50" s="47">
        <v>127004000</v>
      </c>
      <c r="E50" s="47">
        <v>122485000</v>
      </c>
      <c r="F50" s="47">
        <v>137237000</v>
      </c>
      <c r="G50" s="47">
        <v>147049000</v>
      </c>
      <c r="H50" s="47" t="s">
        <v>124</v>
      </c>
      <c r="I50" s="47" t="s">
        <v>124</v>
      </c>
      <c r="J50" s="30" t="s">
        <v>124</v>
      </c>
      <c r="K50" s="27" t="s">
        <v>124</v>
      </c>
      <c r="L50" s="27" t="s">
        <v>124</v>
      </c>
      <c r="M50" s="27" t="s">
        <v>124</v>
      </c>
      <c r="N50" s="27" t="s">
        <v>124</v>
      </c>
      <c r="O50" s="27" t="s">
        <v>124</v>
      </c>
      <c r="P50" s="27" t="s">
        <v>124</v>
      </c>
      <c r="Q50" s="27" t="s">
        <v>124</v>
      </c>
      <c r="R50" s="27" t="s">
        <v>124</v>
      </c>
      <c r="S50" s="27" t="s">
        <v>124</v>
      </c>
      <c r="T50" s="27" t="s">
        <v>124</v>
      </c>
      <c r="U50" s="27" t="s">
        <v>124</v>
      </c>
      <c r="V50" s="27" t="s">
        <v>124</v>
      </c>
      <c r="W50" s="27" t="s">
        <v>124</v>
      </c>
      <c r="X50" s="27" t="s">
        <v>124</v>
      </c>
      <c r="Y50" s="27" t="s">
        <v>124</v>
      </c>
      <c r="Z50" s="27" t="s">
        <v>124</v>
      </c>
      <c r="AA50" s="27" t="s">
        <v>124</v>
      </c>
      <c r="AB50" s="27" t="s">
        <v>124</v>
      </c>
      <c r="AC50" s="27" t="s">
        <v>124</v>
      </c>
      <c r="AD50" s="27" t="s">
        <v>124</v>
      </c>
      <c r="AE50" s="27" t="s">
        <v>124</v>
      </c>
      <c r="AF50" s="27" t="s">
        <v>124</v>
      </c>
      <c r="AG50" s="27" t="s">
        <v>124</v>
      </c>
      <c r="AH50" s="27" t="s">
        <v>124</v>
      </c>
      <c r="AI50" s="27" t="s">
        <v>124</v>
      </c>
      <c r="AJ50" s="27" t="s">
        <v>124</v>
      </c>
      <c r="AK50" s="27" t="s">
        <v>124</v>
      </c>
      <c r="AL50" s="27" t="s">
        <v>124</v>
      </c>
      <c r="AM50" s="27" t="s">
        <v>124</v>
      </c>
      <c r="AN50" s="27"/>
      <c r="AO50" s="27"/>
    </row>
    <row r="51" spans="1:41" x14ac:dyDescent="0.25">
      <c r="A51" s="29">
        <v>1</v>
      </c>
      <c r="C51" s="26" t="str">
        <f>"Percents of total"</f>
        <v>Percents of total</v>
      </c>
      <c r="D51" s="44" t="s">
        <v>124</v>
      </c>
      <c r="E51" s="44" t="s">
        <v>124</v>
      </c>
      <c r="F51" s="44" t="s">
        <v>124</v>
      </c>
      <c r="G51" s="44" t="s">
        <v>124</v>
      </c>
      <c r="H51" s="44" t="s">
        <v>124</v>
      </c>
      <c r="I51" s="44" t="s">
        <v>124</v>
      </c>
      <c r="J51" s="30" t="s">
        <v>124</v>
      </c>
      <c r="K51" s="27" t="s">
        <v>124</v>
      </c>
      <c r="L51" s="27" t="s">
        <v>124</v>
      </c>
      <c r="M51" s="27" t="s">
        <v>124</v>
      </c>
      <c r="N51" s="27" t="s">
        <v>124</v>
      </c>
      <c r="O51" s="27" t="s">
        <v>124</v>
      </c>
      <c r="P51" s="27" t="s">
        <v>124</v>
      </c>
      <c r="Q51" s="27" t="s">
        <v>124</v>
      </c>
      <c r="R51" s="27" t="s">
        <v>124</v>
      </c>
      <c r="S51" s="27" t="s">
        <v>124</v>
      </c>
      <c r="T51" s="27" t="s">
        <v>124</v>
      </c>
      <c r="U51" s="27" t="s">
        <v>124</v>
      </c>
      <c r="V51" s="27" t="s">
        <v>124</v>
      </c>
      <c r="W51" s="27" t="s">
        <v>124</v>
      </c>
      <c r="X51" s="27" t="s">
        <v>124</v>
      </c>
      <c r="Y51" s="27" t="s">
        <v>124</v>
      </c>
      <c r="Z51" s="27" t="s">
        <v>124</v>
      </c>
      <c r="AA51" s="27" t="s">
        <v>124</v>
      </c>
      <c r="AB51" s="27" t="s">
        <v>124</v>
      </c>
      <c r="AC51" s="27" t="s">
        <v>124</v>
      </c>
      <c r="AD51" s="27" t="s">
        <v>124</v>
      </c>
      <c r="AE51" s="27" t="s">
        <v>124</v>
      </c>
      <c r="AF51" s="27" t="s">
        <v>124</v>
      </c>
      <c r="AG51" s="27" t="s">
        <v>124</v>
      </c>
      <c r="AH51" s="27" t="s">
        <v>124</v>
      </c>
      <c r="AI51" s="27" t="s">
        <v>124</v>
      </c>
      <c r="AJ51" s="27" t="s">
        <v>124</v>
      </c>
      <c r="AK51" s="27" t="s">
        <v>124</v>
      </c>
      <c r="AL51" s="27" t="s">
        <v>124</v>
      </c>
      <c r="AM51" s="27" t="s">
        <v>124</v>
      </c>
      <c r="AN51" s="27"/>
      <c r="AO51" s="27"/>
    </row>
    <row r="52" spans="1:41" outlineLevel="1" x14ac:dyDescent="0.25">
      <c r="A52" s="29">
        <v>1</v>
      </c>
      <c r="C52" s="24" t="str">
        <f>"    Business Unit"</f>
        <v xml:space="preserve">    Business Unit</v>
      </c>
      <c r="D52" s="41" t="s">
        <v>124</v>
      </c>
      <c r="E52" s="41" t="s">
        <v>124</v>
      </c>
      <c r="F52" s="41" t="s">
        <v>124</v>
      </c>
      <c r="G52" s="41" t="s">
        <v>124</v>
      </c>
      <c r="H52" s="41" t="s">
        <v>124</v>
      </c>
      <c r="I52" s="41" t="s">
        <v>124</v>
      </c>
      <c r="J52" s="30" t="s">
        <v>124</v>
      </c>
      <c r="K52" s="27" t="s">
        <v>124</v>
      </c>
      <c r="L52" s="27" t="s">
        <v>124</v>
      </c>
      <c r="M52" s="27" t="s">
        <v>124</v>
      </c>
      <c r="N52" s="27" t="s">
        <v>124</v>
      </c>
      <c r="O52" s="27" t="s">
        <v>124</v>
      </c>
      <c r="P52" s="27" t="s">
        <v>124</v>
      </c>
      <c r="Q52" s="27" t="s">
        <v>124</v>
      </c>
      <c r="R52" s="27" t="s">
        <v>124</v>
      </c>
      <c r="S52" s="27" t="s">
        <v>124</v>
      </c>
      <c r="T52" s="27" t="s">
        <v>124</v>
      </c>
      <c r="U52" s="27" t="s">
        <v>124</v>
      </c>
      <c r="V52" s="27" t="s">
        <v>124</v>
      </c>
      <c r="W52" s="27" t="s">
        <v>124</v>
      </c>
      <c r="X52" s="27" t="s">
        <v>124</v>
      </c>
      <c r="Y52" s="27" t="s">
        <v>124</v>
      </c>
      <c r="Z52" s="27" t="s">
        <v>124</v>
      </c>
      <c r="AA52" s="27" t="s">
        <v>124</v>
      </c>
      <c r="AB52" s="27" t="s">
        <v>124</v>
      </c>
      <c r="AC52" s="27" t="s">
        <v>124</v>
      </c>
      <c r="AD52" s="27" t="s">
        <v>124</v>
      </c>
      <c r="AE52" s="27" t="s">
        <v>124</v>
      </c>
      <c r="AF52" s="27" t="s">
        <v>124</v>
      </c>
      <c r="AG52" s="27" t="s">
        <v>124</v>
      </c>
      <c r="AH52" s="27" t="s">
        <v>124</v>
      </c>
      <c r="AI52" s="27" t="s">
        <v>124</v>
      </c>
      <c r="AJ52" s="27" t="s">
        <v>124</v>
      </c>
      <c r="AK52" s="27" t="s">
        <v>124</v>
      </c>
      <c r="AL52" s="27" t="s">
        <v>124</v>
      </c>
      <c r="AM52" s="27" t="s">
        <v>124</v>
      </c>
      <c r="AN52" s="27"/>
      <c r="AO52" s="27"/>
    </row>
    <row r="53" spans="1:41" outlineLevel="2" x14ac:dyDescent="0.25">
      <c r="A53" s="29">
        <v>1</v>
      </c>
      <c r="C53" s="24" t="str">
        <f>IF(SUBTOTAL(109,A53)=A53,"        Revenue","        Revenue")</f>
        <v xml:space="preserve">        Revenue</v>
      </c>
      <c r="D53" s="41" t="str">
        <f>IF(SUBTOTAL(109,A53)=A53,"","")</f>
        <v/>
      </c>
      <c r="E53" s="41" t="str">
        <f>IF(SUBTOTAL(109,A53)=A53,"","")</f>
        <v/>
      </c>
      <c r="F53" s="41" t="str">
        <f>IF(SUBTOTAL(109,A53)=A53,"","")</f>
        <v/>
      </c>
      <c r="G53" s="41" t="str">
        <f>IF(SUBTOTAL(109,A53)=A53,"","")</f>
        <v/>
      </c>
      <c r="H53" s="41" t="str">
        <f>IF(SUBTOTAL(109,A53)=A53,"","")</f>
        <v/>
      </c>
      <c r="I53" s="41" t="str">
        <f>IF(SUBTOTAL(109,A53)=A53,"","")</f>
        <v/>
      </c>
      <c r="J53" s="30" t="s">
        <v>124</v>
      </c>
      <c r="K53" s="27" t="s">
        <v>124</v>
      </c>
      <c r="L53" s="27" t="s">
        <v>124</v>
      </c>
      <c r="M53" s="27" t="s">
        <v>124</v>
      </c>
      <c r="N53" s="27" t="s">
        <v>124</v>
      </c>
      <c r="O53" s="27" t="s">
        <v>124</v>
      </c>
      <c r="P53" s="27" t="s">
        <v>124</v>
      </c>
      <c r="Q53" s="27" t="s">
        <v>124</v>
      </c>
      <c r="R53" s="27" t="s">
        <v>124</v>
      </c>
      <c r="S53" s="27" t="s">
        <v>124</v>
      </c>
      <c r="T53" s="27" t="s">
        <v>124</v>
      </c>
      <c r="U53" s="27" t="s">
        <v>124</v>
      </c>
      <c r="V53" s="27" t="s">
        <v>124</v>
      </c>
      <c r="W53" s="27" t="s">
        <v>124</v>
      </c>
      <c r="X53" s="27" t="s">
        <v>124</v>
      </c>
      <c r="Y53" s="27" t="s">
        <v>124</v>
      </c>
      <c r="Z53" s="27" t="s">
        <v>124</v>
      </c>
      <c r="AA53" s="27" t="s">
        <v>124</v>
      </c>
      <c r="AB53" s="27" t="s">
        <v>124</v>
      </c>
      <c r="AC53" s="27" t="s">
        <v>124</v>
      </c>
      <c r="AD53" s="27" t="s">
        <v>124</v>
      </c>
      <c r="AE53" s="27" t="s">
        <v>124</v>
      </c>
      <c r="AF53" s="27" t="s">
        <v>124</v>
      </c>
      <c r="AG53" s="27" t="s">
        <v>124</v>
      </c>
      <c r="AH53" s="27" t="s">
        <v>124</v>
      </c>
      <c r="AI53" s="27" t="s">
        <v>124</v>
      </c>
      <c r="AJ53" s="27" t="s">
        <v>124</v>
      </c>
      <c r="AK53" s="27" t="s">
        <v>124</v>
      </c>
      <c r="AL53" s="27" t="s">
        <v>124</v>
      </c>
      <c r="AM53" s="27" t="s">
        <v>124</v>
      </c>
      <c r="AN53" s="27"/>
      <c r="AO53" s="27"/>
    </row>
    <row r="54" spans="1:41" outlineLevel="3" x14ac:dyDescent="0.25">
      <c r="A54" s="29">
        <v>1</v>
      </c>
      <c r="C54" s="24" t="str">
        <f>"            General Motors North America"</f>
        <v xml:space="preserve">            General Motors North America</v>
      </c>
      <c r="D54" s="40">
        <v>0.79767566375862176</v>
      </c>
      <c r="E54" s="40">
        <v>0.78975384740988697</v>
      </c>
      <c r="F54" s="40">
        <v>0.77505337481874426</v>
      </c>
      <c r="G54" s="40">
        <v>0.77383729233112775</v>
      </c>
      <c r="H54" s="40">
        <v>0.76479517542654618</v>
      </c>
      <c r="I54" s="40">
        <v>0.79843012655512657</v>
      </c>
      <c r="J54" s="30" t="s">
        <v>124</v>
      </c>
      <c r="K54" s="27" t="s">
        <v>124</v>
      </c>
      <c r="L54" s="27" t="s">
        <v>124</v>
      </c>
      <c r="M54" s="27" t="s">
        <v>124</v>
      </c>
      <c r="N54" s="27" t="s">
        <v>124</v>
      </c>
      <c r="O54" s="27" t="s">
        <v>124</v>
      </c>
      <c r="P54" s="27" t="s">
        <v>124</v>
      </c>
      <c r="Q54" s="27" t="s">
        <v>124</v>
      </c>
      <c r="R54" s="27" t="s">
        <v>124</v>
      </c>
      <c r="S54" s="27" t="s">
        <v>124</v>
      </c>
      <c r="T54" s="27" t="s">
        <v>124</v>
      </c>
      <c r="U54" s="27" t="s">
        <v>124</v>
      </c>
      <c r="V54" s="27" t="s">
        <v>124</v>
      </c>
      <c r="W54" s="27" t="s">
        <v>124</v>
      </c>
      <c r="X54" s="27" t="s">
        <v>124</v>
      </c>
      <c r="Y54" s="27" t="s">
        <v>124</v>
      </c>
      <c r="Z54" s="27" t="s">
        <v>124</v>
      </c>
      <c r="AA54" s="27" t="s">
        <v>124</v>
      </c>
      <c r="AB54" s="27" t="s">
        <v>124</v>
      </c>
      <c r="AC54" s="27" t="s">
        <v>124</v>
      </c>
      <c r="AD54" s="27" t="s">
        <v>124</v>
      </c>
      <c r="AE54" s="27" t="s">
        <v>124</v>
      </c>
      <c r="AF54" s="27" t="s">
        <v>124</v>
      </c>
      <c r="AG54" s="27" t="s">
        <v>124</v>
      </c>
      <c r="AH54" s="27" t="s">
        <v>124</v>
      </c>
      <c r="AI54" s="27" t="s">
        <v>124</v>
      </c>
      <c r="AJ54" s="27" t="s">
        <v>124</v>
      </c>
      <c r="AK54" s="27" t="s">
        <v>124</v>
      </c>
      <c r="AL54" s="27" t="s">
        <v>124</v>
      </c>
      <c r="AM54" s="27" t="s">
        <v>124</v>
      </c>
      <c r="AN54" s="27"/>
      <c r="AO54" s="27"/>
    </row>
    <row r="55" spans="1:41" outlineLevel="3" x14ac:dyDescent="0.25">
      <c r="A55" s="29">
        <v>1</v>
      </c>
      <c r="C55" s="24" t="str">
        <f>"            General Motors Financial"</f>
        <v xml:space="preserve">            General Motors Financial</v>
      </c>
      <c r="D55" s="40">
        <v>0.10565808950899185</v>
      </c>
      <c r="E55" s="40">
        <v>0.11291994938155693</v>
      </c>
      <c r="F55" s="40">
        <v>0.1060501176796345</v>
      </c>
      <c r="G55" s="40">
        <v>9.531516705315915E-2</v>
      </c>
      <c r="H55" s="40">
        <v>8.346154902876611E-2</v>
      </c>
      <c r="I55" s="40">
        <v>6.0214232089232086E-2</v>
      </c>
      <c r="J55" s="30" t="s">
        <v>124</v>
      </c>
      <c r="K55" s="27" t="s">
        <v>124</v>
      </c>
      <c r="L55" s="27" t="s">
        <v>124</v>
      </c>
      <c r="M55" s="27" t="s">
        <v>124</v>
      </c>
      <c r="N55" s="27" t="s">
        <v>124</v>
      </c>
      <c r="O55" s="27" t="s">
        <v>124</v>
      </c>
      <c r="P55" s="27" t="s">
        <v>124</v>
      </c>
      <c r="Q55" s="27" t="s">
        <v>124</v>
      </c>
      <c r="R55" s="27" t="s">
        <v>124</v>
      </c>
      <c r="S55" s="27" t="s">
        <v>124</v>
      </c>
      <c r="T55" s="27" t="s">
        <v>124</v>
      </c>
      <c r="U55" s="27" t="s">
        <v>124</v>
      </c>
      <c r="V55" s="27" t="s">
        <v>124</v>
      </c>
      <c r="W55" s="27" t="s">
        <v>124</v>
      </c>
      <c r="X55" s="27" t="s">
        <v>124</v>
      </c>
      <c r="Y55" s="27" t="s">
        <v>124</v>
      </c>
      <c r="Z55" s="27" t="s">
        <v>124</v>
      </c>
      <c r="AA55" s="27" t="s">
        <v>124</v>
      </c>
      <c r="AB55" s="27" t="s">
        <v>124</v>
      </c>
      <c r="AC55" s="27" t="s">
        <v>124</v>
      </c>
      <c r="AD55" s="27" t="s">
        <v>124</v>
      </c>
      <c r="AE55" s="27" t="s">
        <v>124</v>
      </c>
      <c r="AF55" s="27" t="s">
        <v>124</v>
      </c>
      <c r="AG55" s="27" t="s">
        <v>124</v>
      </c>
      <c r="AH55" s="27" t="s">
        <v>124</v>
      </c>
      <c r="AI55" s="27" t="s">
        <v>124</v>
      </c>
      <c r="AJ55" s="27" t="s">
        <v>124</v>
      </c>
      <c r="AK55" s="27" t="s">
        <v>124</v>
      </c>
      <c r="AL55" s="27" t="s">
        <v>124</v>
      </c>
      <c r="AM55" s="27" t="s">
        <v>124</v>
      </c>
      <c r="AN55" s="27"/>
      <c r="AO55" s="27"/>
    </row>
    <row r="56" spans="1:41" outlineLevel="3" x14ac:dyDescent="0.25">
      <c r="A56" s="29">
        <v>1</v>
      </c>
      <c r="C56" s="24" t="str">
        <f>"            General Motors International"</f>
        <v xml:space="preserve">            General Motors International</v>
      </c>
      <c r="D56" s="40">
        <v>9.5839501118075016E-2</v>
      </c>
      <c r="E56" s="40">
        <v>9.4591174429521988E-2</v>
      </c>
      <c r="F56" s="40">
        <v>0.11739545457857575</v>
      </c>
      <c r="G56" s="40">
        <v>0.13021509836857101</v>
      </c>
      <c r="H56" s="40">
        <v>0.15056185949391435</v>
      </c>
      <c r="I56" s="40">
        <v>0.14038368725868725</v>
      </c>
      <c r="J56" s="30" t="s">
        <v>124</v>
      </c>
      <c r="K56" s="27" t="s">
        <v>124</v>
      </c>
      <c r="L56" s="27" t="s">
        <v>124</v>
      </c>
      <c r="M56" s="27" t="s">
        <v>124</v>
      </c>
      <c r="N56" s="27" t="s">
        <v>124</v>
      </c>
      <c r="O56" s="27" t="s">
        <v>124</v>
      </c>
      <c r="P56" s="27" t="s">
        <v>124</v>
      </c>
      <c r="Q56" s="27" t="s">
        <v>124</v>
      </c>
      <c r="R56" s="27" t="s">
        <v>124</v>
      </c>
      <c r="S56" s="27" t="s">
        <v>124</v>
      </c>
      <c r="T56" s="27" t="s">
        <v>124</v>
      </c>
      <c r="U56" s="27" t="s">
        <v>124</v>
      </c>
      <c r="V56" s="27" t="s">
        <v>124</v>
      </c>
      <c r="W56" s="27" t="s">
        <v>124</v>
      </c>
      <c r="X56" s="27" t="s">
        <v>124</v>
      </c>
      <c r="Y56" s="27" t="s">
        <v>124</v>
      </c>
      <c r="Z56" s="27" t="s">
        <v>124</v>
      </c>
      <c r="AA56" s="27" t="s">
        <v>124</v>
      </c>
      <c r="AB56" s="27" t="s">
        <v>124</v>
      </c>
      <c r="AC56" s="27" t="s">
        <v>124</v>
      </c>
      <c r="AD56" s="27" t="s">
        <v>124</v>
      </c>
      <c r="AE56" s="27" t="s">
        <v>124</v>
      </c>
      <c r="AF56" s="27" t="s">
        <v>124</v>
      </c>
      <c r="AG56" s="27" t="s">
        <v>124</v>
      </c>
      <c r="AH56" s="27" t="s">
        <v>124</v>
      </c>
      <c r="AI56" s="27" t="s">
        <v>124</v>
      </c>
      <c r="AJ56" s="27" t="s">
        <v>124</v>
      </c>
      <c r="AK56" s="27" t="s">
        <v>124</v>
      </c>
      <c r="AL56" s="27" t="s">
        <v>124</v>
      </c>
      <c r="AM56" s="27" t="s">
        <v>124</v>
      </c>
      <c r="AN56" s="27"/>
      <c r="AO56" s="27"/>
    </row>
    <row r="57" spans="1:41" outlineLevel="3" x14ac:dyDescent="0.25">
      <c r="A57" s="29">
        <v>1</v>
      </c>
      <c r="C57" s="24" t="str">
        <f>"            Cruise"</f>
        <v xml:space="preserve">            Cruise</v>
      </c>
      <c r="D57" s="40">
        <v>1E-3</v>
      </c>
      <c r="E57" s="40">
        <v>1E-3</v>
      </c>
      <c r="F57" s="40">
        <v>1E-3</v>
      </c>
      <c r="G57" s="40">
        <v>0</v>
      </c>
      <c r="H57" s="40">
        <v>0</v>
      </c>
      <c r="I57" s="40">
        <v>0</v>
      </c>
      <c r="J57" s="30" t="s">
        <v>124</v>
      </c>
      <c r="K57" s="27" t="s">
        <v>124</v>
      </c>
      <c r="L57" s="27" t="s">
        <v>124</v>
      </c>
      <c r="M57" s="27" t="s">
        <v>124</v>
      </c>
      <c r="N57" s="27" t="s">
        <v>124</v>
      </c>
      <c r="O57" s="27" t="s">
        <v>124</v>
      </c>
      <c r="P57" s="27" t="s">
        <v>124</v>
      </c>
      <c r="Q57" s="27" t="s">
        <v>124</v>
      </c>
      <c r="R57" s="27" t="s">
        <v>124</v>
      </c>
      <c r="S57" s="27" t="s">
        <v>124</v>
      </c>
      <c r="T57" s="27" t="s">
        <v>124</v>
      </c>
      <c r="U57" s="27" t="s">
        <v>124</v>
      </c>
      <c r="V57" s="27" t="s">
        <v>124</v>
      </c>
      <c r="W57" s="27" t="s">
        <v>124</v>
      </c>
      <c r="X57" s="27" t="s">
        <v>124</v>
      </c>
      <c r="Y57" s="27" t="s">
        <v>124</v>
      </c>
      <c r="Z57" s="27" t="s">
        <v>124</v>
      </c>
      <c r="AA57" s="27" t="s">
        <v>124</v>
      </c>
      <c r="AB57" s="27" t="s">
        <v>124</v>
      </c>
      <c r="AC57" s="27" t="s">
        <v>124</v>
      </c>
      <c r="AD57" s="27" t="s">
        <v>124</v>
      </c>
      <c r="AE57" s="27" t="s">
        <v>124</v>
      </c>
      <c r="AF57" s="27" t="s">
        <v>124</v>
      </c>
      <c r="AG57" s="27" t="s">
        <v>124</v>
      </c>
      <c r="AH57" s="27" t="s">
        <v>124</v>
      </c>
      <c r="AI57" s="27" t="s">
        <v>124</v>
      </c>
      <c r="AJ57" s="27" t="s">
        <v>124</v>
      </c>
      <c r="AK57" s="27" t="s">
        <v>124</v>
      </c>
      <c r="AL57" s="27" t="s">
        <v>124</v>
      </c>
      <c r="AM57" s="27" t="s">
        <v>124</v>
      </c>
      <c r="AN57" s="27"/>
      <c r="AO57" s="27"/>
    </row>
    <row r="58" spans="1:41" outlineLevel="3" x14ac:dyDescent="0.25">
      <c r="A58" s="29">
        <v>1</v>
      </c>
      <c r="C58" s="24" t="str">
        <f>"            Corporate"</f>
        <v xml:space="preserve">            Corporate</v>
      </c>
      <c r="D58" s="40">
        <v>1E-3</v>
      </c>
      <c r="E58" s="40">
        <v>2.8574927542148018E-3</v>
      </c>
      <c r="F58" s="40">
        <v>1.603066228495231E-3</v>
      </c>
      <c r="G58" s="40">
        <v>1.3804922168800875E-3</v>
      </c>
      <c r="H58" s="40">
        <v>2.3490947056076048E-3</v>
      </c>
      <c r="I58" s="40">
        <v>1E-3</v>
      </c>
      <c r="J58" s="30" t="s">
        <v>124</v>
      </c>
      <c r="K58" s="27" t="s">
        <v>124</v>
      </c>
      <c r="L58" s="27" t="s">
        <v>124</v>
      </c>
      <c r="M58" s="27" t="s">
        <v>124</v>
      </c>
      <c r="N58" s="27" t="s">
        <v>124</v>
      </c>
      <c r="O58" s="27" t="s">
        <v>124</v>
      </c>
      <c r="P58" s="27" t="s">
        <v>124</v>
      </c>
      <c r="Q58" s="27" t="s">
        <v>124</v>
      </c>
      <c r="R58" s="27" t="s">
        <v>124</v>
      </c>
      <c r="S58" s="27" t="s">
        <v>124</v>
      </c>
      <c r="T58" s="27" t="s">
        <v>124</v>
      </c>
      <c r="U58" s="27" t="s">
        <v>124</v>
      </c>
      <c r="V58" s="27" t="s">
        <v>124</v>
      </c>
      <c r="W58" s="27" t="s">
        <v>124</v>
      </c>
      <c r="X58" s="27" t="s">
        <v>124</v>
      </c>
      <c r="Y58" s="27" t="s">
        <v>124</v>
      </c>
      <c r="Z58" s="27" t="s">
        <v>124</v>
      </c>
      <c r="AA58" s="27" t="s">
        <v>124</v>
      </c>
      <c r="AB58" s="27" t="s">
        <v>124</v>
      </c>
      <c r="AC58" s="27" t="s">
        <v>124</v>
      </c>
      <c r="AD58" s="27" t="s">
        <v>124</v>
      </c>
      <c r="AE58" s="27" t="s">
        <v>124</v>
      </c>
      <c r="AF58" s="27" t="s">
        <v>124</v>
      </c>
      <c r="AG58" s="27" t="s">
        <v>124</v>
      </c>
      <c r="AH58" s="27" t="s">
        <v>124</v>
      </c>
      <c r="AI58" s="27" t="s">
        <v>124</v>
      </c>
      <c r="AJ58" s="27" t="s">
        <v>124</v>
      </c>
      <c r="AK58" s="27" t="s">
        <v>124</v>
      </c>
      <c r="AL58" s="27" t="s">
        <v>124</v>
      </c>
      <c r="AM58" s="27" t="s">
        <v>124</v>
      </c>
      <c r="AN58" s="27"/>
      <c r="AO58" s="27"/>
    </row>
    <row r="59" spans="1:41" outlineLevel="3" x14ac:dyDescent="0.25">
      <c r="A59" s="29">
        <v>1</v>
      </c>
      <c r="C59" s="24" t="str">
        <f>"            Eliminations/Reclassifications"</f>
        <v xml:space="preserve">            Eliminations/Reclassifications</v>
      </c>
      <c r="D59" s="40">
        <v>-1E-3</v>
      </c>
      <c r="E59" s="40">
        <v>-1E-3</v>
      </c>
      <c r="F59" s="40">
        <v>-1E-3</v>
      </c>
      <c r="G59" s="40">
        <v>-1E-3</v>
      </c>
      <c r="H59" s="40">
        <v>-1.1676786548341896E-3</v>
      </c>
      <c r="I59" s="40">
        <v>-1E-3</v>
      </c>
      <c r="J59" s="30" t="s">
        <v>124</v>
      </c>
      <c r="K59" s="27" t="s">
        <v>124</v>
      </c>
      <c r="L59" s="27" t="s">
        <v>124</v>
      </c>
      <c r="M59" s="27" t="s">
        <v>124</v>
      </c>
      <c r="N59" s="27" t="s">
        <v>124</v>
      </c>
      <c r="O59" s="27" t="s">
        <v>124</v>
      </c>
      <c r="P59" s="27" t="s">
        <v>124</v>
      </c>
      <c r="Q59" s="27" t="s">
        <v>124</v>
      </c>
      <c r="R59" s="27" t="s">
        <v>124</v>
      </c>
      <c r="S59" s="27" t="s">
        <v>124</v>
      </c>
      <c r="T59" s="27" t="s">
        <v>124</v>
      </c>
      <c r="U59" s="27" t="s">
        <v>124</v>
      </c>
      <c r="V59" s="27" t="s">
        <v>124</v>
      </c>
      <c r="W59" s="27" t="s">
        <v>124</v>
      </c>
      <c r="X59" s="27" t="s">
        <v>124</v>
      </c>
      <c r="Y59" s="27" t="s">
        <v>124</v>
      </c>
      <c r="Z59" s="27" t="s">
        <v>124</v>
      </c>
      <c r="AA59" s="27" t="s">
        <v>124</v>
      </c>
      <c r="AB59" s="27" t="s">
        <v>124</v>
      </c>
      <c r="AC59" s="27" t="s">
        <v>124</v>
      </c>
      <c r="AD59" s="27" t="s">
        <v>124</v>
      </c>
      <c r="AE59" s="27" t="s">
        <v>124</v>
      </c>
      <c r="AF59" s="27" t="s">
        <v>124</v>
      </c>
      <c r="AG59" s="27" t="s">
        <v>124</v>
      </c>
      <c r="AH59" s="27" t="s">
        <v>124</v>
      </c>
      <c r="AI59" s="27" t="s">
        <v>124</v>
      </c>
      <c r="AJ59" s="27" t="s">
        <v>124</v>
      </c>
      <c r="AK59" s="27" t="s">
        <v>124</v>
      </c>
      <c r="AL59" s="27" t="s">
        <v>124</v>
      </c>
      <c r="AM59" s="27" t="s">
        <v>124</v>
      </c>
      <c r="AN59" s="27"/>
      <c r="AO59" s="27"/>
    </row>
    <row r="60" spans="1:41" outlineLevel="2" x14ac:dyDescent="0.25">
      <c r="A60" s="29">
        <v>1</v>
      </c>
      <c r="C60" s="24" t="str">
        <f>IF(SUBTOTAL(109,A60)=A60,"        Assets","        Assets")</f>
        <v xml:space="preserve">        Assets</v>
      </c>
      <c r="D60" s="41" t="str">
        <f>IF(SUBTOTAL(109,A60)=A60,"","")</f>
        <v/>
      </c>
      <c r="E60" s="41" t="str">
        <f>IF(SUBTOTAL(109,A60)=A60,"","")</f>
        <v/>
      </c>
      <c r="F60" s="41" t="str">
        <f>IF(SUBTOTAL(109,A60)=A60,"","")</f>
        <v/>
      </c>
      <c r="G60" s="41" t="str">
        <f>IF(SUBTOTAL(109,A60)=A60,"","")</f>
        <v/>
      </c>
      <c r="H60" s="41" t="str">
        <f>IF(SUBTOTAL(109,A60)=A60,"","")</f>
        <v/>
      </c>
      <c r="I60" s="41" t="str">
        <f>IF(SUBTOTAL(109,A60)=A60,"","")</f>
        <v/>
      </c>
      <c r="J60" s="30" t="s">
        <v>124</v>
      </c>
      <c r="K60" s="27" t="s">
        <v>124</v>
      </c>
      <c r="L60" s="27" t="s">
        <v>124</v>
      </c>
      <c r="M60" s="27" t="s">
        <v>124</v>
      </c>
      <c r="N60" s="27" t="s">
        <v>124</v>
      </c>
      <c r="O60" s="27" t="s">
        <v>124</v>
      </c>
      <c r="P60" s="27" t="s">
        <v>124</v>
      </c>
      <c r="Q60" s="27" t="s">
        <v>124</v>
      </c>
      <c r="R60" s="27" t="s">
        <v>124</v>
      </c>
      <c r="S60" s="27" t="s">
        <v>124</v>
      </c>
      <c r="T60" s="27" t="s">
        <v>124</v>
      </c>
      <c r="U60" s="27" t="s">
        <v>124</v>
      </c>
      <c r="V60" s="27" t="s">
        <v>124</v>
      </c>
      <c r="W60" s="27" t="s">
        <v>124</v>
      </c>
      <c r="X60" s="27" t="s">
        <v>124</v>
      </c>
      <c r="Y60" s="27" t="s">
        <v>124</v>
      </c>
      <c r="Z60" s="27" t="s">
        <v>124</v>
      </c>
      <c r="AA60" s="27" t="s">
        <v>124</v>
      </c>
      <c r="AB60" s="27" t="s">
        <v>124</v>
      </c>
      <c r="AC60" s="27" t="s">
        <v>124</v>
      </c>
      <c r="AD60" s="27" t="s">
        <v>124</v>
      </c>
      <c r="AE60" s="27" t="s">
        <v>124</v>
      </c>
      <c r="AF60" s="27" t="s">
        <v>124</v>
      </c>
      <c r="AG60" s="27" t="s">
        <v>124</v>
      </c>
      <c r="AH60" s="27" t="s">
        <v>124</v>
      </c>
      <c r="AI60" s="27" t="s">
        <v>124</v>
      </c>
      <c r="AJ60" s="27" t="s">
        <v>124</v>
      </c>
      <c r="AK60" s="27" t="s">
        <v>124</v>
      </c>
      <c r="AL60" s="27" t="s">
        <v>124</v>
      </c>
      <c r="AM60" s="27" t="s">
        <v>124</v>
      </c>
      <c r="AN60" s="27"/>
      <c r="AO60" s="27"/>
    </row>
    <row r="61" spans="1:41" outlineLevel="3" x14ac:dyDescent="0.25">
      <c r="A61" s="29">
        <v>1</v>
      </c>
      <c r="C61" s="24" t="str">
        <f>"            General Motors North America"</f>
        <v xml:space="preserve">            General Motors North America</v>
      </c>
      <c r="D61" s="40">
        <v>0.49745012626778579</v>
      </c>
      <c r="E61" s="40">
        <v>0.48528874035902275</v>
      </c>
      <c r="F61" s="40">
        <v>0.47926432991137402</v>
      </c>
      <c r="G61" s="40">
        <v>0.48281641073462978</v>
      </c>
      <c r="H61" s="40">
        <v>0.47003510885627958</v>
      </c>
      <c r="I61" s="40">
        <v>0.46870855699400066</v>
      </c>
      <c r="J61" s="30" t="s">
        <v>124</v>
      </c>
      <c r="K61" s="27" t="s">
        <v>124</v>
      </c>
      <c r="L61" s="27" t="s">
        <v>124</v>
      </c>
      <c r="M61" s="27" t="s">
        <v>124</v>
      </c>
      <c r="N61" s="27" t="s">
        <v>124</v>
      </c>
      <c r="O61" s="27" t="s">
        <v>124</v>
      </c>
      <c r="P61" s="27" t="s">
        <v>124</v>
      </c>
      <c r="Q61" s="27" t="s">
        <v>124</v>
      </c>
      <c r="R61" s="27" t="s">
        <v>124</v>
      </c>
      <c r="S61" s="27" t="s">
        <v>124</v>
      </c>
      <c r="T61" s="27" t="s">
        <v>124</v>
      </c>
      <c r="U61" s="27" t="s">
        <v>124</v>
      </c>
      <c r="V61" s="27" t="s">
        <v>124</v>
      </c>
      <c r="W61" s="27" t="s">
        <v>124</v>
      </c>
      <c r="X61" s="27" t="s">
        <v>124</v>
      </c>
      <c r="Y61" s="27" t="s">
        <v>124</v>
      </c>
      <c r="Z61" s="27" t="s">
        <v>124</v>
      </c>
      <c r="AA61" s="27" t="s">
        <v>124</v>
      </c>
      <c r="AB61" s="27" t="s">
        <v>124</v>
      </c>
      <c r="AC61" s="27" t="s">
        <v>124</v>
      </c>
      <c r="AD61" s="27" t="s">
        <v>124</v>
      </c>
      <c r="AE61" s="27" t="s">
        <v>124</v>
      </c>
      <c r="AF61" s="27" t="s">
        <v>124</v>
      </c>
      <c r="AG61" s="27" t="s">
        <v>124</v>
      </c>
      <c r="AH61" s="27" t="s">
        <v>124</v>
      </c>
      <c r="AI61" s="27" t="s">
        <v>124</v>
      </c>
      <c r="AJ61" s="27" t="s">
        <v>124</v>
      </c>
      <c r="AK61" s="27" t="s">
        <v>124</v>
      </c>
      <c r="AL61" s="27" t="s">
        <v>124</v>
      </c>
      <c r="AM61" s="27" t="s">
        <v>124</v>
      </c>
      <c r="AN61" s="27"/>
      <c r="AO61" s="27"/>
    </row>
    <row r="62" spans="1:41" outlineLevel="3" x14ac:dyDescent="0.25">
      <c r="A62" s="29">
        <v>1</v>
      </c>
      <c r="C62" s="24" t="str">
        <f>"            General Motors Financial"</f>
        <v xml:space="preserve">            General Motors Financial</v>
      </c>
      <c r="D62" s="40">
        <v>0.46260185192752473</v>
      </c>
      <c r="E62" s="40">
        <v>0.48219767511075962</v>
      </c>
      <c r="F62" s="40">
        <v>0.47747076132382027</v>
      </c>
      <c r="G62" s="40">
        <v>0.4836521670280946</v>
      </c>
      <c r="H62" s="40">
        <v>0.4576905337863913</v>
      </c>
      <c r="I62" s="40">
        <v>0.396711624340295</v>
      </c>
      <c r="J62" s="30" t="s">
        <v>124</v>
      </c>
      <c r="K62" s="27" t="s">
        <v>124</v>
      </c>
      <c r="L62" s="27" t="s">
        <v>124</v>
      </c>
      <c r="M62" s="27" t="s">
        <v>124</v>
      </c>
      <c r="N62" s="27" t="s">
        <v>124</v>
      </c>
      <c r="O62" s="27" t="s">
        <v>124</v>
      </c>
      <c r="P62" s="27" t="s">
        <v>124</v>
      </c>
      <c r="Q62" s="27" t="s">
        <v>124</v>
      </c>
      <c r="R62" s="27" t="s">
        <v>124</v>
      </c>
      <c r="S62" s="27" t="s">
        <v>124</v>
      </c>
      <c r="T62" s="27" t="s">
        <v>124</v>
      </c>
      <c r="U62" s="27" t="s">
        <v>124</v>
      </c>
      <c r="V62" s="27" t="s">
        <v>124</v>
      </c>
      <c r="W62" s="27" t="s">
        <v>124</v>
      </c>
      <c r="X62" s="27" t="s">
        <v>124</v>
      </c>
      <c r="Y62" s="27" t="s">
        <v>124</v>
      </c>
      <c r="Z62" s="27" t="s">
        <v>124</v>
      </c>
      <c r="AA62" s="27" t="s">
        <v>124</v>
      </c>
      <c r="AB62" s="27" t="s">
        <v>124</v>
      </c>
      <c r="AC62" s="27" t="s">
        <v>124</v>
      </c>
      <c r="AD62" s="27" t="s">
        <v>124</v>
      </c>
      <c r="AE62" s="27" t="s">
        <v>124</v>
      </c>
      <c r="AF62" s="27" t="s">
        <v>124</v>
      </c>
      <c r="AG62" s="27" t="s">
        <v>124</v>
      </c>
      <c r="AH62" s="27" t="s">
        <v>124</v>
      </c>
      <c r="AI62" s="27" t="s">
        <v>124</v>
      </c>
      <c r="AJ62" s="27" t="s">
        <v>124</v>
      </c>
      <c r="AK62" s="27" t="s">
        <v>124</v>
      </c>
      <c r="AL62" s="27" t="s">
        <v>124</v>
      </c>
      <c r="AM62" s="27" t="s">
        <v>124</v>
      </c>
      <c r="AN62" s="27"/>
      <c r="AO62" s="27"/>
    </row>
    <row r="63" spans="1:41" outlineLevel="3" x14ac:dyDescent="0.25">
      <c r="A63" s="29">
        <v>1</v>
      </c>
      <c r="C63" s="24" t="str">
        <f>"            Corporate"</f>
        <v xml:space="preserve">            Corporate</v>
      </c>
      <c r="D63" s="40">
        <v>0.16546392173849084</v>
      </c>
      <c r="E63" s="40">
        <v>0.16978749457894335</v>
      </c>
      <c r="F63" s="40">
        <v>0.14192872209334451</v>
      </c>
      <c r="G63" s="40">
        <v>0.13941294718460098</v>
      </c>
      <c r="H63" s="40">
        <v>0.14388512909328791</v>
      </c>
      <c r="I63" s="40">
        <v>0.17350805178402273</v>
      </c>
      <c r="J63" s="30" t="s">
        <v>124</v>
      </c>
      <c r="K63" s="27" t="s">
        <v>124</v>
      </c>
      <c r="L63" s="27" t="s">
        <v>124</v>
      </c>
      <c r="M63" s="27" t="s">
        <v>124</v>
      </c>
      <c r="N63" s="27" t="s">
        <v>124</v>
      </c>
      <c r="O63" s="27" t="s">
        <v>124</v>
      </c>
      <c r="P63" s="27" t="s">
        <v>124</v>
      </c>
      <c r="Q63" s="27" t="s">
        <v>124</v>
      </c>
      <c r="R63" s="27" t="s">
        <v>124</v>
      </c>
      <c r="S63" s="27" t="s">
        <v>124</v>
      </c>
      <c r="T63" s="27" t="s">
        <v>124</v>
      </c>
      <c r="U63" s="27" t="s">
        <v>124</v>
      </c>
      <c r="V63" s="27" t="s">
        <v>124</v>
      </c>
      <c r="W63" s="27" t="s">
        <v>124</v>
      </c>
      <c r="X63" s="27" t="s">
        <v>124</v>
      </c>
      <c r="Y63" s="27" t="s">
        <v>124</v>
      </c>
      <c r="Z63" s="27" t="s">
        <v>124</v>
      </c>
      <c r="AA63" s="27" t="s">
        <v>124</v>
      </c>
      <c r="AB63" s="27" t="s">
        <v>124</v>
      </c>
      <c r="AC63" s="27" t="s">
        <v>124</v>
      </c>
      <c r="AD63" s="27" t="s">
        <v>124</v>
      </c>
      <c r="AE63" s="27" t="s">
        <v>124</v>
      </c>
      <c r="AF63" s="27" t="s">
        <v>124</v>
      </c>
      <c r="AG63" s="27" t="s">
        <v>124</v>
      </c>
      <c r="AH63" s="27" t="s">
        <v>124</v>
      </c>
      <c r="AI63" s="27" t="s">
        <v>124</v>
      </c>
      <c r="AJ63" s="27" t="s">
        <v>124</v>
      </c>
      <c r="AK63" s="27" t="s">
        <v>124</v>
      </c>
      <c r="AL63" s="27" t="s">
        <v>124</v>
      </c>
      <c r="AM63" s="27" t="s">
        <v>124</v>
      </c>
      <c r="AN63" s="27"/>
      <c r="AO63" s="27"/>
    </row>
    <row r="64" spans="1:41" outlineLevel="3" x14ac:dyDescent="0.25">
      <c r="A64" s="29">
        <v>1</v>
      </c>
      <c r="C64" s="24" t="str">
        <f>"            General Motors International"</f>
        <v xml:space="preserve">            General Motors International</v>
      </c>
      <c r="D64" s="40">
        <v>9.3479024836750871E-2</v>
      </c>
      <c r="E64" s="40">
        <v>9.7872394703946528E-2</v>
      </c>
      <c r="F64" s="40">
        <v>0.10949538890618628</v>
      </c>
      <c r="G64" s="40">
        <v>0.1095764475079067</v>
      </c>
      <c r="H64" s="40">
        <v>0.13042045914477463</v>
      </c>
      <c r="I64" s="40">
        <v>0.12302314042130903</v>
      </c>
      <c r="J64" s="30" t="s">
        <v>124</v>
      </c>
      <c r="K64" s="27" t="s">
        <v>124</v>
      </c>
      <c r="L64" s="27" t="s">
        <v>124</v>
      </c>
      <c r="M64" s="27" t="s">
        <v>124</v>
      </c>
      <c r="N64" s="27" t="s">
        <v>124</v>
      </c>
      <c r="O64" s="27" t="s">
        <v>124</v>
      </c>
      <c r="P64" s="27" t="s">
        <v>124</v>
      </c>
      <c r="Q64" s="27" t="s">
        <v>124</v>
      </c>
      <c r="R64" s="27" t="s">
        <v>124</v>
      </c>
      <c r="S64" s="27" t="s">
        <v>124</v>
      </c>
      <c r="T64" s="27" t="s">
        <v>124</v>
      </c>
      <c r="U64" s="27" t="s">
        <v>124</v>
      </c>
      <c r="V64" s="27" t="s">
        <v>124</v>
      </c>
      <c r="W64" s="27" t="s">
        <v>124</v>
      </c>
      <c r="X64" s="27" t="s">
        <v>124</v>
      </c>
      <c r="Y64" s="27" t="s">
        <v>124</v>
      </c>
      <c r="Z64" s="27" t="s">
        <v>124</v>
      </c>
      <c r="AA64" s="27" t="s">
        <v>124</v>
      </c>
      <c r="AB64" s="27" t="s">
        <v>124</v>
      </c>
      <c r="AC64" s="27" t="s">
        <v>124</v>
      </c>
      <c r="AD64" s="27" t="s">
        <v>124</v>
      </c>
      <c r="AE64" s="27" t="s">
        <v>124</v>
      </c>
      <c r="AF64" s="27" t="s">
        <v>124</v>
      </c>
      <c r="AG64" s="27" t="s">
        <v>124</v>
      </c>
      <c r="AH64" s="27" t="s">
        <v>124</v>
      </c>
      <c r="AI64" s="27" t="s">
        <v>124</v>
      </c>
      <c r="AJ64" s="27" t="s">
        <v>124</v>
      </c>
      <c r="AK64" s="27" t="s">
        <v>124</v>
      </c>
      <c r="AL64" s="27" t="s">
        <v>124</v>
      </c>
      <c r="AM64" s="27" t="s">
        <v>124</v>
      </c>
      <c r="AN64" s="27"/>
      <c r="AO64" s="27"/>
    </row>
    <row r="65" spans="1:41" outlineLevel="3" x14ac:dyDescent="0.25">
      <c r="A65" s="29">
        <v>1</v>
      </c>
      <c r="C65" s="24" t="str">
        <f>"            Cruise"</f>
        <v xml:space="preserve">            Cruise</v>
      </c>
      <c r="D65" s="40">
        <v>1.8343562794726993E-2</v>
      </c>
      <c r="E65" s="40">
        <v>1.5412808149867769E-2</v>
      </c>
      <c r="F65" s="40">
        <v>1.854962133338011E-2</v>
      </c>
      <c r="G65" s="40">
        <v>1.4053901882211147E-2</v>
      </c>
      <c r="H65" s="40">
        <v>3.1343831477489859E-3</v>
      </c>
      <c r="I65" s="40">
        <v>2.4719202489963464E-3</v>
      </c>
      <c r="J65" s="30" t="s">
        <v>124</v>
      </c>
      <c r="K65" s="27" t="s">
        <v>124</v>
      </c>
      <c r="L65" s="27" t="s">
        <v>124</v>
      </c>
      <c r="M65" s="27" t="s">
        <v>124</v>
      </c>
      <c r="N65" s="27" t="s">
        <v>124</v>
      </c>
      <c r="O65" s="27" t="s">
        <v>124</v>
      </c>
      <c r="P65" s="27" t="s">
        <v>124</v>
      </c>
      <c r="Q65" s="27" t="s">
        <v>124</v>
      </c>
      <c r="R65" s="27" t="s">
        <v>124</v>
      </c>
      <c r="S65" s="27" t="s">
        <v>124</v>
      </c>
      <c r="T65" s="27" t="s">
        <v>124</v>
      </c>
      <c r="U65" s="27" t="s">
        <v>124</v>
      </c>
      <c r="V65" s="27" t="s">
        <v>124</v>
      </c>
      <c r="W65" s="27" t="s">
        <v>124</v>
      </c>
      <c r="X65" s="27" t="s">
        <v>124</v>
      </c>
      <c r="Y65" s="27" t="s">
        <v>124</v>
      </c>
      <c r="Z65" s="27" t="s">
        <v>124</v>
      </c>
      <c r="AA65" s="27" t="s">
        <v>124</v>
      </c>
      <c r="AB65" s="27" t="s">
        <v>124</v>
      </c>
      <c r="AC65" s="27" t="s">
        <v>124</v>
      </c>
      <c r="AD65" s="27" t="s">
        <v>124</v>
      </c>
      <c r="AE65" s="27" t="s">
        <v>124</v>
      </c>
      <c r="AF65" s="27" t="s">
        <v>124</v>
      </c>
      <c r="AG65" s="27" t="s">
        <v>124</v>
      </c>
      <c r="AH65" s="27" t="s">
        <v>124</v>
      </c>
      <c r="AI65" s="27" t="s">
        <v>124</v>
      </c>
      <c r="AJ65" s="27" t="s">
        <v>124</v>
      </c>
      <c r="AK65" s="27" t="s">
        <v>124</v>
      </c>
      <c r="AL65" s="27" t="s">
        <v>124</v>
      </c>
      <c r="AM65" s="27" t="s">
        <v>124</v>
      </c>
      <c r="AN65" s="27"/>
      <c r="AO65" s="27"/>
    </row>
    <row r="66" spans="1:41" outlineLevel="3" x14ac:dyDescent="0.25">
      <c r="A66" s="29">
        <v>1</v>
      </c>
      <c r="C66" s="24" t="str">
        <f>"            Eliminations/Reclassifications"</f>
        <v xml:space="preserve">            Eliminations/Reclassifications</v>
      </c>
      <c r="D66" s="40">
        <v>-4.6788548451687246E-3</v>
      </c>
      <c r="E66" s="40">
        <v>-6.2331522062637652E-3</v>
      </c>
      <c r="F66" s="40">
        <v>-6.3761582550200188E-3</v>
      </c>
      <c r="G66" s="40">
        <v>-6.5408926756957671E-3</v>
      </c>
      <c r="H66" s="40">
        <v>-3.9721011662164326E-3</v>
      </c>
      <c r="I66" s="40">
        <v>-5.9181740267941719E-3</v>
      </c>
      <c r="J66" s="30" t="s">
        <v>124</v>
      </c>
      <c r="K66" s="27" t="s">
        <v>124</v>
      </c>
      <c r="L66" s="27" t="s">
        <v>124</v>
      </c>
      <c r="M66" s="27" t="s">
        <v>124</v>
      </c>
      <c r="N66" s="27" t="s">
        <v>124</v>
      </c>
      <c r="O66" s="27" t="s">
        <v>124</v>
      </c>
      <c r="P66" s="27" t="s">
        <v>124</v>
      </c>
      <c r="Q66" s="27" t="s">
        <v>124</v>
      </c>
      <c r="R66" s="27" t="s">
        <v>124</v>
      </c>
      <c r="S66" s="27" t="s">
        <v>124</v>
      </c>
      <c r="T66" s="27" t="s">
        <v>124</v>
      </c>
      <c r="U66" s="27" t="s">
        <v>124</v>
      </c>
      <c r="V66" s="27" t="s">
        <v>124</v>
      </c>
      <c r="W66" s="27" t="s">
        <v>124</v>
      </c>
      <c r="X66" s="27" t="s">
        <v>124</v>
      </c>
      <c r="Y66" s="27" t="s">
        <v>124</v>
      </c>
      <c r="Z66" s="27" t="s">
        <v>124</v>
      </c>
      <c r="AA66" s="27" t="s">
        <v>124</v>
      </c>
      <c r="AB66" s="27" t="s">
        <v>124</v>
      </c>
      <c r="AC66" s="27" t="s">
        <v>124</v>
      </c>
      <c r="AD66" s="27" t="s">
        <v>124</v>
      </c>
      <c r="AE66" s="27" t="s">
        <v>124</v>
      </c>
      <c r="AF66" s="27" t="s">
        <v>124</v>
      </c>
      <c r="AG66" s="27" t="s">
        <v>124</v>
      </c>
      <c r="AH66" s="27" t="s">
        <v>124</v>
      </c>
      <c r="AI66" s="27" t="s">
        <v>124</v>
      </c>
      <c r="AJ66" s="27" t="s">
        <v>124</v>
      </c>
      <c r="AK66" s="27" t="s">
        <v>124</v>
      </c>
      <c r="AL66" s="27" t="s">
        <v>124</v>
      </c>
      <c r="AM66" s="27" t="s">
        <v>124</v>
      </c>
      <c r="AN66" s="27"/>
      <c r="AO66" s="27"/>
    </row>
    <row r="67" spans="1:41" outlineLevel="3" x14ac:dyDescent="0.25">
      <c r="A67" s="29">
        <v>1</v>
      </c>
      <c r="C67" s="24" t="str">
        <f>"            Eliminations"</f>
        <v xml:space="preserve">            Eliminations</v>
      </c>
      <c r="D67" s="40">
        <v>-0.2326596327201105</v>
      </c>
      <c r="E67" s="40">
        <v>-0.24432596069627627</v>
      </c>
      <c r="F67" s="40">
        <v>-0.22033266531308515</v>
      </c>
      <c r="G67" s="40">
        <v>-0.22297098166174745</v>
      </c>
      <c r="H67" s="40">
        <v>-0.20119351286226597</v>
      </c>
      <c r="I67" s="40">
        <v>-0.15850511976182957</v>
      </c>
      <c r="J67" s="30" t="s">
        <v>124</v>
      </c>
      <c r="K67" s="27" t="s">
        <v>124</v>
      </c>
      <c r="L67" s="27" t="s">
        <v>124</v>
      </c>
      <c r="M67" s="27" t="s">
        <v>124</v>
      </c>
      <c r="N67" s="27" t="s">
        <v>124</v>
      </c>
      <c r="O67" s="27" t="s">
        <v>124</v>
      </c>
      <c r="P67" s="27" t="s">
        <v>124</v>
      </c>
      <c r="Q67" s="27" t="s">
        <v>124</v>
      </c>
      <c r="R67" s="27" t="s">
        <v>124</v>
      </c>
      <c r="S67" s="27" t="s">
        <v>124</v>
      </c>
      <c r="T67" s="27" t="s">
        <v>124</v>
      </c>
      <c r="U67" s="27" t="s">
        <v>124</v>
      </c>
      <c r="V67" s="27" t="s">
        <v>124</v>
      </c>
      <c r="W67" s="27" t="s">
        <v>124</v>
      </c>
      <c r="X67" s="27" t="s">
        <v>124</v>
      </c>
      <c r="Y67" s="27" t="s">
        <v>124</v>
      </c>
      <c r="Z67" s="27" t="s">
        <v>124</v>
      </c>
      <c r="AA67" s="27" t="s">
        <v>124</v>
      </c>
      <c r="AB67" s="27" t="s">
        <v>124</v>
      </c>
      <c r="AC67" s="27" t="s">
        <v>124</v>
      </c>
      <c r="AD67" s="27" t="s">
        <v>124</v>
      </c>
      <c r="AE67" s="27" t="s">
        <v>124</v>
      </c>
      <c r="AF67" s="27" t="s">
        <v>124</v>
      </c>
      <c r="AG67" s="27" t="s">
        <v>124</v>
      </c>
      <c r="AH67" s="27" t="s">
        <v>124</v>
      </c>
      <c r="AI67" s="27" t="s">
        <v>124</v>
      </c>
      <c r="AJ67" s="27" t="s">
        <v>124</v>
      </c>
      <c r="AK67" s="27" t="s">
        <v>124</v>
      </c>
      <c r="AL67" s="27" t="s">
        <v>124</v>
      </c>
      <c r="AM67" s="27" t="s">
        <v>124</v>
      </c>
      <c r="AN67" s="27"/>
      <c r="AO67" s="27"/>
    </row>
    <row r="68" spans="1:41" outlineLevel="3" x14ac:dyDescent="0.25">
      <c r="A68" s="29">
        <v>1</v>
      </c>
      <c r="C68" s="24" t="str">
        <f>"            General Motors International Operations"</f>
        <v xml:space="preserve">            General Motors International Operations</v>
      </c>
      <c r="D68" s="40" t="s">
        <v>124</v>
      </c>
      <c r="E68" s="40" t="s">
        <v>124</v>
      </c>
      <c r="F68" s="40" t="s">
        <v>124</v>
      </c>
      <c r="G68" s="40" t="s">
        <v>124</v>
      </c>
      <c r="H68" s="40" t="s">
        <v>124</v>
      </c>
      <c r="I68" s="40">
        <v>9.1140782173305068E-2</v>
      </c>
      <c r="J68" s="30" t="s">
        <v>124</v>
      </c>
      <c r="K68" s="27" t="s">
        <v>124</v>
      </c>
      <c r="L68" s="27" t="s">
        <v>124</v>
      </c>
      <c r="M68" s="27" t="s">
        <v>124</v>
      </c>
      <c r="N68" s="27" t="s">
        <v>124</v>
      </c>
      <c r="O68" s="27" t="s">
        <v>124</v>
      </c>
      <c r="P68" s="27" t="s">
        <v>124</v>
      </c>
      <c r="Q68" s="27" t="s">
        <v>124</v>
      </c>
      <c r="R68" s="27" t="s">
        <v>124</v>
      </c>
      <c r="S68" s="27" t="s">
        <v>124</v>
      </c>
      <c r="T68" s="27" t="s">
        <v>124</v>
      </c>
      <c r="U68" s="27" t="s">
        <v>124</v>
      </c>
      <c r="V68" s="27" t="s">
        <v>124</v>
      </c>
      <c r="W68" s="27" t="s">
        <v>124</v>
      </c>
      <c r="X68" s="27" t="s">
        <v>124</v>
      </c>
      <c r="Y68" s="27" t="s">
        <v>124</v>
      </c>
      <c r="Z68" s="27" t="s">
        <v>124</v>
      </c>
      <c r="AA68" s="27" t="s">
        <v>124</v>
      </c>
      <c r="AB68" s="27" t="s">
        <v>124</v>
      </c>
      <c r="AC68" s="27" t="s">
        <v>124</v>
      </c>
      <c r="AD68" s="27" t="s">
        <v>124</v>
      </c>
      <c r="AE68" s="27" t="s">
        <v>124</v>
      </c>
      <c r="AF68" s="27" t="s">
        <v>124</v>
      </c>
      <c r="AG68" s="27" t="s">
        <v>124</v>
      </c>
      <c r="AH68" s="27" t="s">
        <v>124</v>
      </c>
      <c r="AI68" s="27" t="s">
        <v>124</v>
      </c>
      <c r="AJ68" s="27" t="s">
        <v>124</v>
      </c>
      <c r="AK68" s="27" t="s">
        <v>124</v>
      </c>
      <c r="AL68" s="27" t="s">
        <v>124</v>
      </c>
      <c r="AM68" s="27" t="s">
        <v>124</v>
      </c>
      <c r="AN68" s="27"/>
      <c r="AO68" s="27"/>
    </row>
    <row r="69" spans="1:41" outlineLevel="3" x14ac:dyDescent="0.25">
      <c r="A69" s="29">
        <v>1</v>
      </c>
      <c r="C69" s="24" t="str">
        <f>"            General Motors Europe"</f>
        <v xml:space="preserve">            General Motors Europe</v>
      </c>
      <c r="D69" s="40" t="s">
        <v>124</v>
      </c>
      <c r="E69" s="40" t="s">
        <v>124</v>
      </c>
      <c r="F69" s="40" t="s">
        <v>124</v>
      </c>
      <c r="G69" s="40" t="s">
        <v>124</v>
      </c>
      <c r="H69" s="40" t="s">
        <v>124</v>
      </c>
      <c r="I69" s="40">
        <v>5.9822274347061215E-2</v>
      </c>
      <c r="J69" s="30" t="s">
        <v>124</v>
      </c>
      <c r="K69" s="27" t="s">
        <v>124</v>
      </c>
      <c r="L69" s="27" t="s">
        <v>124</v>
      </c>
      <c r="M69" s="27" t="s">
        <v>124</v>
      </c>
      <c r="N69" s="27" t="s">
        <v>124</v>
      </c>
      <c r="O69" s="27" t="s">
        <v>124</v>
      </c>
      <c r="P69" s="27" t="s">
        <v>124</v>
      </c>
      <c r="Q69" s="27" t="s">
        <v>124</v>
      </c>
      <c r="R69" s="27" t="s">
        <v>124</v>
      </c>
      <c r="S69" s="27" t="s">
        <v>124</v>
      </c>
      <c r="T69" s="27" t="s">
        <v>124</v>
      </c>
      <c r="U69" s="27" t="s">
        <v>124</v>
      </c>
      <c r="V69" s="27" t="s">
        <v>124</v>
      </c>
      <c r="W69" s="27" t="s">
        <v>124</v>
      </c>
      <c r="X69" s="27" t="s">
        <v>124</v>
      </c>
      <c r="Y69" s="27" t="s">
        <v>124</v>
      </c>
      <c r="Z69" s="27" t="s">
        <v>124</v>
      </c>
      <c r="AA69" s="27" t="s">
        <v>124</v>
      </c>
      <c r="AB69" s="27" t="s">
        <v>124</v>
      </c>
      <c r="AC69" s="27" t="s">
        <v>124</v>
      </c>
      <c r="AD69" s="27" t="s">
        <v>124</v>
      </c>
      <c r="AE69" s="27" t="s">
        <v>124</v>
      </c>
      <c r="AF69" s="27" t="s">
        <v>124</v>
      </c>
      <c r="AG69" s="27" t="s">
        <v>124</v>
      </c>
      <c r="AH69" s="27" t="s">
        <v>124</v>
      </c>
      <c r="AI69" s="27" t="s">
        <v>124</v>
      </c>
      <c r="AJ69" s="27" t="s">
        <v>124</v>
      </c>
      <c r="AK69" s="27" t="s">
        <v>124</v>
      </c>
      <c r="AL69" s="27" t="s">
        <v>124</v>
      </c>
      <c r="AM69" s="27" t="s">
        <v>124</v>
      </c>
      <c r="AN69" s="27"/>
      <c r="AO69" s="27"/>
    </row>
    <row r="70" spans="1:41" outlineLevel="3" x14ac:dyDescent="0.25">
      <c r="A70" s="29">
        <v>1</v>
      </c>
      <c r="C70" s="24" t="str">
        <f>"            General Motors South America"</f>
        <v xml:space="preserve">            General Motors South America</v>
      </c>
      <c r="D70" s="40" t="s">
        <v>124</v>
      </c>
      <c r="E70" s="40" t="s">
        <v>124</v>
      </c>
      <c r="F70" s="40" t="s">
        <v>124</v>
      </c>
      <c r="G70" s="40" t="s">
        <v>124</v>
      </c>
      <c r="H70" s="40" t="s">
        <v>124</v>
      </c>
      <c r="I70" s="40">
        <v>3.355586629978799E-2</v>
      </c>
      <c r="J70" s="30" t="s">
        <v>124</v>
      </c>
      <c r="K70" s="27" t="s">
        <v>124</v>
      </c>
      <c r="L70" s="27" t="s">
        <v>124</v>
      </c>
      <c r="M70" s="27" t="s">
        <v>124</v>
      </c>
      <c r="N70" s="27" t="s">
        <v>124</v>
      </c>
      <c r="O70" s="27" t="s">
        <v>124</v>
      </c>
      <c r="P70" s="27" t="s">
        <v>124</v>
      </c>
      <c r="Q70" s="27" t="s">
        <v>124</v>
      </c>
      <c r="R70" s="27" t="s">
        <v>124</v>
      </c>
      <c r="S70" s="27" t="s">
        <v>124</v>
      </c>
      <c r="T70" s="27" t="s">
        <v>124</v>
      </c>
      <c r="U70" s="27" t="s">
        <v>124</v>
      </c>
      <c r="V70" s="27" t="s">
        <v>124</v>
      </c>
      <c r="W70" s="27" t="s">
        <v>124</v>
      </c>
      <c r="X70" s="27" t="s">
        <v>124</v>
      </c>
      <c r="Y70" s="27" t="s">
        <v>124</v>
      </c>
      <c r="Z70" s="27" t="s">
        <v>124</v>
      </c>
      <c r="AA70" s="27" t="s">
        <v>124</v>
      </c>
      <c r="AB70" s="27" t="s">
        <v>124</v>
      </c>
      <c r="AC70" s="27" t="s">
        <v>124</v>
      </c>
      <c r="AD70" s="27" t="s">
        <v>124</v>
      </c>
      <c r="AE70" s="27" t="s">
        <v>124</v>
      </c>
      <c r="AF70" s="27" t="s">
        <v>124</v>
      </c>
      <c r="AG70" s="27" t="s">
        <v>124</v>
      </c>
      <c r="AH70" s="27" t="s">
        <v>124</v>
      </c>
      <c r="AI70" s="27" t="s">
        <v>124</v>
      </c>
      <c r="AJ70" s="27" t="s">
        <v>124</v>
      </c>
      <c r="AK70" s="27" t="s">
        <v>124</v>
      </c>
      <c r="AL70" s="27" t="s">
        <v>124</v>
      </c>
      <c r="AM70" s="27" t="s">
        <v>124</v>
      </c>
      <c r="AN70" s="27"/>
      <c r="AO70" s="27"/>
    </row>
    <row r="71" spans="1:41" outlineLevel="1" x14ac:dyDescent="0.25">
      <c r="A71" s="29">
        <v>1</v>
      </c>
      <c r="C71" s="24" t="str">
        <f>"    Region"</f>
        <v xml:space="preserve">    Region</v>
      </c>
      <c r="D71" s="41" t="s">
        <v>124</v>
      </c>
      <c r="E71" s="41" t="s">
        <v>124</v>
      </c>
      <c r="F71" s="41" t="s">
        <v>124</v>
      </c>
      <c r="G71" s="41" t="s">
        <v>124</v>
      </c>
      <c r="H71" s="41" t="s">
        <v>124</v>
      </c>
      <c r="I71" s="41" t="s">
        <v>124</v>
      </c>
      <c r="J71" s="30" t="s">
        <v>124</v>
      </c>
      <c r="K71" s="27" t="s">
        <v>124</v>
      </c>
      <c r="L71" s="27" t="s">
        <v>124</v>
      </c>
      <c r="M71" s="27" t="s">
        <v>124</v>
      </c>
      <c r="N71" s="27" t="s">
        <v>124</v>
      </c>
      <c r="O71" s="27" t="s">
        <v>124</v>
      </c>
      <c r="P71" s="27" t="s">
        <v>124</v>
      </c>
      <c r="Q71" s="27" t="s">
        <v>124</v>
      </c>
      <c r="R71" s="27" t="s">
        <v>124</v>
      </c>
      <c r="S71" s="27" t="s">
        <v>124</v>
      </c>
      <c r="T71" s="27" t="s">
        <v>124</v>
      </c>
      <c r="U71" s="27" t="s">
        <v>124</v>
      </c>
      <c r="V71" s="27" t="s">
        <v>124</v>
      </c>
      <c r="W71" s="27" t="s">
        <v>124</v>
      </c>
      <c r="X71" s="27" t="s">
        <v>124</v>
      </c>
      <c r="Y71" s="27" t="s">
        <v>124</v>
      </c>
      <c r="Z71" s="27" t="s">
        <v>124</v>
      </c>
      <c r="AA71" s="27" t="s">
        <v>124</v>
      </c>
      <c r="AB71" s="27" t="s">
        <v>124</v>
      </c>
      <c r="AC71" s="27" t="s">
        <v>124</v>
      </c>
      <c r="AD71" s="27" t="s">
        <v>124</v>
      </c>
      <c r="AE71" s="27" t="s">
        <v>124</v>
      </c>
      <c r="AF71" s="27" t="s">
        <v>124</v>
      </c>
      <c r="AG71" s="27" t="s">
        <v>124</v>
      </c>
      <c r="AH71" s="27" t="s">
        <v>124</v>
      </c>
      <c r="AI71" s="27" t="s">
        <v>124</v>
      </c>
      <c r="AJ71" s="27" t="s">
        <v>124</v>
      </c>
      <c r="AK71" s="27" t="s">
        <v>124</v>
      </c>
      <c r="AL71" s="27" t="s">
        <v>124</v>
      </c>
      <c r="AM71" s="27" t="s">
        <v>124</v>
      </c>
      <c r="AN71" s="27"/>
      <c r="AO71" s="27"/>
    </row>
    <row r="72" spans="1:41" outlineLevel="2" x14ac:dyDescent="0.25">
      <c r="A72" s="29">
        <v>1</v>
      </c>
      <c r="C72" s="24" t="str">
        <f>IF(SUBTOTAL(109,A72)=A72,"        Revenue","        Revenue")</f>
        <v xml:space="preserve">        Revenue</v>
      </c>
      <c r="D72" s="41" t="str">
        <f>IF(SUBTOTAL(109,A72)=A72,"","")</f>
        <v/>
      </c>
      <c r="E72" s="41" t="str">
        <f>IF(SUBTOTAL(109,A72)=A72,"","")</f>
        <v/>
      </c>
      <c r="F72" s="41" t="str">
        <f>IF(SUBTOTAL(109,A72)=A72,"","")</f>
        <v/>
      </c>
      <c r="G72" s="41" t="str">
        <f>IF(SUBTOTAL(109,A72)=A72,"","")</f>
        <v/>
      </c>
      <c r="H72" s="41" t="str">
        <f>IF(SUBTOTAL(109,A72)=A72,"","")</f>
        <v/>
      </c>
      <c r="I72" s="41" t="str">
        <f>IF(SUBTOTAL(109,A72)=A72,"","")</f>
        <v/>
      </c>
      <c r="J72" s="30" t="s">
        <v>124</v>
      </c>
      <c r="K72" s="27" t="s">
        <v>124</v>
      </c>
      <c r="L72" s="27" t="s">
        <v>124</v>
      </c>
      <c r="M72" s="27" t="s">
        <v>124</v>
      </c>
      <c r="N72" s="27" t="s">
        <v>124</v>
      </c>
      <c r="O72" s="27" t="s">
        <v>124</v>
      </c>
      <c r="P72" s="27" t="s">
        <v>124</v>
      </c>
      <c r="Q72" s="27" t="s">
        <v>124</v>
      </c>
      <c r="R72" s="27" t="s">
        <v>124</v>
      </c>
      <c r="S72" s="27" t="s">
        <v>124</v>
      </c>
      <c r="T72" s="27" t="s">
        <v>124</v>
      </c>
      <c r="U72" s="27" t="s">
        <v>124</v>
      </c>
      <c r="V72" s="27" t="s">
        <v>124</v>
      </c>
      <c r="W72" s="27" t="s">
        <v>124</v>
      </c>
      <c r="X72" s="27" t="s">
        <v>124</v>
      </c>
      <c r="Y72" s="27" t="s">
        <v>124</v>
      </c>
      <c r="Z72" s="27" t="s">
        <v>124</v>
      </c>
      <c r="AA72" s="27" t="s">
        <v>124</v>
      </c>
      <c r="AB72" s="27" t="s">
        <v>124</v>
      </c>
      <c r="AC72" s="27" t="s">
        <v>124</v>
      </c>
      <c r="AD72" s="27" t="s">
        <v>124</v>
      </c>
      <c r="AE72" s="27" t="s">
        <v>124</v>
      </c>
      <c r="AF72" s="27" t="s">
        <v>124</v>
      </c>
      <c r="AG72" s="27" t="s">
        <v>124</v>
      </c>
      <c r="AH72" s="27" t="s">
        <v>124</v>
      </c>
      <c r="AI72" s="27" t="s">
        <v>124</v>
      </c>
      <c r="AJ72" s="27" t="s">
        <v>124</v>
      </c>
      <c r="AK72" s="27" t="s">
        <v>124</v>
      </c>
      <c r="AL72" s="27" t="s">
        <v>124</v>
      </c>
      <c r="AM72" s="27" t="s">
        <v>124</v>
      </c>
      <c r="AN72" s="27"/>
      <c r="AO72" s="27"/>
    </row>
    <row r="73" spans="1:41" outlineLevel="3" x14ac:dyDescent="0.25">
      <c r="A73" s="29">
        <v>1</v>
      </c>
      <c r="C73" s="123" t="str">
        <f>"            Automotive US"</f>
        <v xml:space="preserve">            Automotive US</v>
      </c>
      <c r="D73" s="127">
        <v>0.73045730843123047</v>
      </c>
      <c r="E73" s="127">
        <v>0.72828509613422054</v>
      </c>
      <c r="F73" s="127">
        <v>0.71326974503960305</v>
      </c>
      <c r="G73" s="127">
        <v>0.71005583172955955</v>
      </c>
      <c r="H73" s="127">
        <v>0.69149929939280708</v>
      </c>
      <c r="I73" s="127" t="s">
        <v>124</v>
      </c>
      <c r="J73" s="30" t="s">
        <v>124</v>
      </c>
      <c r="K73" s="27" t="s">
        <v>124</v>
      </c>
      <c r="L73" s="27" t="s">
        <v>124</v>
      </c>
      <c r="M73" s="27" t="s">
        <v>124</v>
      </c>
      <c r="N73" s="27" t="s">
        <v>124</v>
      </c>
      <c r="O73" s="27" t="s">
        <v>124</v>
      </c>
      <c r="P73" s="27" t="s">
        <v>124</v>
      </c>
      <c r="Q73" s="27" t="s">
        <v>124</v>
      </c>
      <c r="R73" s="27" t="s">
        <v>124</v>
      </c>
      <c r="S73" s="27" t="s">
        <v>124</v>
      </c>
      <c r="T73" s="27" t="s">
        <v>124</v>
      </c>
      <c r="U73" s="27" t="s">
        <v>124</v>
      </c>
      <c r="V73" s="27" t="s">
        <v>124</v>
      </c>
      <c r="W73" s="27" t="s">
        <v>124</v>
      </c>
      <c r="X73" s="27" t="s">
        <v>124</v>
      </c>
      <c r="Y73" s="27" t="s">
        <v>124</v>
      </c>
      <c r="Z73" s="27" t="s">
        <v>124</v>
      </c>
      <c r="AA73" s="27" t="s">
        <v>124</v>
      </c>
      <c r="AB73" s="27" t="s">
        <v>124</v>
      </c>
      <c r="AC73" s="27" t="s">
        <v>124</v>
      </c>
      <c r="AD73" s="27" t="s">
        <v>124</v>
      </c>
      <c r="AE73" s="27" t="s">
        <v>124</v>
      </c>
      <c r="AF73" s="27" t="s">
        <v>124</v>
      </c>
      <c r="AG73" s="27" t="s">
        <v>124</v>
      </c>
      <c r="AH73" s="27" t="s">
        <v>124</v>
      </c>
      <c r="AI73" s="27" t="s">
        <v>124</v>
      </c>
      <c r="AJ73" s="27" t="s">
        <v>124</v>
      </c>
      <c r="AK73" s="27" t="s">
        <v>124</v>
      </c>
      <c r="AL73" s="27" t="s">
        <v>124</v>
      </c>
      <c r="AM73" s="27" t="s">
        <v>124</v>
      </c>
      <c r="AN73" s="27"/>
      <c r="AO73" s="27"/>
    </row>
    <row r="74" spans="1:41" outlineLevel="3" x14ac:dyDescent="0.25">
      <c r="A74" s="29">
        <v>1</v>
      </c>
      <c r="C74" s="123" t="str">
        <f>"            Automotive Non-US"</f>
        <v xml:space="preserve">            Automotive Non-US</v>
      </c>
      <c r="D74" s="127">
        <v>0.16392397089855437</v>
      </c>
      <c r="E74" s="127">
        <v>0.15895007551945137</v>
      </c>
      <c r="F74" s="127">
        <v>0.18078215058621216</v>
      </c>
      <c r="G74" s="127">
        <v>0.19471060666852547</v>
      </c>
      <c r="H74" s="127">
        <v>0.22512157595406215</v>
      </c>
      <c r="I74" s="127" t="s">
        <v>124</v>
      </c>
      <c r="J74" s="30" t="s">
        <v>124</v>
      </c>
      <c r="K74" s="27" t="s">
        <v>124</v>
      </c>
      <c r="L74" s="27" t="s">
        <v>124</v>
      </c>
      <c r="M74" s="27" t="s">
        <v>124</v>
      </c>
      <c r="N74" s="27" t="s">
        <v>124</v>
      </c>
      <c r="O74" s="27" t="s">
        <v>124</v>
      </c>
      <c r="P74" s="27" t="s">
        <v>124</v>
      </c>
      <c r="Q74" s="27" t="s">
        <v>124</v>
      </c>
      <c r="R74" s="27" t="s">
        <v>124</v>
      </c>
      <c r="S74" s="27" t="s">
        <v>124</v>
      </c>
      <c r="T74" s="27" t="s">
        <v>124</v>
      </c>
      <c r="U74" s="27" t="s">
        <v>124</v>
      </c>
      <c r="V74" s="27" t="s">
        <v>124</v>
      </c>
      <c r="W74" s="27" t="s">
        <v>124</v>
      </c>
      <c r="X74" s="27" t="s">
        <v>124</v>
      </c>
      <c r="Y74" s="27" t="s">
        <v>124</v>
      </c>
      <c r="Z74" s="27" t="s">
        <v>124</v>
      </c>
      <c r="AA74" s="27" t="s">
        <v>124</v>
      </c>
      <c r="AB74" s="27" t="s">
        <v>124</v>
      </c>
      <c r="AC74" s="27" t="s">
        <v>124</v>
      </c>
      <c r="AD74" s="27" t="s">
        <v>124</v>
      </c>
      <c r="AE74" s="27" t="s">
        <v>124</v>
      </c>
      <c r="AF74" s="27" t="s">
        <v>124</v>
      </c>
      <c r="AG74" s="27" t="s">
        <v>124</v>
      </c>
      <c r="AH74" s="27" t="s">
        <v>124</v>
      </c>
      <c r="AI74" s="27" t="s">
        <v>124</v>
      </c>
      <c r="AJ74" s="27" t="s">
        <v>124</v>
      </c>
      <c r="AK74" s="27" t="s">
        <v>124</v>
      </c>
      <c r="AL74" s="27" t="s">
        <v>124</v>
      </c>
      <c r="AM74" s="27" t="s">
        <v>124</v>
      </c>
      <c r="AN74" s="27"/>
      <c r="AO74" s="27"/>
    </row>
    <row r="75" spans="1:41" outlineLevel="3" x14ac:dyDescent="0.25">
      <c r="A75" s="29">
        <v>1</v>
      </c>
      <c r="C75" s="123" t="str">
        <f>"            General Motors Financial US"</f>
        <v xml:space="preserve">            General Motors Financial US</v>
      </c>
      <c r="D75" s="127">
        <v>9.2217567950615725E-2</v>
      </c>
      <c r="E75" s="127">
        <v>9.9824468302241093E-2</v>
      </c>
      <c r="F75" s="127">
        <v>9.2737381318449108E-2</v>
      </c>
      <c r="G75" s="127">
        <v>8.2754728015831461E-2</v>
      </c>
      <c r="H75" s="127">
        <v>7.2045773003269503E-2</v>
      </c>
      <c r="I75" s="127" t="s">
        <v>124</v>
      </c>
      <c r="J75" s="30" t="s">
        <v>124</v>
      </c>
      <c r="K75" s="27" t="s">
        <v>124</v>
      </c>
      <c r="L75" s="27" t="s">
        <v>124</v>
      </c>
      <c r="M75" s="27" t="s">
        <v>124</v>
      </c>
      <c r="N75" s="27" t="s">
        <v>124</v>
      </c>
      <c r="O75" s="27" t="s">
        <v>124</v>
      </c>
      <c r="P75" s="27" t="s">
        <v>124</v>
      </c>
      <c r="Q75" s="27" t="s">
        <v>124</v>
      </c>
      <c r="R75" s="27" t="s">
        <v>124</v>
      </c>
      <c r="S75" s="27" t="s">
        <v>124</v>
      </c>
      <c r="T75" s="27" t="s">
        <v>124</v>
      </c>
      <c r="U75" s="27" t="s">
        <v>124</v>
      </c>
      <c r="V75" s="27" t="s">
        <v>124</v>
      </c>
      <c r="W75" s="27" t="s">
        <v>124</v>
      </c>
      <c r="X75" s="27" t="s">
        <v>124</v>
      </c>
      <c r="Y75" s="27" t="s">
        <v>124</v>
      </c>
      <c r="Z75" s="27" t="s">
        <v>124</v>
      </c>
      <c r="AA75" s="27" t="s">
        <v>124</v>
      </c>
      <c r="AB75" s="27" t="s">
        <v>124</v>
      </c>
      <c r="AC75" s="27" t="s">
        <v>124</v>
      </c>
      <c r="AD75" s="27" t="s">
        <v>124</v>
      </c>
      <c r="AE75" s="27" t="s">
        <v>124</v>
      </c>
      <c r="AF75" s="27" t="s">
        <v>124</v>
      </c>
      <c r="AG75" s="27" t="s">
        <v>124</v>
      </c>
      <c r="AH75" s="27" t="s">
        <v>124</v>
      </c>
      <c r="AI75" s="27" t="s">
        <v>124</v>
      </c>
      <c r="AJ75" s="27" t="s">
        <v>124</v>
      </c>
      <c r="AK75" s="27" t="s">
        <v>124</v>
      </c>
      <c r="AL75" s="27" t="s">
        <v>124</v>
      </c>
      <c r="AM75" s="27" t="s">
        <v>124</v>
      </c>
      <c r="AN75" s="27"/>
      <c r="AO75" s="27"/>
    </row>
    <row r="76" spans="1:41" outlineLevel="3" x14ac:dyDescent="0.25">
      <c r="A76" s="29">
        <v>1</v>
      </c>
      <c r="C76" s="123" t="str">
        <f>"            General Motors Financial Non-US"</f>
        <v xml:space="preserve">            General Motors Financial Non-US</v>
      </c>
      <c r="D76" s="127">
        <v>1.3401152719599383E-2</v>
      </c>
      <c r="E76" s="127">
        <v>1.2940360044087031E-2</v>
      </c>
      <c r="F76" s="127">
        <v>1.3210723055735698E-2</v>
      </c>
      <c r="G76" s="127">
        <v>1.247883358608355E-2</v>
      </c>
      <c r="H76" s="127">
        <v>1.1333351649861252E-2</v>
      </c>
      <c r="I76" s="127" t="s">
        <v>124</v>
      </c>
      <c r="J76" s="30" t="s">
        <v>124</v>
      </c>
      <c r="K76" s="27" t="s">
        <v>124</v>
      </c>
      <c r="L76" s="27" t="s">
        <v>124</v>
      </c>
      <c r="M76" s="27" t="s">
        <v>124</v>
      </c>
      <c r="N76" s="27" t="s">
        <v>124</v>
      </c>
      <c r="O76" s="27" t="s">
        <v>124</v>
      </c>
      <c r="P76" s="27" t="s">
        <v>124</v>
      </c>
      <c r="Q76" s="27" t="s">
        <v>124</v>
      </c>
      <c r="R76" s="27" t="s">
        <v>124</v>
      </c>
      <c r="S76" s="27" t="s">
        <v>124</v>
      </c>
      <c r="T76" s="27" t="s">
        <v>124</v>
      </c>
      <c r="U76" s="27" t="s">
        <v>124</v>
      </c>
      <c r="V76" s="27" t="s">
        <v>124</v>
      </c>
      <c r="W76" s="27" t="s">
        <v>124</v>
      </c>
      <c r="X76" s="27" t="s">
        <v>124</v>
      </c>
      <c r="Y76" s="27" t="s">
        <v>124</v>
      </c>
      <c r="Z76" s="27" t="s">
        <v>124</v>
      </c>
      <c r="AA76" s="27" t="s">
        <v>124</v>
      </c>
      <c r="AB76" s="27" t="s">
        <v>124</v>
      </c>
      <c r="AC76" s="27" t="s">
        <v>124</v>
      </c>
      <c r="AD76" s="27" t="s">
        <v>124</v>
      </c>
      <c r="AE76" s="27" t="s">
        <v>124</v>
      </c>
      <c r="AF76" s="27" t="s">
        <v>124</v>
      </c>
      <c r="AG76" s="27" t="s">
        <v>124</v>
      </c>
      <c r="AH76" s="27" t="s">
        <v>124</v>
      </c>
      <c r="AI76" s="27" t="s">
        <v>124</v>
      </c>
      <c r="AJ76" s="27" t="s">
        <v>124</v>
      </c>
      <c r="AK76" s="27" t="s">
        <v>124</v>
      </c>
      <c r="AL76" s="27" t="s">
        <v>124</v>
      </c>
      <c r="AM76" s="27" t="s">
        <v>124</v>
      </c>
      <c r="AN76" s="27"/>
      <c r="AO76" s="27"/>
    </row>
    <row r="77" spans="1:41" outlineLevel="1" x14ac:dyDescent="0.25">
      <c r="A77" s="29">
        <v>1</v>
      </c>
      <c r="C77" s="24" t="str">
        <f>"    Other"</f>
        <v xml:space="preserve">    Other</v>
      </c>
      <c r="D77" s="41" t="s">
        <v>124</v>
      </c>
      <c r="E77" s="41" t="s">
        <v>124</v>
      </c>
      <c r="F77" s="41" t="s">
        <v>124</v>
      </c>
      <c r="G77" s="41" t="s">
        <v>124</v>
      </c>
      <c r="H77" s="41" t="s">
        <v>124</v>
      </c>
      <c r="I77" s="41" t="s">
        <v>124</v>
      </c>
      <c r="J77" s="30" t="s">
        <v>124</v>
      </c>
      <c r="K77" s="27" t="s">
        <v>124</v>
      </c>
      <c r="L77" s="27" t="s">
        <v>124</v>
      </c>
      <c r="M77" s="27" t="s">
        <v>124</v>
      </c>
      <c r="N77" s="27" t="s">
        <v>124</v>
      </c>
      <c r="O77" s="27" t="s">
        <v>124</v>
      </c>
      <c r="P77" s="27" t="s">
        <v>124</v>
      </c>
      <c r="Q77" s="27" t="s">
        <v>124</v>
      </c>
      <c r="R77" s="27" t="s">
        <v>124</v>
      </c>
      <c r="S77" s="27" t="s">
        <v>124</v>
      </c>
      <c r="T77" s="27" t="s">
        <v>124</v>
      </c>
      <c r="U77" s="27" t="s">
        <v>124</v>
      </c>
      <c r="V77" s="27" t="s">
        <v>124</v>
      </c>
      <c r="W77" s="27" t="s">
        <v>124</v>
      </c>
      <c r="X77" s="27" t="s">
        <v>124</v>
      </c>
      <c r="Y77" s="27" t="s">
        <v>124</v>
      </c>
      <c r="Z77" s="27" t="s">
        <v>124</v>
      </c>
      <c r="AA77" s="27" t="s">
        <v>124</v>
      </c>
      <c r="AB77" s="27" t="s">
        <v>124</v>
      </c>
      <c r="AC77" s="27" t="s">
        <v>124</v>
      </c>
      <c r="AD77" s="27" t="s">
        <v>124</v>
      </c>
      <c r="AE77" s="27" t="s">
        <v>124</v>
      </c>
      <c r="AF77" s="27" t="s">
        <v>124</v>
      </c>
      <c r="AG77" s="27" t="s">
        <v>124</v>
      </c>
      <c r="AH77" s="27" t="s">
        <v>124</v>
      </c>
      <c r="AI77" s="27" t="s">
        <v>124</v>
      </c>
      <c r="AJ77" s="27" t="s">
        <v>124</v>
      </c>
      <c r="AK77" s="27" t="s">
        <v>124</v>
      </c>
      <c r="AL77" s="27" t="s">
        <v>124</v>
      </c>
      <c r="AM77" s="27" t="s">
        <v>124</v>
      </c>
      <c r="AN77" s="27"/>
      <c r="AO77" s="27"/>
    </row>
    <row r="78" spans="1:41" outlineLevel="2" x14ac:dyDescent="0.25">
      <c r="A78" s="29">
        <v>1</v>
      </c>
      <c r="C78" s="24" t="str">
        <f>IF(SUBTOTAL(109,A78)=A78,"        Revenue","        Revenue")</f>
        <v xml:space="preserve">        Revenue</v>
      </c>
      <c r="D78" s="41" t="str">
        <f>IF(SUBTOTAL(109,A78)=A78,"","")</f>
        <v/>
      </c>
      <c r="E78" s="41" t="str">
        <f>IF(SUBTOTAL(109,A78)=A78,"","")</f>
        <v/>
      </c>
      <c r="F78" s="41" t="str">
        <f>IF(SUBTOTAL(109,A78)=A78,"","")</f>
        <v/>
      </c>
      <c r="G78" s="41" t="str">
        <f>IF(SUBTOTAL(109,A78)=A78,"","")</f>
        <v/>
      </c>
      <c r="H78" s="41" t="str">
        <f>IF(SUBTOTAL(109,A78)=A78,"","")</f>
        <v/>
      </c>
      <c r="I78" s="41" t="str">
        <f>IF(SUBTOTAL(109,A78)=A78,"","")</f>
        <v/>
      </c>
      <c r="J78" s="30" t="s">
        <v>124</v>
      </c>
      <c r="K78" s="27" t="s">
        <v>124</v>
      </c>
      <c r="L78" s="27" t="s">
        <v>124</v>
      </c>
      <c r="M78" s="27" t="s">
        <v>124</v>
      </c>
      <c r="N78" s="27" t="s">
        <v>124</v>
      </c>
      <c r="O78" s="27" t="s">
        <v>124</v>
      </c>
      <c r="P78" s="27" t="s">
        <v>124</v>
      </c>
      <c r="Q78" s="27" t="s">
        <v>124</v>
      </c>
      <c r="R78" s="27" t="s">
        <v>124</v>
      </c>
      <c r="S78" s="27" t="s">
        <v>124</v>
      </c>
      <c r="T78" s="27" t="s">
        <v>124</v>
      </c>
      <c r="U78" s="27" t="s">
        <v>124</v>
      </c>
      <c r="V78" s="27" t="s">
        <v>124</v>
      </c>
      <c r="W78" s="27" t="s">
        <v>124</v>
      </c>
      <c r="X78" s="27" t="s">
        <v>124</v>
      </c>
      <c r="Y78" s="27" t="s">
        <v>124</v>
      </c>
      <c r="Z78" s="27" t="s">
        <v>124</v>
      </c>
      <c r="AA78" s="27" t="s">
        <v>124</v>
      </c>
      <c r="AB78" s="27" t="s">
        <v>124</v>
      </c>
      <c r="AC78" s="27" t="s">
        <v>124</v>
      </c>
      <c r="AD78" s="27" t="s">
        <v>124</v>
      </c>
      <c r="AE78" s="27" t="s">
        <v>124</v>
      </c>
      <c r="AF78" s="27" t="s">
        <v>124</v>
      </c>
      <c r="AG78" s="27" t="s">
        <v>124</v>
      </c>
      <c r="AH78" s="27" t="s">
        <v>124</v>
      </c>
      <c r="AI78" s="27" t="s">
        <v>124</v>
      </c>
      <c r="AJ78" s="27" t="s">
        <v>124</v>
      </c>
      <c r="AK78" s="27" t="s">
        <v>124</v>
      </c>
      <c r="AL78" s="27" t="s">
        <v>124</v>
      </c>
      <c r="AM78" s="27" t="s">
        <v>124</v>
      </c>
      <c r="AN78" s="27"/>
      <c r="AO78" s="27"/>
    </row>
    <row r="79" spans="1:41" outlineLevel="3" x14ac:dyDescent="0.25">
      <c r="A79" s="29">
        <v>1</v>
      </c>
      <c r="C79" s="24" t="str">
        <f>"            Automotive net sales and revenue"</f>
        <v xml:space="preserve">            Automotive net sales and revenue</v>
      </c>
      <c r="D79" s="40">
        <v>0.89438127932978484</v>
      </c>
      <c r="E79" s="40">
        <v>0.88723517165367183</v>
      </c>
      <c r="F79" s="40">
        <v>0.89405189562581522</v>
      </c>
      <c r="G79" s="40">
        <v>0.90476643839808502</v>
      </c>
      <c r="H79" s="40" t="s">
        <v>124</v>
      </c>
      <c r="I79" s="40" t="s">
        <v>124</v>
      </c>
      <c r="J79" s="30" t="s">
        <v>124</v>
      </c>
      <c r="K79" s="27" t="s">
        <v>124</v>
      </c>
      <c r="L79" s="27" t="s">
        <v>124</v>
      </c>
      <c r="M79" s="27" t="s">
        <v>124</v>
      </c>
      <c r="N79" s="27" t="s">
        <v>124</v>
      </c>
      <c r="O79" s="27" t="s">
        <v>124</v>
      </c>
      <c r="P79" s="27" t="s">
        <v>124</v>
      </c>
      <c r="Q79" s="27" t="s">
        <v>124</v>
      </c>
      <c r="R79" s="27" t="s">
        <v>124</v>
      </c>
      <c r="S79" s="27" t="s">
        <v>124</v>
      </c>
      <c r="T79" s="27" t="s">
        <v>124</v>
      </c>
      <c r="U79" s="27" t="s">
        <v>124</v>
      </c>
      <c r="V79" s="27" t="s">
        <v>124</v>
      </c>
      <c r="W79" s="27" t="s">
        <v>124</v>
      </c>
      <c r="X79" s="27" t="s">
        <v>124</v>
      </c>
      <c r="Y79" s="27" t="s">
        <v>124</v>
      </c>
      <c r="Z79" s="27" t="s">
        <v>124</v>
      </c>
      <c r="AA79" s="27" t="s">
        <v>124</v>
      </c>
      <c r="AB79" s="27" t="s">
        <v>124</v>
      </c>
      <c r="AC79" s="27" t="s">
        <v>124</v>
      </c>
      <c r="AD79" s="27" t="s">
        <v>124</v>
      </c>
      <c r="AE79" s="27" t="s">
        <v>124</v>
      </c>
      <c r="AF79" s="27" t="s">
        <v>124</v>
      </c>
      <c r="AG79" s="27" t="s">
        <v>124</v>
      </c>
      <c r="AH79" s="27" t="s">
        <v>124</v>
      </c>
      <c r="AI79" s="27" t="s">
        <v>124</v>
      </c>
      <c r="AJ79" s="27" t="s">
        <v>124</v>
      </c>
      <c r="AK79" s="27" t="s">
        <v>124</v>
      </c>
      <c r="AL79" s="27" t="s">
        <v>124</v>
      </c>
      <c r="AM79" s="27" t="s">
        <v>124</v>
      </c>
      <c r="AN79" s="27"/>
      <c r="AO79" s="27"/>
    </row>
    <row r="80" spans="1:41" outlineLevel="4" x14ac:dyDescent="0.25">
      <c r="A80" s="29">
        <v>1</v>
      </c>
      <c r="C80" s="24" t="str">
        <f>"                Vehicle, parts and accessories"</f>
        <v xml:space="preserve">                Vehicle, parts and accessories</v>
      </c>
      <c r="D80" s="40">
        <v>0.85418569493874208</v>
      </c>
      <c r="E80" s="40">
        <v>0.84371963913948644</v>
      </c>
      <c r="F80" s="40">
        <v>0.84727150841245435</v>
      </c>
      <c r="G80" s="40">
        <v>0.85111085420506094</v>
      </c>
      <c r="H80" s="40" t="s">
        <v>124</v>
      </c>
      <c r="I80" s="40" t="s">
        <v>124</v>
      </c>
      <c r="J80" s="30" t="s">
        <v>124</v>
      </c>
      <c r="K80" s="27" t="s">
        <v>124</v>
      </c>
      <c r="L80" s="27" t="s">
        <v>124</v>
      </c>
      <c r="M80" s="27" t="s">
        <v>124</v>
      </c>
      <c r="N80" s="27" t="s">
        <v>124</v>
      </c>
      <c r="O80" s="27" t="s">
        <v>124</v>
      </c>
      <c r="P80" s="27" t="s">
        <v>124</v>
      </c>
      <c r="Q80" s="27" t="s">
        <v>124</v>
      </c>
      <c r="R80" s="27" t="s">
        <v>124</v>
      </c>
      <c r="S80" s="27" t="s">
        <v>124</v>
      </c>
      <c r="T80" s="27" t="s">
        <v>124</v>
      </c>
      <c r="U80" s="27" t="s">
        <v>124</v>
      </c>
      <c r="V80" s="27" t="s">
        <v>124</v>
      </c>
      <c r="W80" s="27" t="s">
        <v>124</v>
      </c>
      <c r="X80" s="27" t="s">
        <v>124</v>
      </c>
      <c r="Y80" s="27" t="s">
        <v>124</v>
      </c>
      <c r="Z80" s="27" t="s">
        <v>124</v>
      </c>
      <c r="AA80" s="27" t="s">
        <v>124</v>
      </c>
      <c r="AB80" s="27" t="s">
        <v>124</v>
      </c>
      <c r="AC80" s="27" t="s">
        <v>124</v>
      </c>
      <c r="AD80" s="27" t="s">
        <v>124</v>
      </c>
      <c r="AE80" s="27" t="s">
        <v>124</v>
      </c>
      <c r="AF80" s="27" t="s">
        <v>124</v>
      </c>
      <c r="AG80" s="27" t="s">
        <v>124</v>
      </c>
      <c r="AH80" s="27" t="s">
        <v>124</v>
      </c>
      <c r="AI80" s="27" t="s">
        <v>124</v>
      </c>
      <c r="AJ80" s="27" t="s">
        <v>124</v>
      </c>
      <c r="AK80" s="27" t="s">
        <v>124</v>
      </c>
      <c r="AL80" s="27" t="s">
        <v>124</v>
      </c>
      <c r="AM80" s="27" t="s">
        <v>124</v>
      </c>
      <c r="AN80" s="27"/>
      <c r="AO80" s="27"/>
    </row>
    <row r="81" spans="1:41" outlineLevel="4" x14ac:dyDescent="0.25">
      <c r="A81" s="29">
        <v>1</v>
      </c>
      <c r="C81" s="24" t="str">
        <f>"                Services and other"</f>
        <v xml:space="preserve">                Services and other</v>
      </c>
      <c r="D81" s="40">
        <v>3.5518566344367106E-2</v>
      </c>
      <c r="E81" s="40">
        <v>3.5269624852022695E-2</v>
      </c>
      <c r="F81" s="40">
        <v>3.2068611234579596E-2</v>
      </c>
      <c r="G81" s="40">
        <v>3.0846860570286096E-2</v>
      </c>
      <c r="H81" s="40" t="s">
        <v>124</v>
      </c>
      <c r="I81" s="40" t="s">
        <v>124</v>
      </c>
      <c r="J81" s="30" t="s">
        <v>124</v>
      </c>
      <c r="K81" s="27" t="s">
        <v>124</v>
      </c>
      <c r="L81" s="27" t="s">
        <v>124</v>
      </c>
      <c r="M81" s="27" t="s">
        <v>124</v>
      </c>
      <c r="N81" s="27" t="s">
        <v>124</v>
      </c>
      <c r="O81" s="27" t="s">
        <v>124</v>
      </c>
      <c r="P81" s="27" t="s">
        <v>124</v>
      </c>
      <c r="Q81" s="27" t="s">
        <v>124</v>
      </c>
      <c r="R81" s="27" t="s">
        <v>124</v>
      </c>
      <c r="S81" s="27" t="s">
        <v>124</v>
      </c>
      <c r="T81" s="27" t="s">
        <v>124</v>
      </c>
      <c r="U81" s="27" t="s">
        <v>124</v>
      </c>
      <c r="V81" s="27" t="s">
        <v>124</v>
      </c>
      <c r="W81" s="27" t="s">
        <v>124</v>
      </c>
      <c r="X81" s="27" t="s">
        <v>124</v>
      </c>
      <c r="Y81" s="27" t="s">
        <v>124</v>
      </c>
      <c r="Z81" s="27" t="s">
        <v>124</v>
      </c>
      <c r="AA81" s="27" t="s">
        <v>124</v>
      </c>
      <c r="AB81" s="27" t="s">
        <v>124</v>
      </c>
      <c r="AC81" s="27" t="s">
        <v>124</v>
      </c>
      <c r="AD81" s="27" t="s">
        <v>124</v>
      </c>
      <c r="AE81" s="27" t="s">
        <v>124</v>
      </c>
      <c r="AF81" s="27" t="s">
        <v>124</v>
      </c>
      <c r="AG81" s="27" t="s">
        <v>124</v>
      </c>
      <c r="AH81" s="27" t="s">
        <v>124</v>
      </c>
      <c r="AI81" s="27" t="s">
        <v>124</v>
      </c>
      <c r="AJ81" s="27" t="s">
        <v>124</v>
      </c>
      <c r="AK81" s="27" t="s">
        <v>124</v>
      </c>
      <c r="AL81" s="27" t="s">
        <v>124</v>
      </c>
      <c r="AM81" s="27" t="s">
        <v>124</v>
      </c>
      <c r="AN81" s="27"/>
      <c r="AO81" s="27"/>
    </row>
    <row r="82" spans="1:41" outlineLevel="4" x14ac:dyDescent="0.25">
      <c r="A82" s="29">
        <v>1</v>
      </c>
      <c r="C82" s="24" t="str">
        <f>"                Used vehicles"</f>
        <v xml:space="preserve">                Used vehicles</v>
      </c>
      <c r="D82" s="40">
        <v>4.6770180466756952E-3</v>
      </c>
      <c r="E82" s="40">
        <v>8.2459076621627138E-3</v>
      </c>
      <c r="F82" s="40">
        <v>1.4711775978781233E-2</v>
      </c>
      <c r="G82" s="40">
        <v>2.2808723622738E-2</v>
      </c>
      <c r="H82" s="40" t="s">
        <v>124</v>
      </c>
      <c r="I82" s="40" t="s">
        <v>124</v>
      </c>
      <c r="J82" s="30" t="s">
        <v>124</v>
      </c>
      <c r="K82" s="27" t="s">
        <v>124</v>
      </c>
      <c r="L82" s="27" t="s">
        <v>124</v>
      </c>
      <c r="M82" s="27" t="s">
        <v>124</v>
      </c>
      <c r="N82" s="27" t="s">
        <v>124</v>
      </c>
      <c r="O82" s="27" t="s">
        <v>124</v>
      </c>
      <c r="P82" s="27" t="s">
        <v>124</v>
      </c>
      <c r="Q82" s="27" t="s">
        <v>124</v>
      </c>
      <c r="R82" s="27" t="s">
        <v>124</v>
      </c>
      <c r="S82" s="27" t="s">
        <v>124</v>
      </c>
      <c r="T82" s="27" t="s">
        <v>124</v>
      </c>
      <c r="U82" s="27" t="s">
        <v>124</v>
      </c>
      <c r="V82" s="27" t="s">
        <v>124</v>
      </c>
      <c r="W82" s="27" t="s">
        <v>124</v>
      </c>
      <c r="X82" s="27" t="s">
        <v>124</v>
      </c>
      <c r="Y82" s="27" t="s">
        <v>124</v>
      </c>
      <c r="Z82" s="27" t="s">
        <v>124</v>
      </c>
      <c r="AA82" s="27" t="s">
        <v>124</v>
      </c>
      <c r="AB82" s="27" t="s">
        <v>124</v>
      </c>
      <c r="AC82" s="27" t="s">
        <v>124</v>
      </c>
      <c r="AD82" s="27" t="s">
        <v>124</v>
      </c>
      <c r="AE82" s="27" t="s">
        <v>124</v>
      </c>
      <c r="AF82" s="27" t="s">
        <v>124</v>
      </c>
      <c r="AG82" s="27" t="s">
        <v>124</v>
      </c>
      <c r="AH82" s="27" t="s">
        <v>124</v>
      </c>
      <c r="AI82" s="27" t="s">
        <v>124</v>
      </c>
      <c r="AJ82" s="27" t="s">
        <v>124</v>
      </c>
      <c r="AK82" s="27" t="s">
        <v>124</v>
      </c>
      <c r="AL82" s="27" t="s">
        <v>124</v>
      </c>
      <c r="AM82" s="27" t="s">
        <v>124</v>
      </c>
      <c r="AN82" s="27"/>
      <c r="AO82" s="27"/>
    </row>
    <row r="83" spans="1:41" outlineLevel="3" x14ac:dyDescent="0.25">
      <c r="A83" s="29">
        <v>1</v>
      </c>
      <c r="C83" s="24" t="str">
        <f>"            General Motors Financial net sales and revenue"</f>
        <v xml:space="preserve">            General Motors Financial net sales and revenue</v>
      </c>
      <c r="D83" s="40">
        <v>0.1056187206702151</v>
      </c>
      <c r="E83" s="40">
        <v>0.11276482834632812</v>
      </c>
      <c r="F83" s="40">
        <v>0.10594810437418481</v>
      </c>
      <c r="G83" s="40">
        <v>9.5233561601915012E-2</v>
      </c>
      <c r="H83" s="40" t="s">
        <v>124</v>
      </c>
      <c r="I83" s="40" t="s">
        <v>124</v>
      </c>
      <c r="J83" s="30" t="s">
        <v>124</v>
      </c>
      <c r="K83" s="27" t="s">
        <v>124</v>
      </c>
      <c r="L83" s="27" t="s">
        <v>124</v>
      </c>
      <c r="M83" s="27" t="s">
        <v>124</v>
      </c>
      <c r="N83" s="27" t="s">
        <v>124</v>
      </c>
      <c r="O83" s="27" t="s">
        <v>124</v>
      </c>
      <c r="P83" s="27" t="s">
        <v>124</v>
      </c>
      <c r="Q83" s="27" t="s">
        <v>124</v>
      </c>
      <c r="R83" s="27" t="s">
        <v>124</v>
      </c>
      <c r="S83" s="27" t="s">
        <v>124</v>
      </c>
      <c r="T83" s="27" t="s">
        <v>124</v>
      </c>
      <c r="U83" s="27" t="s">
        <v>124</v>
      </c>
      <c r="V83" s="27" t="s">
        <v>124</v>
      </c>
      <c r="W83" s="27" t="s">
        <v>124</v>
      </c>
      <c r="X83" s="27" t="s">
        <v>124</v>
      </c>
      <c r="Y83" s="27" t="s">
        <v>124</v>
      </c>
      <c r="Z83" s="27" t="s">
        <v>124</v>
      </c>
      <c r="AA83" s="27" t="s">
        <v>124</v>
      </c>
      <c r="AB83" s="27" t="s">
        <v>124</v>
      </c>
      <c r="AC83" s="27" t="s">
        <v>124</v>
      </c>
      <c r="AD83" s="27" t="s">
        <v>124</v>
      </c>
      <c r="AE83" s="27" t="s">
        <v>124</v>
      </c>
      <c r="AF83" s="27" t="s">
        <v>124</v>
      </c>
      <c r="AG83" s="27" t="s">
        <v>124</v>
      </c>
      <c r="AH83" s="27" t="s">
        <v>124</v>
      </c>
      <c r="AI83" s="27" t="s">
        <v>124</v>
      </c>
      <c r="AJ83" s="27" t="s">
        <v>124</v>
      </c>
      <c r="AK83" s="27" t="s">
        <v>124</v>
      </c>
      <c r="AL83" s="27" t="s">
        <v>124</v>
      </c>
      <c r="AM83" s="27" t="s">
        <v>124</v>
      </c>
      <c r="AN83" s="27"/>
      <c r="AO83" s="27"/>
    </row>
    <row r="84" spans="1:41" outlineLevel="4" x14ac:dyDescent="0.25">
      <c r="A84" s="29">
        <v>1</v>
      </c>
      <c r="C84" s="24" t="str">
        <f>"                Leased vehicle income"</f>
        <v xml:space="preserve">                Leased vehicle income</v>
      </c>
      <c r="D84" s="40">
        <v>7.1068627759755601E-2</v>
      </c>
      <c r="E84" s="40">
        <v>7.7805445564763029E-2</v>
      </c>
      <c r="F84" s="40">
        <v>7.3099820019382533E-2</v>
      </c>
      <c r="G84" s="40">
        <v>6.7752925895449817E-2</v>
      </c>
      <c r="H84" s="40" t="s">
        <v>124</v>
      </c>
      <c r="I84" s="40" t="s">
        <v>124</v>
      </c>
      <c r="J84" s="30" t="s">
        <v>124</v>
      </c>
      <c r="K84" s="27" t="s">
        <v>124</v>
      </c>
      <c r="L84" s="27" t="s">
        <v>124</v>
      </c>
      <c r="M84" s="27" t="s">
        <v>124</v>
      </c>
      <c r="N84" s="27" t="s">
        <v>124</v>
      </c>
      <c r="O84" s="27" t="s">
        <v>124</v>
      </c>
      <c r="P84" s="27" t="s">
        <v>124</v>
      </c>
      <c r="Q84" s="27" t="s">
        <v>124</v>
      </c>
      <c r="R84" s="27" t="s">
        <v>124</v>
      </c>
      <c r="S84" s="27" t="s">
        <v>124</v>
      </c>
      <c r="T84" s="27" t="s">
        <v>124</v>
      </c>
      <c r="U84" s="27" t="s">
        <v>124</v>
      </c>
      <c r="V84" s="27" t="s">
        <v>124</v>
      </c>
      <c r="W84" s="27" t="s">
        <v>124</v>
      </c>
      <c r="X84" s="27" t="s">
        <v>124</v>
      </c>
      <c r="Y84" s="27" t="s">
        <v>124</v>
      </c>
      <c r="Z84" s="27" t="s">
        <v>124</v>
      </c>
      <c r="AA84" s="27" t="s">
        <v>124</v>
      </c>
      <c r="AB84" s="27" t="s">
        <v>124</v>
      </c>
      <c r="AC84" s="27" t="s">
        <v>124</v>
      </c>
      <c r="AD84" s="27" t="s">
        <v>124</v>
      </c>
      <c r="AE84" s="27" t="s">
        <v>124</v>
      </c>
      <c r="AF84" s="27" t="s">
        <v>124</v>
      </c>
      <c r="AG84" s="27" t="s">
        <v>124</v>
      </c>
      <c r="AH84" s="27" t="s">
        <v>124</v>
      </c>
      <c r="AI84" s="27" t="s">
        <v>124</v>
      </c>
      <c r="AJ84" s="27" t="s">
        <v>124</v>
      </c>
      <c r="AK84" s="27" t="s">
        <v>124</v>
      </c>
      <c r="AL84" s="27" t="s">
        <v>124</v>
      </c>
      <c r="AM84" s="27" t="s">
        <v>124</v>
      </c>
      <c r="AN84" s="27"/>
      <c r="AO84" s="27"/>
    </row>
    <row r="85" spans="1:41" outlineLevel="4" x14ac:dyDescent="0.25">
      <c r="A85" s="29">
        <v>1</v>
      </c>
      <c r="C85" s="24" t="str">
        <f>"                Finance charge income"</f>
        <v xml:space="preserve">                Finance charge income</v>
      </c>
      <c r="D85" s="40">
        <v>3.2306069100185818E-2</v>
      </c>
      <c r="E85" s="40">
        <v>3.2616238723108953E-2</v>
      </c>
      <c r="F85" s="40">
        <v>2.9613005239111902E-2</v>
      </c>
      <c r="G85" s="40">
        <v>2.4624444912920183E-2</v>
      </c>
      <c r="H85" s="40" t="s">
        <v>124</v>
      </c>
      <c r="I85" s="40" t="s">
        <v>124</v>
      </c>
      <c r="J85" s="30" t="s">
        <v>124</v>
      </c>
      <c r="K85" s="27" t="s">
        <v>124</v>
      </c>
      <c r="L85" s="27" t="s">
        <v>124</v>
      </c>
      <c r="M85" s="27" t="s">
        <v>124</v>
      </c>
      <c r="N85" s="27" t="s">
        <v>124</v>
      </c>
      <c r="O85" s="27" t="s">
        <v>124</v>
      </c>
      <c r="P85" s="27" t="s">
        <v>124</v>
      </c>
      <c r="Q85" s="27" t="s">
        <v>124</v>
      </c>
      <c r="R85" s="27" t="s">
        <v>124</v>
      </c>
      <c r="S85" s="27" t="s">
        <v>124</v>
      </c>
      <c r="T85" s="27" t="s">
        <v>124</v>
      </c>
      <c r="U85" s="27" t="s">
        <v>124</v>
      </c>
      <c r="V85" s="27" t="s">
        <v>124</v>
      </c>
      <c r="W85" s="27" t="s">
        <v>124</v>
      </c>
      <c r="X85" s="27" t="s">
        <v>124</v>
      </c>
      <c r="Y85" s="27" t="s">
        <v>124</v>
      </c>
      <c r="Z85" s="27" t="s">
        <v>124</v>
      </c>
      <c r="AA85" s="27" t="s">
        <v>124</v>
      </c>
      <c r="AB85" s="27" t="s">
        <v>124</v>
      </c>
      <c r="AC85" s="27" t="s">
        <v>124</v>
      </c>
      <c r="AD85" s="27" t="s">
        <v>124</v>
      </c>
      <c r="AE85" s="27" t="s">
        <v>124</v>
      </c>
      <c r="AF85" s="27" t="s">
        <v>124</v>
      </c>
      <c r="AG85" s="27" t="s">
        <v>124</v>
      </c>
      <c r="AH85" s="27" t="s">
        <v>124</v>
      </c>
      <c r="AI85" s="27" t="s">
        <v>124</v>
      </c>
      <c r="AJ85" s="27" t="s">
        <v>124</v>
      </c>
      <c r="AK85" s="27" t="s">
        <v>124</v>
      </c>
      <c r="AL85" s="27" t="s">
        <v>124</v>
      </c>
      <c r="AM85" s="27" t="s">
        <v>124</v>
      </c>
      <c r="AN85" s="27"/>
      <c r="AO85" s="27"/>
    </row>
    <row r="86" spans="1:41" outlineLevel="4" x14ac:dyDescent="0.25">
      <c r="A86" s="29">
        <v>1</v>
      </c>
      <c r="C86" s="24" t="str">
        <f>"                Other income"</f>
        <v xml:space="preserve">                Other income</v>
      </c>
      <c r="D86" s="40">
        <v>2.2440238102736923E-3</v>
      </c>
      <c r="E86" s="40">
        <v>2.3431440584561376E-3</v>
      </c>
      <c r="F86" s="40">
        <v>3.235279115690375E-3</v>
      </c>
      <c r="G86" s="40">
        <v>2.856190793545009E-3</v>
      </c>
      <c r="H86" s="40" t="s">
        <v>124</v>
      </c>
      <c r="I86" s="40" t="s">
        <v>124</v>
      </c>
      <c r="J86" s="30" t="s">
        <v>124</v>
      </c>
      <c r="K86" s="27" t="s">
        <v>124</v>
      </c>
      <c r="L86" s="27" t="s">
        <v>124</v>
      </c>
      <c r="M86" s="27" t="s">
        <v>124</v>
      </c>
      <c r="N86" s="27" t="s">
        <v>124</v>
      </c>
      <c r="O86" s="27" t="s">
        <v>124</v>
      </c>
      <c r="P86" s="27" t="s">
        <v>124</v>
      </c>
      <c r="Q86" s="27" t="s">
        <v>124</v>
      </c>
      <c r="R86" s="27" t="s">
        <v>124</v>
      </c>
      <c r="S86" s="27" t="s">
        <v>124</v>
      </c>
      <c r="T86" s="27" t="s">
        <v>124</v>
      </c>
      <c r="U86" s="27" t="s">
        <v>124</v>
      </c>
      <c r="V86" s="27" t="s">
        <v>124</v>
      </c>
      <c r="W86" s="27" t="s">
        <v>124</v>
      </c>
      <c r="X86" s="27" t="s">
        <v>124</v>
      </c>
      <c r="Y86" s="27" t="s">
        <v>124</v>
      </c>
      <c r="Z86" s="27" t="s">
        <v>124</v>
      </c>
      <c r="AA86" s="27" t="s">
        <v>124</v>
      </c>
      <c r="AB86" s="27" t="s">
        <v>124</v>
      </c>
      <c r="AC86" s="27" t="s">
        <v>124</v>
      </c>
      <c r="AD86" s="27" t="s">
        <v>124</v>
      </c>
      <c r="AE86" s="27" t="s">
        <v>124</v>
      </c>
      <c r="AF86" s="27" t="s">
        <v>124</v>
      </c>
      <c r="AG86" s="27" t="s">
        <v>124</v>
      </c>
      <c r="AH86" s="27" t="s">
        <v>124</v>
      </c>
      <c r="AI86" s="27" t="s">
        <v>124</v>
      </c>
      <c r="AJ86" s="27" t="s">
        <v>124</v>
      </c>
      <c r="AK86" s="27" t="s">
        <v>124</v>
      </c>
      <c r="AL86" s="27" t="s">
        <v>124</v>
      </c>
      <c r="AM86" s="27" t="s">
        <v>124</v>
      </c>
      <c r="AN86" s="27"/>
      <c r="AO86" s="27"/>
    </row>
    <row r="87" spans="1:41" collapsed="1" x14ac:dyDescent="0.25">
      <c r="A87" s="29">
        <v>1</v>
      </c>
      <c r="C87" s="26" t="str">
        <f>"Data Origination"</f>
        <v>Data Origination</v>
      </c>
      <c r="D87" s="44" t="s">
        <v>124</v>
      </c>
      <c r="E87" s="44" t="s">
        <v>124</v>
      </c>
      <c r="F87" s="44" t="s">
        <v>124</v>
      </c>
      <c r="G87" s="44" t="s">
        <v>124</v>
      </c>
      <c r="H87" s="44" t="s">
        <v>124</v>
      </c>
      <c r="I87" s="44" t="s">
        <v>124</v>
      </c>
      <c r="J87" s="30" t="s">
        <v>124</v>
      </c>
      <c r="K87" s="27" t="s">
        <v>124</v>
      </c>
      <c r="L87" s="27" t="s">
        <v>124</v>
      </c>
      <c r="M87" s="27" t="s">
        <v>124</v>
      </c>
      <c r="N87" s="27" t="s">
        <v>124</v>
      </c>
      <c r="O87" s="27" t="s">
        <v>124</v>
      </c>
      <c r="P87" s="27" t="s">
        <v>124</v>
      </c>
      <c r="Q87" s="27" t="s">
        <v>124</v>
      </c>
      <c r="R87" s="27" t="s">
        <v>124</v>
      </c>
      <c r="S87" s="27" t="s">
        <v>124</v>
      </c>
      <c r="T87" s="27" t="s">
        <v>124</v>
      </c>
      <c r="U87" s="27" t="s">
        <v>124</v>
      </c>
      <c r="V87" s="27" t="s">
        <v>124</v>
      </c>
      <c r="W87" s="27" t="s">
        <v>124</v>
      </c>
      <c r="X87" s="27" t="s">
        <v>124</v>
      </c>
      <c r="Y87" s="27" t="s">
        <v>124</v>
      </c>
      <c r="Z87" s="27" t="s">
        <v>124</v>
      </c>
      <c r="AA87" s="27" t="s">
        <v>124</v>
      </c>
      <c r="AB87" s="27" t="s">
        <v>124</v>
      </c>
      <c r="AC87" s="27" t="s">
        <v>124</v>
      </c>
      <c r="AD87" s="27" t="s">
        <v>124</v>
      </c>
      <c r="AE87" s="27" t="s">
        <v>124</v>
      </c>
      <c r="AF87" s="27" t="s">
        <v>124</v>
      </c>
      <c r="AG87" s="27" t="s">
        <v>124</v>
      </c>
      <c r="AH87" s="27" t="s">
        <v>124</v>
      </c>
      <c r="AI87" s="27" t="s">
        <v>124</v>
      </c>
      <c r="AJ87" s="27" t="s">
        <v>124</v>
      </c>
      <c r="AK87" s="27" t="s">
        <v>124</v>
      </c>
      <c r="AL87" s="27" t="s">
        <v>124</v>
      </c>
      <c r="AM87" s="27" t="s">
        <v>124</v>
      </c>
      <c r="AN87" s="27"/>
      <c r="AO87" s="27"/>
    </row>
    <row r="88" spans="1:41" hidden="1" outlineLevel="1" x14ac:dyDescent="0.25">
      <c r="A88" s="29">
        <v>1</v>
      </c>
      <c r="C88" s="24" t="str">
        <f>"    Original"</f>
        <v xml:space="preserve">    Original</v>
      </c>
      <c r="D88" s="41" t="s">
        <v>125</v>
      </c>
      <c r="E88" s="41" t="s">
        <v>125</v>
      </c>
      <c r="F88" s="41" t="s">
        <v>125</v>
      </c>
      <c r="G88" s="41" t="s">
        <v>125</v>
      </c>
      <c r="H88" s="41" t="s">
        <v>125</v>
      </c>
      <c r="I88" s="41" t="s">
        <v>125</v>
      </c>
      <c r="J88" s="30" t="s">
        <v>124</v>
      </c>
      <c r="K88" s="27" t="s">
        <v>124</v>
      </c>
      <c r="L88" s="27" t="s">
        <v>124</v>
      </c>
      <c r="M88" s="27" t="s">
        <v>124</v>
      </c>
      <c r="N88" s="27" t="s">
        <v>124</v>
      </c>
      <c r="O88" s="27" t="s">
        <v>124</v>
      </c>
      <c r="P88" s="27" t="s">
        <v>124</v>
      </c>
      <c r="Q88" s="27" t="s">
        <v>124</v>
      </c>
      <c r="R88" s="27" t="s">
        <v>124</v>
      </c>
      <c r="S88" s="27" t="s">
        <v>124</v>
      </c>
      <c r="T88" s="27" t="s">
        <v>124</v>
      </c>
      <c r="U88" s="27" t="s">
        <v>124</v>
      </c>
      <c r="V88" s="27" t="s">
        <v>124</v>
      </c>
      <c r="W88" s="27" t="s">
        <v>124</v>
      </c>
      <c r="X88" s="27" t="s">
        <v>124</v>
      </c>
      <c r="Y88" s="27" t="s">
        <v>124</v>
      </c>
      <c r="Z88" s="27" t="s">
        <v>124</v>
      </c>
      <c r="AA88" s="27" t="s">
        <v>124</v>
      </c>
      <c r="AB88" s="27" t="s">
        <v>124</v>
      </c>
      <c r="AC88" s="27" t="s">
        <v>124</v>
      </c>
      <c r="AD88" s="27" t="s">
        <v>124</v>
      </c>
      <c r="AE88" s="27" t="s">
        <v>124</v>
      </c>
      <c r="AF88" s="27" t="s">
        <v>124</v>
      </c>
      <c r="AG88" s="27" t="s">
        <v>124</v>
      </c>
      <c r="AH88" s="27" t="s">
        <v>124</v>
      </c>
      <c r="AI88" s="27" t="s">
        <v>124</v>
      </c>
      <c r="AJ88" s="27" t="s">
        <v>124</v>
      </c>
      <c r="AK88" s="27" t="s">
        <v>124</v>
      </c>
      <c r="AL88" s="27" t="s">
        <v>124</v>
      </c>
      <c r="AM88" s="27" t="s">
        <v>124</v>
      </c>
      <c r="AN88" s="27"/>
      <c r="AO88" s="27"/>
    </row>
    <row r="89" spans="1:41" hidden="1" outlineLevel="1" x14ac:dyDescent="0.25">
      <c r="A89" s="29">
        <v>1</v>
      </c>
      <c r="C89" s="24" t="str">
        <f>"    Restated"</f>
        <v xml:space="preserve">    Restated</v>
      </c>
      <c r="D89" s="41" t="s">
        <v>83</v>
      </c>
      <c r="E89" s="41" t="s">
        <v>83</v>
      </c>
      <c r="F89" s="41" t="s">
        <v>83</v>
      </c>
      <c r="G89" s="41" t="s">
        <v>83</v>
      </c>
      <c r="H89" s="41" t="s">
        <v>83</v>
      </c>
      <c r="I89" s="41" t="s">
        <v>83</v>
      </c>
      <c r="J89" s="30" t="s">
        <v>124</v>
      </c>
      <c r="K89" s="27" t="s">
        <v>124</v>
      </c>
      <c r="L89" s="27" t="s">
        <v>124</v>
      </c>
      <c r="M89" s="27" t="s">
        <v>124</v>
      </c>
      <c r="N89" s="27" t="s">
        <v>124</v>
      </c>
      <c r="O89" s="27" t="s">
        <v>124</v>
      </c>
      <c r="P89" s="27" t="s">
        <v>124</v>
      </c>
      <c r="Q89" s="27" t="s">
        <v>124</v>
      </c>
      <c r="R89" s="27" t="s">
        <v>124</v>
      </c>
      <c r="S89" s="27" t="s">
        <v>124</v>
      </c>
      <c r="T89" s="27" t="s">
        <v>124</v>
      </c>
      <c r="U89" s="27" t="s">
        <v>124</v>
      </c>
      <c r="V89" s="27" t="s">
        <v>124</v>
      </c>
      <c r="W89" s="27" t="s">
        <v>124</v>
      </c>
      <c r="X89" s="27" t="s">
        <v>124</v>
      </c>
      <c r="Y89" s="27" t="s">
        <v>124</v>
      </c>
      <c r="Z89" s="27" t="s">
        <v>124</v>
      </c>
      <c r="AA89" s="27" t="s">
        <v>124</v>
      </c>
      <c r="AB89" s="27" t="s">
        <v>124</v>
      </c>
      <c r="AC89" s="27" t="s">
        <v>124</v>
      </c>
      <c r="AD89" s="27" t="s">
        <v>124</v>
      </c>
      <c r="AE89" s="27" t="s">
        <v>124</v>
      </c>
      <c r="AF89" s="27" t="s">
        <v>124</v>
      </c>
      <c r="AG89" s="27" t="s">
        <v>124</v>
      </c>
      <c r="AH89" s="27" t="s">
        <v>124</v>
      </c>
      <c r="AI89" s="27" t="s">
        <v>124</v>
      </c>
      <c r="AJ89" s="27" t="s">
        <v>124</v>
      </c>
      <c r="AK89" s="27" t="s">
        <v>124</v>
      </c>
      <c r="AL89" s="27" t="s">
        <v>124</v>
      </c>
      <c r="AM89" s="27" t="s">
        <v>124</v>
      </c>
      <c r="AN89" s="27"/>
      <c r="AO89" s="27"/>
    </row>
    <row r="90" spans="1:41" x14ac:dyDescent="0.25">
      <c r="A90" s="29"/>
      <c r="J90" s="30" t="s">
        <v>124</v>
      </c>
      <c r="K90" s="27" t="s">
        <v>124</v>
      </c>
      <c r="L90" s="27" t="s">
        <v>124</v>
      </c>
      <c r="M90" s="27" t="s">
        <v>124</v>
      </c>
      <c r="N90" s="27" t="s">
        <v>124</v>
      </c>
      <c r="O90" s="27" t="s">
        <v>124</v>
      </c>
      <c r="P90" s="27" t="s">
        <v>124</v>
      </c>
      <c r="Q90" s="27" t="s">
        <v>124</v>
      </c>
      <c r="R90" s="27" t="s">
        <v>124</v>
      </c>
      <c r="S90" s="27" t="s">
        <v>124</v>
      </c>
      <c r="T90" s="27" t="s">
        <v>124</v>
      </c>
      <c r="U90" s="27" t="s">
        <v>124</v>
      </c>
      <c r="V90" s="27" t="s">
        <v>124</v>
      </c>
      <c r="W90" s="27" t="s">
        <v>124</v>
      </c>
      <c r="X90" s="27" t="s">
        <v>124</v>
      </c>
      <c r="Y90" s="27" t="s">
        <v>124</v>
      </c>
      <c r="Z90" s="27" t="s">
        <v>124</v>
      </c>
      <c r="AA90" s="27" t="s">
        <v>124</v>
      </c>
      <c r="AB90" s="27" t="s">
        <v>124</v>
      </c>
      <c r="AC90" s="27" t="s">
        <v>124</v>
      </c>
      <c r="AD90" s="27" t="s">
        <v>124</v>
      </c>
      <c r="AE90" s="27" t="s">
        <v>124</v>
      </c>
      <c r="AF90" s="27" t="s">
        <v>124</v>
      </c>
      <c r="AG90" s="27" t="s">
        <v>124</v>
      </c>
      <c r="AH90" s="27" t="s">
        <v>124</v>
      </c>
      <c r="AI90" s="27" t="s">
        <v>124</v>
      </c>
      <c r="AJ90" s="27" t="s">
        <v>124</v>
      </c>
      <c r="AK90" s="27" t="s">
        <v>124</v>
      </c>
      <c r="AL90" s="27" t="s">
        <v>124</v>
      </c>
      <c r="AM90" s="27" t="s">
        <v>124</v>
      </c>
      <c r="AN90" s="27"/>
      <c r="AO90" s="27"/>
    </row>
    <row r="91" spans="1:41" x14ac:dyDescent="0.25">
      <c r="A91" s="29"/>
      <c r="J91" s="30" t="s">
        <v>124</v>
      </c>
      <c r="K91" s="27" t="s">
        <v>124</v>
      </c>
      <c r="L91" s="27" t="s">
        <v>124</v>
      </c>
      <c r="M91" s="27" t="s">
        <v>124</v>
      </c>
      <c r="N91" s="27" t="s">
        <v>124</v>
      </c>
      <c r="O91" s="27" t="s">
        <v>124</v>
      </c>
      <c r="P91" s="27" t="s">
        <v>124</v>
      </c>
      <c r="Q91" s="27" t="s">
        <v>124</v>
      </c>
      <c r="R91" s="27" t="s">
        <v>124</v>
      </c>
      <c r="S91" s="27" t="s">
        <v>124</v>
      </c>
      <c r="T91" s="27" t="s">
        <v>124</v>
      </c>
      <c r="U91" s="27" t="s">
        <v>124</v>
      </c>
      <c r="V91" s="27" t="s">
        <v>124</v>
      </c>
      <c r="W91" s="27" t="s">
        <v>124</v>
      </c>
      <c r="X91" s="27" t="s">
        <v>124</v>
      </c>
      <c r="Y91" s="27" t="s">
        <v>124</v>
      </c>
      <c r="Z91" s="27" t="s">
        <v>124</v>
      </c>
      <c r="AA91" s="27" t="s">
        <v>124</v>
      </c>
      <c r="AB91" s="27" t="s">
        <v>124</v>
      </c>
      <c r="AC91" s="27" t="s">
        <v>124</v>
      </c>
      <c r="AD91" s="27" t="s">
        <v>124</v>
      </c>
      <c r="AE91" s="27" t="s">
        <v>124</v>
      </c>
      <c r="AF91" s="27" t="s">
        <v>124</v>
      </c>
      <c r="AG91" s="27" t="s">
        <v>124</v>
      </c>
      <c r="AH91" s="27" t="s">
        <v>124</v>
      </c>
      <c r="AI91" s="27" t="s">
        <v>124</v>
      </c>
      <c r="AJ91" s="27" t="s">
        <v>124</v>
      </c>
      <c r="AK91" s="27" t="s">
        <v>124</v>
      </c>
      <c r="AL91" s="27" t="s">
        <v>124</v>
      </c>
      <c r="AM91" s="27" t="s">
        <v>124</v>
      </c>
      <c r="AN91" s="27"/>
      <c r="AO91" s="27"/>
    </row>
    <row r="92" spans="1:41" x14ac:dyDescent="0.25">
      <c r="A92" s="29"/>
      <c r="C92" s="113" t="s">
        <v>89</v>
      </c>
      <c r="J92" s="30" t="s">
        <v>124</v>
      </c>
      <c r="K92" s="27" t="s">
        <v>124</v>
      </c>
      <c r="L92" s="27" t="s">
        <v>124</v>
      </c>
      <c r="M92" s="27" t="s">
        <v>124</v>
      </c>
      <c r="N92" s="27" t="s">
        <v>124</v>
      </c>
      <c r="O92" s="27" t="s">
        <v>124</v>
      </c>
      <c r="P92" s="27" t="s">
        <v>124</v>
      </c>
      <c r="Q92" s="27" t="s">
        <v>124</v>
      </c>
      <c r="R92" s="27" t="s">
        <v>124</v>
      </c>
      <c r="S92" s="27" t="s">
        <v>124</v>
      </c>
      <c r="T92" s="27" t="s">
        <v>124</v>
      </c>
      <c r="U92" s="27" t="s">
        <v>124</v>
      </c>
      <c r="V92" s="27" t="s">
        <v>124</v>
      </c>
      <c r="W92" s="27" t="s">
        <v>124</v>
      </c>
      <c r="X92" s="27" t="s">
        <v>124</v>
      </c>
      <c r="Y92" s="27" t="s">
        <v>124</v>
      </c>
      <c r="Z92" s="27" t="s">
        <v>124</v>
      </c>
      <c r="AA92" s="27" t="s">
        <v>124</v>
      </c>
      <c r="AB92" s="27" t="s">
        <v>124</v>
      </c>
      <c r="AC92" s="27" t="s">
        <v>124</v>
      </c>
      <c r="AD92" s="27" t="s">
        <v>124</v>
      </c>
      <c r="AE92" s="27" t="s">
        <v>124</v>
      </c>
      <c r="AF92" s="27" t="s">
        <v>124</v>
      </c>
      <c r="AG92" s="27" t="s">
        <v>124</v>
      </c>
      <c r="AH92" s="27" t="s">
        <v>124</v>
      </c>
      <c r="AI92" s="27" t="s">
        <v>124</v>
      </c>
      <c r="AJ92" s="27" t="s">
        <v>124</v>
      </c>
      <c r="AK92" s="27" t="s">
        <v>124</v>
      </c>
      <c r="AL92" s="27" t="s">
        <v>124</v>
      </c>
      <c r="AM92" s="27" t="s">
        <v>124</v>
      </c>
      <c r="AN92" s="27"/>
      <c r="AO92" s="27"/>
    </row>
    <row r="93" spans="1:41" x14ac:dyDescent="0.25">
      <c r="A93" s="29"/>
      <c r="C93" s="113" t="s">
        <v>11</v>
      </c>
      <c r="J93" s="30" t="s">
        <v>124</v>
      </c>
      <c r="K93" s="27" t="s">
        <v>124</v>
      </c>
      <c r="L93" s="27" t="s">
        <v>124</v>
      </c>
      <c r="M93" s="27" t="s">
        <v>124</v>
      </c>
      <c r="N93" s="27" t="s">
        <v>124</v>
      </c>
      <c r="O93" s="27" t="s">
        <v>124</v>
      </c>
      <c r="P93" s="27" t="s">
        <v>124</v>
      </c>
      <c r="Q93" s="27" t="s">
        <v>124</v>
      </c>
      <c r="R93" s="27" t="s">
        <v>124</v>
      </c>
      <c r="S93" s="27" t="s">
        <v>124</v>
      </c>
      <c r="T93" s="27" t="s">
        <v>124</v>
      </c>
      <c r="U93" s="27" t="s">
        <v>124</v>
      </c>
      <c r="V93" s="27" t="s">
        <v>124</v>
      </c>
      <c r="W93" s="27" t="s">
        <v>124</v>
      </c>
      <c r="X93" s="27" t="s">
        <v>124</v>
      </c>
      <c r="Y93" s="27" t="s">
        <v>124</v>
      </c>
      <c r="Z93" s="27" t="s">
        <v>124</v>
      </c>
      <c r="AA93" s="27" t="s">
        <v>124</v>
      </c>
      <c r="AB93" s="27" t="s">
        <v>124</v>
      </c>
      <c r="AC93" s="27" t="s">
        <v>124</v>
      </c>
      <c r="AD93" s="27" t="s">
        <v>124</v>
      </c>
      <c r="AE93" s="27" t="s">
        <v>124</v>
      </c>
      <c r="AF93" s="27" t="s">
        <v>124</v>
      </c>
      <c r="AG93" s="27" t="s">
        <v>124</v>
      </c>
      <c r="AH93" s="27" t="s">
        <v>124</v>
      </c>
      <c r="AI93" s="27" t="s">
        <v>124</v>
      </c>
      <c r="AJ93" s="27" t="s">
        <v>124</v>
      </c>
      <c r="AK93" s="27" t="s">
        <v>124</v>
      </c>
      <c r="AL93" s="27" t="s">
        <v>124</v>
      </c>
      <c r="AM93" s="27" t="s">
        <v>124</v>
      </c>
      <c r="AN93" s="27"/>
      <c r="AO93" s="27"/>
    </row>
    <row r="94" spans="1:41" x14ac:dyDescent="0.25">
      <c r="A94" s="29"/>
      <c r="J94" s="30" t="s">
        <v>124</v>
      </c>
      <c r="K94" s="27" t="s">
        <v>124</v>
      </c>
      <c r="L94" s="27" t="s">
        <v>124</v>
      </c>
      <c r="M94" s="27" t="s">
        <v>124</v>
      </c>
      <c r="N94" s="27" t="s">
        <v>124</v>
      </c>
      <c r="O94" s="27" t="s">
        <v>124</v>
      </c>
      <c r="P94" s="27" t="s">
        <v>124</v>
      </c>
      <c r="Q94" s="27" t="s">
        <v>124</v>
      </c>
      <c r="R94" s="27" t="s">
        <v>124</v>
      </c>
      <c r="S94" s="27" t="s">
        <v>124</v>
      </c>
      <c r="T94" s="27" t="s">
        <v>124</v>
      </c>
      <c r="U94" s="27" t="s">
        <v>124</v>
      </c>
      <c r="V94" s="27" t="s">
        <v>124</v>
      </c>
      <c r="W94" s="27" t="s">
        <v>124</v>
      </c>
      <c r="X94" s="27" t="s">
        <v>124</v>
      </c>
      <c r="Y94" s="27" t="s">
        <v>124</v>
      </c>
      <c r="Z94" s="27" t="s">
        <v>124</v>
      </c>
      <c r="AA94" s="27" t="s">
        <v>124</v>
      </c>
      <c r="AB94" s="27" t="s">
        <v>124</v>
      </c>
      <c r="AC94" s="27" t="s">
        <v>124</v>
      </c>
      <c r="AD94" s="27" t="s">
        <v>124</v>
      </c>
      <c r="AE94" s="27" t="s">
        <v>124</v>
      </c>
      <c r="AF94" s="27" t="s">
        <v>124</v>
      </c>
      <c r="AG94" s="27" t="s">
        <v>124</v>
      </c>
      <c r="AH94" s="27" t="s">
        <v>124</v>
      </c>
      <c r="AI94" s="27" t="s">
        <v>124</v>
      </c>
      <c r="AJ94" s="27" t="s">
        <v>124</v>
      </c>
      <c r="AK94" s="27" t="s">
        <v>124</v>
      </c>
      <c r="AL94" s="27" t="s">
        <v>124</v>
      </c>
      <c r="AM94" s="27" t="s">
        <v>124</v>
      </c>
      <c r="AN94" s="27"/>
      <c r="AO94" s="27"/>
    </row>
    <row r="95" spans="1:41" x14ac:dyDescent="0.25">
      <c r="A95" s="2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</sheetData>
  <conditionalFormatting sqref="D10:R10 D50:R50 D86:R86">
    <cfRule type="expression" dxfId="2" priority="1">
      <formula>NOT(SUBTOTAL(109,$A11)=$A11)</formula>
    </cfRule>
  </conditionalFormatting>
  <hyperlinks>
    <hyperlink ref="D5" r:id="rId1" xr:uid="{00000000-0004-0000-0500-000000000000}"/>
    <hyperlink ref="E5" r:id="rId2" xr:uid="{00000000-0004-0000-0500-000001000000}"/>
    <hyperlink ref="F5" r:id="rId3" xr:uid="{00000000-0004-0000-0500-000002000000}"/>
    <hyperlink ref="G5" r:id="rId4" xr:uid="{00000000-0004-0000-0500-000003000000}"/>
    <hyperlink ref="H5" r:id="rId5" xr:uid="{00000000-0004-0000-0500-000004000000}"/>
    <hyperlink ref="I5" r:id="rId6" xr:uid="{00000000-0004-0000-0500-000005000000}"/>
    <hyperlink ref="D5" r:id="rId7" xr:uid="{00000000-0004-0000-0500-000006000000}"/>
    <hyperlink ref="E5" r:id="rId8" xr:uid="{00000000-0004-0000-0500-000007000000}"/>
    <hyperlink ref="F5" r:id="rId9" xr:uid="{00000000-0004-0000-0500-000008000000}"/>
    <hyperlink ref="G5" r:id="rId10" xr:uid="{00000000-0004-0000-0500-000009000000}"/>
    <hyperlink ref="H5" r:id="rId11" xr:uid="{00000000-0004-0000-0500-00000A000000}"/>
    <hyperlink ref="I5" r:id="rId12" xr:uid="{00000000-0004-0000-0500-00000B000000}"/>
    <hyperlink ref="D5" r:id="rId13" xr:uid="{00000000-0004-0000-0500-00000C000000}"/>
    <hyperlink ref="E5" r:id="rId14" xr:uid="{00000000-0004-0000-0500-00000D000000}"/>
    <hyperlink ref="F5" r:id="rId15" xr:uid="{00000000-0004-0000-0500-00000E000000}"/>
    <hyperlink ref="G5" r:id="rId16" xr:uid="{00000000-0004-0000-0500-00000F000000}"/>
    <hyperlink ref="H5" r:id="rId17" xr:uid="{00000000-0004-0000-0500-000010000000}"/>
    <hyperlink ref="I5" r:id="rId18" xr:uid="{00000000-0004-0000-0500-000011000000}"/>
    <hyperlink ref="D5" r:id="rId19" xr:uid="{00000000-0004-0000-0500-000012000000}"/>
    <hyperlink ref="E5" r:id="rId20" xr:uid="{00000000-0004-0000-0500-000013000000}"/>
    <hyperlink ref="F5" r:id="rId21" xr:uid="{00000000-0004-0000-0500-000014000000}"/>
    <hyperlink ref="G5" r:id="rId22" xr:uid="{00000000-0004-0000-0500-000015000000}"/>
    <hyperlink ref="H5" r:id="rId23" xr:uid="{00000000-0004-0000-0500-000016000000}"/>
    <hyperlink ref="I5" r:id="rId24" xr:uid="{00000000-0004-0000-0500-000017000000}"/>
    <hyperlink ref="D5" r:id="rId25" xr:uid="{00000000-0004-0000-0500-000018000000}"/>
    <hyperlink ref="E5" r:id="rId26" xr:uid="{00000000-0004-0000-0500-000019000000}"/>
    <hyperlink ref="F5" r:id="rId27" xr:uid="{00000000-0004-0000-0500-00001A000000}"/>
    <hyperlink ref="G5" r:id="rId28" xr:uid="{00000000-0004-0000-0500-00001B000000}"/>
    <hyperlink ref="H5" r:id="rId29" xr:uid="{00000000-0004-0000-0500-00001C000000}"/>
    <hyperlink ref="I5" r:id="rId30" xr:uid="{00000000-0004-0000-0500-00001D000000}"/>
    <hyperlink ref="D5" r:id="rId31" xr:uid="{00000000-0004-0000-0500-00001E000000}"/>
    <hyperlink ref="E5" r:id="rId32" xr:uid="{00000000-0004-0000-0500-00001F000000}"/>
    <hyperlink ref="F5" r:id="rId33" xr:uid="{00000000-0004-0000-0500-000020000000}"/>
    <hyperlink ref="G5" r:id="rId34" xr:uid="{00000000-0004-0000-0500-000021000000}"/>
    <hyperlink ref="H5" r:id="rId35" xr:uid="{00000000-0004-0000-0500-000022000000}"/>
    <hyperlink ref="I5" r:id="rId36" xr:uid="{00000000-0004-0000-0500-000023000000}"/>
    <hyperlink ref="D5" r:id="rId37" xr:uid="{00000000-0004-0000-0500-000024000000}"/>
    <hyperlink ref="E5" r:id="rId38" xr:uid="{00000000-0004-0000-0500-000025000000}"/>
    <hyperlink ref="F5" r:id="rId39" xr:uid="{00000000-0004-0000-0500-000026000000}"/>
    <hyperlink ref="G5" r:id="rId40" xr:uid="{00000000-0004-0000-0500-000027000000}"/>
    <hyperlink ref="H5" r:id="rId41" xr:uid="{00000000-0004-0000-0500-000028000000}"/>
    <hyperlink ref="I5" r:id="rId42" xr:uid="{00000000-0004-0000-0500-000029000000}"/>
    <hyperlink ref="D5" r:id="rId43" xr:uid="{00000000-0004-0000-0500-00002A000000}"/>
    <hyperlink ref="E5" r:id="rId44" xr:uid="{00000000-0004-0000-0500-00002B000000}"/>
    <hyperlink ref="F5" r:id="rId45" xr:uid="{00000000-0004-0000-0500-00002C000000}"/>
    <hyperlink ref="G5" r:id="rId46" xr:uid="{00000000-0004-0000-0500-00002D000000}"/>
    <hyperlink ref="H5" r:id="rId47" xr:uid="{00000000-0004-0000-0500-00002E000000}"/>
    <hyperlink ref="I5" r:id="rId48" xr:uid="{00000000-0004-0000-0500-00002F000000}"/>
    <hyperlink ref="D5" r:id="rId49" xr:uid="{00000000-0004-0000-0500-000030000000}"/>
    <hyperlink ref="E5" r:id="rId50" xr:uid="{00000000-0004-0000-0500-000031000000}"/>
    <hyperlink ref="F5" r:id="rId51" xr:uid="{00000000-0004-0000-0500-000032000000}"/>
    <hyperlink ref="G5" r:id="rId52" xr:uid="{00000000-0004-0000-0500-000033000000}"/>
    <hyperlink ref="H5" r:id="rId53" xr:uid="{00000000-0004-0000-0500-000034000000}"/>
    <hyperlink ref="I5" r:id="rId54" xr:uid="{00000000-0004-0000-0500-000035000000}"/>
    <hyperlink ref="D5" r:id="rId55" xr:uid="{00000000-0004-0000-0500-000036000000}"/>
    <hyperlink ref="E5" r:id="rId56" xr:uid="{00000000-0004-0000-0500-000037000000}"/>
    <hyperlink ref="F5" r:id="rId57" xr:uid="{00000000-0004-0000-0500-000038000000}"/>
    <hyperlink ref="G5" r:id="rId58" xr:uid="{00000000-0004-0000-0500-000039000000}"/>
    <hyperlink ref="H5" r:id="rId59" xr:uid="{00000000-0004-0000-0500-00003A000000}"/>
    <hyperlink ref="I5" r:id="rId60" xr:uid="{00000000-0004-0000-0500-00003B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MK105"/>
  <sheetViews>
    <sheetView showGridLines="0" zoomScaleNormal="100" workbookViewId="0">
      <pane xSplit="3" ySplit="10" topLeftCell="D50" activePane="bottomRight" state="frozen"/>
      <selection pane="topRight" activeCell="D1" sqref="D1"/>
      <selection pane="bottomLeft" activeCell="A11" sqref="A11"/>
      <selection pane="bottomRight" activeCell="C92" sqref="C92"/>
    </sheetView>
  </sheetViews>
  <sheetFormatPr defaultColWidth="8.85546875" defaultRowHeight="15" outlineLevelCol="1" x14ac:dyDescent="0.25"/>
  <cols>
    <col min="1" max="1" width="1" style="1" customWidth="1"/>
    <col min="2" max="2" width="2" style="1" customWidth="1"/>
    <col min="3" max="3" width="50.5703125" style="1" customWidth="1"/>
    <col min="4" max="10" width="12.5703125" style="1" hidden="1" customWidth="1" outlineLevel="1"/>
    <col min="11" max="11" width="10.5703125" style="1" hidden="1" customWidth="1" outlineLevel="1" collapsed="1"/>
    <col min="12" max="12" width="2.5703125" style="1" customWidth="1" collapsed="1"/>
    <col min="13" max="17" width="14.5703125" style="1" customWidth="1" collapsed="1"/>
    <col min="18" max="26" width="14.5703125" style="1" hidden="1" customWidth="1" collapsed="1"/>
    <col min="27" max="27" width="1.85546875" style="1" hidden="1" customWidth="1"/>
    <col min="28" max="28" width="14.5703125" style="1" hidden="1" customWidth="1" collapsed="1"/>
    <col min="29" max="1025" width="14.5703125" style="1" customWidth="1" collapsed="1"/>
  </cols>
  <sheetData>
    <row r="1" spans="1:49" ht="6.4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39.75" customHeight="1" x14ac:dyDescent="0.25">
      <c r="A2" s="29"/>
      <c r="AB2" s="30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 ht="18.75" customHeight="1" x14ac:dyDescent="0.25">
      <c r="A3" s="29"/>
      <c r="C3" s="6" t="s">
        <v>130</v>
      </c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21" x14ac:dyDescent="0.35">
      <c r="A4" s="29"/>
      <c r="C4" s="7" t="s">
        <v>94</v>
      </c>
      <c r="D4" s="42" t="s">
        <v>1</v>
      </c>
      <c r="E4" s="26"/>
      <c r="F4" s="26"/>
      <c r="G4" s="26"/>
      <c r="H4" s="26"/>
      <c r="I4" s="26"/>
      <c r="J4" s="26"/>
      <c r="K4" s="26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 x14ac:dyDescent="0.25">
      <c r="A5" s="29"/>
      <c r="C5" s="7" t="s">
        <v>95</v>
      </c>
      <c r="D5" s="147" t="s">
        <v>2</v>
      </c>
      <c r="E5" s="147" t="s">
        <v>3</v>
      </c>
      <c r="F5" s="147" t="s">
        <v>4</v>
      </c>
      <c r="G5" s="147" t="s">
        <v>5</v>
      </c>
      <c r="H5" s="147" t="s">
        <v>6</v>
      </c>
      <c r="I5" s="147" t="s">
        <v>7</v>
      </c>
      <c r="J5" s="147" t="s">
        <v>8</v>
      </c>
      <c r="K5" s="147" t="s">
        <v>9</v>
      </c>
      <c r="M5" s="48" t="s">
        <v>97</v>
      </c>
      <c r="N5" s="48" t="s">
        <v>100</v>
      </c>
      <c r="O5" s="48" t="s">
        <v>101</v>
      </c>
      <c r="P5" s="48" t="s">
        <v>102</v>
      </c>
      <c r="Q5" s="48" t="s">
        <v>104</v>
      </c>
      <c r="R5" s="48" t="s">
        <v>106</v>
      </c>
      <c r="S5" s="48" t="s">
        <v>108</v>
      </c>
      <c r="T5" s="48" t="s">
        <v>110</v>
      </c>
      <c r="U5" s="48" t="s">
        <v>112</v>
      </c>
      <c r="V5" s="48" t="s">
        <v>114</v>
      </c>
      <c r="W5" s="48" t="s">
        <v>116</v>
      </c>
      <c r="X5" s="48" t="s">
        <v>118</v>
      </c>
      <c r="Y5" s="48" t="s">
        <v>120</v>
      </c>
      <c r="Z5" s="48" t="s">
        <v>122</v>
      </c>
      <c r="AB5" s="3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 x14ac:dyDescent="0.25">
      <c r="A6" s="29"/>
      <c r="D6" s="147"/>
      <c r="E6" s="147"/>
      <c r="F6" s="147"/>
      <c r="G6" s="147"/>
      <c r="H6" s="147"/>
      <c r="I6" s="147"/>
      <c r="J6" s="147"/>
      <c r="K6" s="147"/>
      <c r="AB6" s="3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 ht="24" x14ac:dyDescent="0.25">
      <c r="A7" s="29"/>
      <c r="C7" s="8" t="s">
        <v>96</v>
      </c>
      <c r="D7" s="26"/>
      <c r="E7" s="26"/>
      <c r="F7" s="26"/>
      <c r="G7" s="26"/>
      <c r="H7" s="26"/>
      <c r="I7" s="26"/>
      <c r="J7" s="26"/>
      <c r="K7" s="26"/>
      <c r="AB7" s="3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 x14ac:dyDescent="0.25">
      <c r="A8" s="29"/>
      <c r="D8" s="26"/>
      <c r="E8" s="26"/>
      <c r="F8" s="26"/>
      <c r="G8" s="26"/>
      <c r="H8" s="26"/>
      <c r="I8" s="26"/>
      <c r="J8" s="26"/>
      <c r="K8" s="26"/>
      <c r="AB8" s="3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 x14ac:dyDescent="0.25">
      <c r="A9" s="29"/>
      <c r="D9" s="26"/>
      <c r="E9" s="26"/>
      <c r="F9" s="26"/>
      <c r="G9" s="26"/>
      <c r="H9" s="26"/>
      <c r="I9" s="26"/>
      <c r="J9" s="26"/>
      <c r="K9" s="26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B9" s="3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 x14ac:dyDescent="0.25">
      <c r="A10" s="29"/>
      <c r="D10" s="26"/>
      <c r="E10" s="26"/>
      <c r="F10" s="26"/>
      <c r="G10" s="26"/>
      <c r="H10" s="26"/>
      <c r="I10" s="26"/>
      <c r="J10" s="26"/>
      <c r="K10" s="26"/>
      <c r="AB10" s="3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 x14ac:dyDescent="0.25">
      <c r="A11" s="29">
        <v>1</v>
      </c>
      <c r="C11" s="26" t="str">
        <f>"Profitability"</f>
        <v>Profitability</v>
      </c>
      <c r="D11" s="44"/>
      <c r="E11" s="44"/>
      <c r="F11" s="44"/>
      <c r="G11" s="44"/>
      <c r="H11" s="44"/>
      <c r="I11" s="44"/>
      <c r="J11" s="44"/>
      <c r="K11" s="44"/>
      <c r="L11" s="44"/>
      <c r="M11" s="44" t="s">
        <v>124</v>
      </c>
      <c r="N11" s="44" t="s">
        <v>124</v>
      </c>
      <c r="O11" s="44" t="s">
        <v>124</v>
      </c>
      <c r="P11" s="44" t="s">
        <v>124</v>
      </c>
      <c r="Q11" s="44" t="s">
        <v>124</v>
      </c>
      <c r="R11" s="44" t="s">
        <v>124</v>
      </c>
      <c r="S11" s="44" t="s">
        <v>124</v>
      </c>
      <c r="T11" s="44" t="s">
        <v>124</v>
      </c>
      <c r="U11" s="44" t="s">
        <v>124</v>
      </c>
      <c r="V11" s="44" t="s">
        <v>124</v>
      </c>
      <c r="W11" s="44" t="s">
        <v>124</v>
      </c>
      <c r="X11" s="44" t="s">
        <v>124</v>
      </c>
      <c r="Y11" s="44" t="s">
        <v>124</v>
      </c>
      <c r="Z11" s="44" t="s">
        <v>124</v>
      </c>
      <c r="AB11" s="3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x14ac:dyDescent="0.25">
      <c r="A12" s="29">
        <v>1</v>
      </c>
      <c r="C12" s="123" t="str">
        <f>"    Return on Invested Capital (ROIC)"</f>
        <v xml:space="preserve">    Return on Invested Capital (ROIC)</v>
      </c>
      <c r="D12" s="128">
        <f t="shared" ref="D12:D19" si="0">IF(COUNT(M12:Z12)&gt;0,MEDIAN(M12:Z12),"")</f>
        <v>7.2667703594235328E-2</v>
      </c>
      <c r="E12" s="128">
        <f t="shared" ref="E12:E19" si="1">IF(COUNT(M12:Z12)&gt;0,AVERAGE(M12:Z12),"")</f>
        <v>8.4094547173650544E-2</v>
      </c>
      <c r="F12" s="128">
        <f t="shared" ref="F12:F19" si="2">IF(COUNT(M12:Z12)&gt;0,MIN(M12:Z12),"")</f>
        <v>3.9182236169902204E-3</v>
      </c>
      <c r="G12" s="128">
        <f t="shared" ref="G12:G19" si="3">IF(COUNT(M12:Z12)&gt;0,MAX(M12:Z12),"")</f>
        <v>0.18356576285492268</v>
      </c>
      <c r="H12" s="128">
        <f t="shared" ref="H12:H19" si="4">IF(COUNT(M12:Z12)&gt;0,QUARTILE(M12:Z12,1),"")</f>
        <v>4.9950927237025808E-2</v>
      </c>
      <c r="I12" s="128">
        <f t="shared" ref="I12:I19" si="5">IF(COUNT(M12:Z12)&gt;0,QUARTILE(M12:Z12,3),"")</f>
        <v>0.10648937251955665</v>
      </c>
      <c r="J12" s="128">
        <f t="shared" ref="J12:J19" si="6">IF(COUNT(M12:Z12)&gt;1,STDEV(M12:Z12),"")</f>
        <v>5.3278815057665699E-2</v>
      </c>
      <c r="K12" s="124">
        <f t="shared" ref="K12:K19" si="7">IF(COUNT(M12:Z12)&gt;1,STDEV(M12:Z12)/AVERAGE(M12:Z12),"")</f>
        <v>0.63355849871749614</v>
      </c>
      <c r="L12" s="127"/>
      <c r="M12" s="127">
        <v>6.2687138431038222E-2</v>
      </c>
      <c r="N12" s="127">
        <v>4.263433475766621E-2</v>
      </c>
      <c r="O12" s="127">
        <v>4.6149765803010195E-2</v>
      </c>
      <c r="P12" s="127">
        <v>6.0480878356719794E-2</v>
      </c>
      <c r="Q12" s="127">
        <v>3.9182236169902204E-3</v>
      </c>
      <c r="R12" s="40">
        <v>8.2648268757432447E-2</v>
      </c>
      <c r="S12" s="40">
        <v>0.10460138343978857</v>
      </c>
      <c r="T12" s="40">
        <v>5.121798104836435E-2</v>
      </c>
      <c r="U12" s="40">
        <v>8.3136088169420294E-2</v>
      </c>
      <c r="V12" s="40">
        <v>0.11215333975886087</v>
      </c>
      <c r="W12" s="40">
        <v>0.17594140108959253</v>
      </c>
      <c r="X12" s="40">
        <v>0.18356576285492268</v>
      </c>
      <c r="Y12" s="40" t="s">
        <v>124</v>
      </c>
      <c r="Z12" s="40" t="s">
        <v>124</v>
      </c>
      <c r="AB12" s="30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x14ac:dyDescent="0.25">
      <c r="A13" s="29">
        <v>1</v>
      </c>
      <c r="C13" s="24" t="str">
        <f>"    Normalized Return on Invested Capital"</f>
        <v xml:space="preserve">    Normalized Return on Invested Capital</v>
      </c>
      <c r="D13" s="35">
        <f t="shared" si="0"/>
        <v>8.1063619954451244E-2</v>
      </c>
      <c r="E13" s="35">
        <f t="shared" si="1"/>
        <v>0.13536425817591374</v>
      </c>
      <c r="F13" s="35">
        <f t="shared" si="2"/>
        <v>4.7172032412823146E-2</v>
      </c>
      <c r="G13" s="35">
        <f t="shared" si="3"/>
        <v>0.61241702886031757</v>
      </c>
      <c r="H13" s="35">
        <f t="shared" si="4"/>
        <v>6.2806830047457532E-2</v>
      </c>
      <c r="I13" s="35">
        <f t="shared" si="5"/>
        <v>0.11351392326306287</v>
      </c>
      <c r="J13" s="35">
        <f t="shared" si="6"/>
        <v>0.15822469087856778</v>
      </c>
      <c r="K13" s="33">
        <f t="shared" si="7"/>
        <v>1.1688808627233458</v>
      </c>
      <c r="L13" s="40"/>
      <c r="M13" s="40">
        <v>6.5277925662785036E-2</v>
      </c>
      <c r="N13" s="40">
        <v>4.7172032412823146E-2</v>
      </c>
      <c r="O13" s="40">
        <v>4.790095661276083E-2</v>
      </c>
      <c r="P13" s="40">
        <v>6.9786850639505835E-2</v>
      </c>
      <c r="Q13" s="40">
        <v>7.6497348318980196E-2</v>
      </c>
      <c r="R13" s="40">
        <v>8.5629891589922291E-2</v>
      </c>
      <c r="S13" s="40">
        <v>8.935616840608572E-2</v>
      </c>
      <c r="T13" s="40">
        <v>5.5393543201475014E-2</v>
      </c>
      <c r="U13" s="40">
        <v>9.0053283907852416E-2</v>
      </c>
      <c r="V13" s="40">
        <v>0.61241702886031757</v>
      </c>
      <c r="W13" s="40">
        <v>0.20099022716976248</v>
      </c>
      <c r="X13" s="40">
        <v>0.18389584132869419</v>
      </c>
      <c r="Y13" s="40" t="s">
        <v>124</v>
      </c>
      <c r="Z13" s="40" t="s">
        <v>124</v>
      </c>
      <c r="AB13" s="30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 x14ac:dyDescent="0.25">
      <c r="A14" s="29">
        <v>1</v>
      </c>
      <c r="C14" s="123" t="str">
        <f>"    Return on Equity (ROE)"</f>
        <v xml:space="preserve">    Return on Equity (ROE)</v>
      </c>
      <c r="D14" s="128">
        <f t="shared" si="0"/>
        <v>0.20252796104048879</v>
      </c>
      <c r="E14" s="128">
        <f t="shared" si="1"/>
        <v>0.19241398537904988</v>
      </c>
      <c r="F14" s="128">
        <f t="shared" si="2"/>
        <v>7.7620393935259888E-3</v>
      </c>
      <c r="G14" s="128">
        <f t="shared" si="3"/>
        <v>0.31716812950377377</v>
      </c>
      <c r="H14" s="128">
        <f t="shared" si="4"/>
        <v>0.15744564356097041</v>
      </c>
      <c r="I14" s="128">
        <f t="shared" si="5"/>
        <v>0.23208302353801874</v>
      </c>
      <c r="J14" s="128">
        <f t="shared" si="6"/>
        <v>8.2926934225041465E-2</v>
      </c>
      <c r="K14" s="124">
        <f t="shared" si="7"/>
        <v>0.43098184397395983</v>
      </c>
      <c r="L14" s="127"/>
      <c r="M14" s="127">
        <v>0.1920358698674576</v>
      </c>
      <c r="N14" s="127">
        <v>0.15080160320641284</v>
      </c>
      <c r="O14" s="127">
        <v>0.15966032367915628</v>
      </c>
      <c r="P14" s="127">
        <v>0.2213529531088097</v>
      </c>
      <c r="Q14" s="127">
        <v>7.7620393935259888E-3</v>
      </c>
      <c r="R14" s="40">
        <v>0.21759339684209045</v>
      </c>
      <c r="S14" s="40">
        <v>0.2642732348256458</v>
      </c>
      <c r="T14" s="40">
        <v>0.10417638945064975</v>
      </c>
      <c r="U14" s="40">
        <v>0.17848055496035997</v>
      </c>
      <c r="V14" s="40">
        <v>0.21302005221351997</v>
      </c>
      <c r="W14" s="40">
        <v>0.31716812950377377</v>
      </c>
      <c r="X14" s="40">
        <v>0.28264327749719659</v>
      </c>
      <c r="Y14" s="40" t="s">
        <v>124</v>
      </c>
      <c r="Z14" s="40" t="s">
        <v>124</v>
      </c>
      <c r="AB14" s="30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 x14ac:dyDescent="0.25">
      <c r="A15" s="29">
        <v>1</v>
      </c>
      <c r="C15" s="24" t="str">
        <f>"    Normalized Return on Equity"</f>
        <v xml:space="preserve">    Normalized Return on Equity</v>
      </c>
      <c r="D15" s="35">
        <f t="shared" si="0"/>
        <v>0.2259545966870839</v>
      </c>
      <c r="E15" s="35">
        <f t="shared" si="1"/>
        <v>0.29965263590650798</v>
      </c>
      <c r="F15" s="35">
        <f t="shared" si="2"/>
        <v>0.11305344846487154</v>
      </c>
      <c r="G15" s="35">
        <f t="shared" si="3"/>
        <v>1.1680344942509582</v>
      </c>
      <c r="H15" s="35">
        <f t="shared" si="4"/>
        <v>0.18726730728830174</v>
      </c>
      <c r="I15" s="35">
        <f t="shared" si="5"/>
        <v>0.26331051485354429</v>
      </c>
      <c r="J15" s="35">
        <f t="shared" si="6"/>
        <v>0.28066047173692826</v>
      </c>
      <c r="K15" s="33">
        <f t="shared" si="7"/>
        <v>0.93661939895130675</v>
      </c>
      <c r="L15" s="40"/>
      <c r="M15" s="40">
        <v>0.20047424846294065</v>
      </c>
      <c r="N15" s="40">
        <v>0.16855138849126824</v>
      </c>
      <c r="O15" s="40">
        <v>0.16600650423637486</v>
      </c>
      <c r="P15" s="40">
        <v>0.25668718921497141</v>
      </c>
      <c r="Q15" s="40">
        <v>0.23232019118138239</v>
      </c>
      <c r="R15" s="40">
        <v>0.2256924066501087</v>
      </c>
      <c r="S15" s="40">
        <v>0.22621678672405907</v>
      </c>
      <c r="T15" s="40">
        <v>0.11305344846487154</v>
      </c>
      <c r="U15" s="40">
        <v>0.1935059468873129</v>
      </c>
      <c r="V15" s="40">
        <v>1.1680344942509582</v>
      </c>
      <c r="W15" s="40">
        <v>0.36210853454458525</v>
      </c>
      <c r="X15" s="40">
        <v>0.28318049176926291</v>
      </c>
      <c r="Y15" s="40" t="s">
        <v>124</v>
      </c>
      <c r="Z15" s="40" t="s">
        <v>124</v>
      </c>
      <c r="AB15" s="3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x14ac:dyDescent="0.25">
      <c r="A16" s="29">
        <v>1</v>
      </c>
      <c r="C16" s="24" t="str">
        <f>"    Forward ROE"</f>
        <v xml:space="preserve">    Forward ROE</v>
      </c>
      <c r="D16" s="35">
        <f t="shared" si="0"/>
        <v>0.19652865345921933</v>
      </c>
      <c r="E16" s="35">
        <f t="shared" si="1"/>
        <v>0.20066796869145653</v>
      </c>
      <c r="F16" s="35">
        <f t="shared" si="2"/>
        <v>0.18975069252077562</v>
      </c>
      <c r="G16" s="35">
        <f t="shared" si="3"/>
        <v>0.22033052205669845</v>
      </c>
      <c r="H16" s="35">
        <f t="shared" si="4"/>
        <v>0.19491168248091151</v>
      </c>
      <c r="I16" s="35">
        <f t="shared" si="5"/>
        <v>0.20400461223831806</v>
      </c>
      <c r="J16" s="35">
        <f t="shared" si="6"/>
        <v>1.1046359510091988E-2</v>
      </c>
      <c r="K16" s="33">
        <f t="shared" si="7"/>
        <v>5.5047946028081204E-2</v>
      </c>
      <c r="L16" s="40"/>
      <c r="M16" s="40">
        <v>0.18975069252077562</v>
      </c>
      <c r="N16" s="40">
        <v>0.19704206178906808</v>
      </c>
      <c r="O16" s="40">
        <v>0.20632546238806806</v>
      </c>
      <c r="P16" s="40">
        <v>0.22033052205669845</v>
      </c>
      <c r="Q16" s="40">
        <v>0.19601524512937055</v>
      </c>
      <c r="R16" s="40">
        <v>0.19454382826475849</v>
      </c>
      <c r="S16" s="40" t="s">
        <v>124</v>
      </c>
      <c r="T16" s="40" t="s">
        <v>124</v>
      </c>
      <c r="U16" s="40" t="s">
        <v>124</v>
      </c>
      <c r="V16" s="40" t="s">
        <v>124</v>
      </c>
      <c r="W16" s="40" t="s">
        <v>124</v>
      </c>
      <c r="X16" s="40" t="s">
        <v>124</v>
      </c>
      <c r="Y16" s="40" t="s">
        <v>124</v>
      </c>
      <c r="Z16" s="40" t="s">
        <v>124</v>
      </c>
      <c r="AB16" s="3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x14ac:dyDescent="0.25">
      <c r="A17" s="29">
        <v>1</v>
      </c>
      <c r="C17" s="24" t="str">
        <f>"    Return on Asset (ROA)"</f>
        <v xml:space="preserve">    Return on Asset (ROA)</v>
      </c>
      <c r="D17" s="35">
        <f t="shared" si="0"/>
        <v>3.8712142243435346E-2</v>
      </c>
      <c r="E17" s="35">
        <f t="shared" si="1"/>
        <v>7.3162412178834194E-2</v>
      </c>
      <c r="F17" s="35">
        <f t="shared" si="2"/>
        <v>-0.34107360581728707</v>
      </c>
      <c r="G17" s="35">
        <f t="shared" si="3"/>
        <v>0.92566004205266261</v>
      </c>
      <c r="H17" s="35">
        <f t="shared" si="4"/>
        <v>2.7191469660366244E-2</v>
      </c>
      <c r="I17" s="35">
        <f t="shared" si="5"/>
        <v>4.6902684558339534E-2</v>
      </c>
      <c r="J17" s="35">
        <f t="shared" si="6"/>
        <v>0.2656099555181391</v>
      </c>
      <c r="K17" s="33">
        <f t="shared" si="7"/>
        <v>3.6304155044655535</v>
      </c>
      <c r="L17" s="40"/>
      <c r="M17" s="40">
        <v>4.1483027622816041E-2</v>
      </c>
      <c r="N17" s="40">
        <v>2.6624579528768951E-2</v>
      </c>
      <c r="O17" s="40">
        <v>2.8892140055158114E-2</v>
      </c>
      <c r="P17" s="40">
        <v>3.6608066559131888E-2</v>
      </c>
      <c r="Q17" s="40">
        <v>1.4540429885606472E-3</v>
      </c>
      <c r="R17" s="40">
        <v>4.4236215376773816E-2</v>
      </c>
      <c r="S17" s="40">
        <v>5.1750058549336314E-2</v>
      </c>
      <c r="T17" s="40">
        <v>2.3000559844388448E-2</v>
      </c>
      <c r="U17" s="40">
        <v>3.3269261972815434E-2</v>
      </c>
      <c r="V17" s="40">
        <v>4.0816217927738797E-2</v>
      </c>
      <c r="W17" s="40">
        <v>6.3761656223953286E-2</v>
      </c>
      <c r="X17" s="40">
        <v>4.7791507618861438E-2</v>
      </c>
      <c r="Y17" s="40">
        <v>0.92566004205266261</v>
      </c>
      <c r="Z17" s="40">
        <v>-0.34107360581728707</v>
      </c>
      <c r="AB17" s="30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x14ac:dyDescent="0.25">
      <c r="A18" s="29">
        <v>1</v>
      </c>
      <c r="C18" s="24" t="str">
        <f>"    Normalized Return on Assets"</f>
        <v xml:space="preserve">    Normalized Return on Assets</v>
      </c>
      <c r="D18" s="35">
        <f t="shared" si="0"/>
        <v>4.3412904391527569E-2</v>
      </c>
      <c r="E18" s="35">
        <f t="shared" si="1"/>
        <v>9.6366193518896998E-2</v>
      </c>
      <c r="F18" s="35">
        <f t="shared" si="2"/>
        <v>-0.27857896066520943</v>
      </c>
      <c r="G18" s="35">
        <f t="shared" si="3"/>
        <v>0.94293550458796305</v>
      </c>
      <c r="H18" s="35">
        <f t="shared" si="4"/>
        <v>3.154791789816843E-2</v>
      </c>
      <c r="I18" s="35">
        <f t="shared" si="5"/>
        <v>4.7382439125312314E-2</v>
      </c>
      <c r="J18" s="35">
        <f t="shared" si="6"/>
        <v>0.26424854036400403</v>
      </c>
      <c r="K18" s="33">
        <f t="shared" si="7"/>
        <v>2.7421290674118617</v>
      </c>
      <c r="L18" s="40"/>
      <c r="M18" s="40">
        <v>4.3305861516347521E-2</v>
      </c>
      <c r="N18" s="40">
        <v>2.9758369620432313E-2</v>
      </c>
      <c r="O18" s="40">
        <v>3.0040545202093306E-2</v>
      </c>
      <c r="P18" s="40">
        <v>4.2451756688509104E-2</v>
      </c>
      <c r="Q18" s="40">
        <v>4.3519947266707618E-2</v>
      </c>
      <c r="R18" s="40">
        <v>4.5882724633973831E-2</v>
      </c>
      <c r="S18" s="40">
        <v>4.4297834268144091E-2</v>
      </c>
      <c r="T18" s="40">
        <v>2.4960479248156024E-2</v>
      </c>
      <c r="U18" s="40">
        <v>3.6070035986393814E-2</v>
      </c>
      <c r="V18" s="40">
        <v>0.22380405022470207</v>
      </c>
      <c r="W18" s="40">
        <v>7.2796216730586227E-2</v>
      </c>
      <c r="X18" s="40">
        <v>4.788234395575848E-2</v>
      </c>
      <c r="Y18" s="40">
        <v>0.94293550458796305</v>
      </c>
      <c r="Z18" s="40">
        <v>-0.27857896066520943</v>
      </c>
      <c r="AB18" s="3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x14ac:dyDescent="0.25">
      <c r="A19" s="29">
        <v>1</v>
      </c>
      <c r="C19" s="24" t="str">
        <f>"    Forward ROA"</f>
        <v xml:space="preserve">    Forward ROA</v>
      </c>
      <c r="D19" s="35">
        <f t="shared" si="0"/>
        <v>3.8428846730360039E-2</v>
      </c>
      <c r="E19" s="35">
        <f t="shared" si="1"/>
        <v>3.860444496355294E-2</v>
      </c>
      <c r="F19" s="35">
        <f t="shared" si="2"/>
        <v>3.5632179112199638E-2</v>
      </c>
      <c r="G19" s="35">
        <f t="shared" si="3"/>
        <v>4.3071467196519067E-2</v>
      </c>
      <c r="H19" s="35">
        <f t="shared" si="4"/>
        <v>3.6347902956378519E-2</v>
      </c>
      <c r="I19" s="35">
        <f t="shared" si="5"/>
        <v>3.9915517917710627E-2</v>
      </c>
      <c r="J19" s="35">
        <f t="shared" si="6"/>
        <v>2.8420911251113845E-3</v>
      </c>
      <c r="K19" s="33">
        <f t="shared" si="7"/>
        <v>7.3620825990236283E-2</v>
      </c>
      <c r="L19" s="40"/>
      <c r="M19" s="40">
        <v>4.3071467196519067E-2</v>
      </c>
      <c r="N19" s="40">
        <v>3.5632179112199638E-2</v>
      </c>
      <c r="O19" s="40">
        <v>3.9703988058679411E-2</v>
      </c>
      <c r="P19" s="40">
        <v>3.715370540204066E-2</v>
      </c>
      <c r="Q19" s="40">
        <v>3.6079302141157808E-2</v>
      </c>
      <c r="R19" s="40">
        <v>3.998602787072103E-2</v>
      </c>
      <c r="S19" s="40" t="s">
        <v>124</v>
      </c>
      <c r="T19" s="40" t="s">
        <v>124</v>
      </c>
      <c r="U19" s="40" t="s">
        <v>124</v>
      </c>
      <c r="V19" s="40" t="s">
        <v>124</v>
      </c>
      <c r="W19" s="40" t="s">
        <v>124</v>
      </c>
      <c r="X19" s="40" t="s">
        <v>124</v>
      </c>
      <c r="Y19" s="40" t="s">
        <v>124</v>
      </c>
      <c r="Z19" s="40" t="s">
        <v>124</v>
      </c>
      <c r="AB19" s="3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x14ac:dyDescent="0.25">
      <c r="A20" s="29">
        <v>1</v>
      </c>
      <c r="C20" s="26" t="str">
        <f>"Efficiency"</f>
        <v>Efficiency</v>
      </c>
      <c r="D20" s="44"/>
      <c r="E20" s="44"/>
      <c r="F20" s="44"/>
      <c r="G20" s="44"/>
      <c r="H20" s="44"/>
      <c r="I20" s="44"/>
      <c r="J20" s="44"/>
      <c r="K20" s="44"/>
      <c r="L20" s="44"/>
      <c r="M20" s="44" t="s">
        <v>124</v>
      </c>
      <c r="N20" s="44" t="s">
        <v>124</v>
      </c>
      <c r="O20" s="44" t="s">
        <v>124</v>
      </c>
      <c r="P20" s="44" t="s">
        <v>124</v>
      </c>
      <c r="Q20" s="44" t="s">
        <v>124</v>
      </c>
      <c r="R20" s="44" t="s">
        <v>124</v>
      </c>
      <c r="S20" s="44" t="s">
        <v>124</v>
      </c>
      <c r="T20" s="44" t="s">
        <v>124</v>
      </c>
      <c r="U20" s="44" t="s">
        <v>124</v>
      </c>
      <c r="V20" s="44" t="s">
        <v>124</v>
      </c>
      <c r="W20" s="44" t="s">
        <v>124</v>
      </c>
      <c r="X20" s="44" t="s">
        <v>124</v>
      </c>
      <c r="Y20" s="44" t="s">
        <v>124</v>
      </c>
      <c r="Z20" s="44" t="s">
        <v>124</v>
      </c>
      <c r="AB20" s="30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x14ac:dyDescent="0.25">
      <c r="A21" s="29">
        <v>1</v>
      </c>
      <c r="C21" s="24" t="str">
        <f>"    Cash to Assets"</f>
        <v xml:space="preserve">    Cash to Assets</v>
      </c>
      <c r="D21" s="34">
        <f t="shared" ref="D21:D34" si="8">IF(COUNT(M21:Z21)&gt;0,MEDIAN(M21:Z21),"")</f>
        <v>0.13968761841875643</v>
      </c>
      <c r="E21" s="34">
        <f t="shared" ref="E21:E34" si="9">IF(COUNT(M21:Z21)&gt;0,AVERAGE(M21:Z21),"")</f>
        <v>0.14695488574144661</v>
      </c>
      <c r="F21" s="34">
        <f t="shared" ref="F21:F34" si="10">IF(COUNT(M21:Z21)&gt;0,MIN(M21:Z21),"")</f>
        <v>0.10192644176164395</v>
      </c>
      <c r="G21" s="34">
        <f t="shared" ref="G21:G34" si="11">IF(COUNT(M21:Z21)&gt;0,MAX(M21:Z21),"")</f>
        <v>0.22281003851925618</v>
      </c>
      <c r="H21" s="34">
        <f t="shared" ref="H21:H34" si="12">IF(COUNT(M21:Z21)&gt;0,QUARTILE(M21:Z21,1),"")</f>
        <v>0.11736723363440021</v>
      </c>
      <c r="I21" s="34">
        <f t="shared" ref="I21:I34" si="13">IF(COUNT(M21:Z21)&gt;0,QUARTILE(M21:Z21,3),"")</f>
        <v>0.1725664722369693</v>
      </c>
      <c r="J21" s="34">
        <f t="shared" ref="J21:J34" si="14">IF(COUNT(M21:Z21)&gt;1,STDEV(M21:Z21),"")</f>
        <v>3.7257810804334393E-2</v>
      </c>
      <c r="K21" s="33">
        <f t="shared" ref="K21:K34" si="15">IF(COUNT(M21:Z21)&gt;1,STDEV(M21:Z21)/AVERAGE(M21:Z21),"")</f>
        <v>0.25353230426027501</v>
      </c>
      <c r="L21" s="39"/>
      <c r="M21" s="39">
        <v>0.11717977427079332</v>
      </c>
      <c r="N21" s="39">
        <v>0.12346403394644422</v>
      </c>
      <c r="O21" s="39">
        <v>0.10192644176164395</v>
      </c>
      <c r="P21" s="39">
        <v>0.11792961172522093</v>
      </c>
      <c r="Q21" s="39">
        <v>0.11212714488756695</v>
      </c>
      <c r="R21" s="39">
        <v>0.11013126437818575</v>
      </c>
      <c r="S21" s="39">
        <v>0.12041391801912132</v>
      </c>
      <c r="T21" s="39">
        <v>0.15873713387530211</v>
      </c>
      <c r="U21" s="39">
        <v>0.17429543596402636</v>
      </c>
      <c r="V21" s="39">
        <v>0.18344018953032351</v>
      </c>
      <c r="W21" s="39">
        <v>0.22281003851925618</v>
      </c>
      <c r="X21" s="39">
        <v>0.19162262955550116</v>
      </c>
      <c r="Y21" s="39">
        <v>0.16737958105579809</v>
      </c>
      <c r="Z21" s="39">
        <v>0.15591120289106866</v>
      </c>
      <c r="AB21" s="30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x14ac:dyDescent="0.25">
      <c r="A22" s="29">
        <v>1</v>
      </c>
      <c r="C22" s="24" t="str">
        <f>"    Cash Turnover"</f>
        <v xml:space="preserve">    Cash Turnover</v>
      </c>
      <c r="D22" s="34">
        <f t="shared" si="8"/>
        <v>5.4988649387378814</v>
      </c>
      <c r="E22" s="34">
        <f t="shared" si="9"/>
        <v>5.6916737008829932</v>
      </c>
      <c r="F22" s="34">
        <f t="shared" si="10"/>
        <v>3.5443312691706694</v>
      </c>
      <c r="G22" s="34">
        <f t="shared" si="11"/>
        <v>10.495913766380161</v>
      </c>
      <c r="H22" s="34">
        <f t="shared" si="12"/>
        <v>4.9081124924068247</v>
      </c>
      <c r="I22" s="34">
        <f t="shared" si="13"/>
        <v>6.0265028507592628</v>
      </c>
      <c r="J22" s="34">
        <f t="shared" si="14"/>
        <v>1.5737262491814838</v>
      </c>
      <c r="K22" s="33">
        <f t="shared" si="15"/>
        <v>0.27649621743729608</v>
      </c>
      <c r="L22" s="39"/>
      <c r="M22" s="39">
        <v>4.5305176042521316</v>
      </c>
      <c r="N22" s="39">
        <v>3.5443312691706694</v>
      </c>
      <c r="O22" s="39">
        <v>5.5271975963978184</v>
      </c>
      <c r="P22" s="39">
        <v>6.2117807084984324</v>
      </c>
      <c r="Q22" s="39">
        <v>6.151207104891796</v>
      </c>
      <c r="R22" s="39">
        <v>6.4015928459247693</v>
      </c>
      <c r="S22" s="39">
        <v>5.4705322810779435</v>
      </c>
      <c r="T22" s="39">
        <v>5.4619938349446544</v>
      </c>
      <c r="U22" s="39">
        <v>5.626072351608256</v>
      </c>
      <c r="V22" s="39">
        <v>4.7882557912811574</v>
      </c>
      <c r="W22" s="39">
        <v>4.9054017000274195</v>
      </c>
      <c r="X22" s="39">
        <v>4.9162448695450394</v>
      </c>
      <c r="Y22" s="39">
        <v>5.6523900883616616</v>
      </c>
      <c r="Z22" s="39">
        <v>10.495913766380161</v>
      </c>
      <c r="AB22" s="30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x14ac:dyDescent="0.25">
      <c r="A23" s="29">
        <v>1</v>
      </c>
      <c r="C23" s="24" t="str">
        <f>"    Inventory Turnover"</f>
        <v xml:space="preserve">    Inventory Turnover</v>
      </c>
      <c r="D23" s="34">
        <f t="shared" si="8"/>
        <v>9.6867855197831823</v>
      </c>
      <c r="E23" s="34">
        <f t="shared" si="9"/>
        <v>9.9865470739514137</v>
      </c>
      <c r="F23" s="34">
        <f t="shared" si="10"/>
        <v>8.4447410876176061</v>
      </c>
      <c r="G23" s="34">
        <f t="shared" si="11"/>
        <v>12.286210656661799</v>
      </c>
      <c r="H23" s="34">
        <f t="shared" si="12"/>
        <v>9.2800579055972392</v>
      </c>
      <c r="I23" s="34">
        <f t="shared" si="13"/>
        <v>10.614756778593495</v>
      </c>
      <c r="J23" s="34">
        <f t="shared" si="14"/>
        <v>1.1013411808983757</v>
      </c>
      <c r="K23" s="33">
        <f t="shared" si="15"/>
        <v>0.11028248029502394</v>
      </c>
      <c r="L23" s="39"/>
      <c r="M23" s="39">
        <v>8.6711164084227264</v>
      </c>
      <c r="N23" s="39">
        <v>10.334403373475668</v>
      </c>
      <c r="O23" s="39">
        <v>11.295037202653667</v>
      </c>
      <c r="P23" s="39">
        <v>12.286210656661799</v>
      </c>
      <c r="Q23" s="39">
        <v>10.708207913632771</v>
      </c>
      <c r="R23" s="39">
        <v>9.1561611841179609</v>
      </c>
      <c r="S23" s="39">
        <v>8.4447410876176061</v>
      </c>
      <c r="T23" s="39">
        <v>9.7439255155770077</v>
      </c>
      <c r="U23" s="39">
        <v>9.2710597000823363</v>
      </c>
      <c r="V23" s="39">
        <v>9.3070525221419445</v>
      </c>
      <c r="W23" s="39">
        <v>9.4009173654411242</v>
      </c>
      <c r="X23" s="39">
        <v>10.251547387114016</v>
      </c>
      <c r="Y23" s="39">
        <v>9.6296455239893568</v>
      </c>
      <c r="Z23" s="39">
        <v>11.311633194391815</v>
      </c>
      <c r="AB23" s="30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x14ac:dyDescent="0.25">
      <c r="A24" s="29">
        <v>1</v>
      </c>
      <c r="C24" s="24" t="str">
        <f>"    Receivable Turnover"</f>
        <v xml:space="preserve">    Receivable Turnover</v>
      </c>
      <c r="D24" s="34">
        <f t="shared" si="8"/>
        <v>5.667602576508763</v>
      </c>
      <c r="E24" s="34">
        <f t="shared" si="9"/>
        <v>8.1803047477481687</v>
      </c>
      <c r="F24" s="34">
        <f t="shared" si="10"/>
        <v>3.6717007602100771</v>
      </c>
      <c r="G24" s="34">
        <f t="shared" si="11"/>
        <v>17.863189448441247</v>
      </c>
      <c r="H24" s="34">
        <f t="shared" si="12"/>
        <v>4.6971046693886036</v>
      </c>
      <c r="I24" s="34">
        <f t="shared" si="13"/>
        <v>12.080262204258837</v>
      </c>
      <c r="J24" s="34">
        <f t="shared" si="14"/>
        <v>4.8537013019361934</v>
      </c>
      <c r="K24" s="33">
        <f t="shared" si="15"/>
        <v>0.59333991233912098</v>
      </c>
      <c r="L24" s="39"/>
      <c r="M24" s="39">
        <v>3.7845891615164104</v>
      </c>
      <c r="N24" s="39">
        <v>3.6717007602100771</v>
      </c>
      <c r="O24" s="39">
        <v>3.8255069102586261</v>
      </c>
      <c r="P24" s="39">
        <v>4.6100911678768046</v>
      </c>
      <c r="Q24" s="39">
        <v>4.9581451739240006</v>
      </c>
      <c r="R24" s="39">
        <v>5.2931784474989536</v>
      </c>
      <c r="S24" s="39">
        <v>5.0294969947157391</v>
      </c>
      <c r="T24" s="39">
        <v>6.0420267055185723</v>
      </c>
      <c r="U24" s="39">
        <v>7.9171845392122906</v>
      </c>
      <c r="V24" s="39">
        <v>9.6140634471610422</v>
      </c>
      <c r="W24" s="39">
        <v>12.902328456624769</v>
      </c>
      <c r="X24" s="39">
        <v>15.822072860510163</v>
      </c>
      <c r="Y24" s="39">
        <v>13.190692395005675</v>
      </c>
      <c r="Z24" s="39">
        <v>17.863189448441247</v>
      </c>
      <c r="AB24" s="30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x14ac:dyDescent="0.25">
      <c r="A25" s="29">
        <v>1</v>
      </c>
      <c r="C25" s="24" t="str">
        <f>"    Payable Turnover"</f>
        <v xml:space="preserve">    Payable Turnover</v>
      </c>
      <c r="D25" s="34">
        <f t="shared" si="8"/>
        <v>5.4422694969814094</v>
      </c>
      <c r="E25" s="34">
        <f t="shared" si="9"/>
        <v>5.4812448411195858</v>
      </c>
      <c r="F25" s="34">
        <f t="shared" si="10"/>
        <v>4.8797983714618072</v>
      </c>
      <c r="G25" s="34">
        <f t="shared" si="11"/>
        <v>6.7054674513679862</v>
      </c>
      <c r="H25" s="34">
        <f t="shared" si="12"/>
        <v>5.3093941901497397</v>
      </c>
      <c r="I25" s="34">
        <f t="shared" si="13"/>
        <v>5.5804875063087547</v>
      </c>
      <c r="J25" s="34">
        <f t="shared" si="14"/>
        <v>0.42353076714819499</v>
      </c>
      <c r="K25" s="33">
        <f t="shared" si="15"/>
        <v>7.7269083834920538E-2</v>
      </c>
      <c r="L25" s="39"/>
      <c r="M25" s="39">
        <v>5.4106342469556941</v>
      </c>
      <c r="N25" s="39">
        <v>5.6063166572208774</v>
      </c>
      <c r="O25" s="39">
        <v>5.5030000535723849</v>
      </c>
      <c r="P25" s="39">
        <v>5.4457205583590014</v>
      </c>
      <c r="Q25" s="39">
        <v>5.1916335116097052</v>
      </c>
      <c r="R25" s="39">
        <v>5.0156071769892403</v>
      </c>
      <c r="S25" s="39">
        <v>4.8797983714618072</v>
      </c>
      <c r="T25" s="39">
        <v>5.656332086285123</v>
      </c>
      <c r="U25" s="39">
        <v>5.2849591431605187</v>
      </c>
      <c r="V25" s="39">
        <v>5.4388184356038174</v>
      </c>
      <c r="W25" s="39">
        <v>5.3826993311174034</v>
      </c>
      <c r="X25" s="39">
        <v>5.7413773125796608</v>
      </c>
      <c r="Y25" s="39">
        <v>5.4750634393909818</v>
      </c>
      <c r="Z25" s="39">
        <v>6.7054674513679862</v>
      </c>
      <c r="AB25" s="30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x14ac:dyDescent="0.25">
      <c r="A26" s="29">
        <v>1</v>
      </c>
      <c r="C26" s="24" t="str">
        <f>"    Fixed Asset Turnover"</f>
        <v xml:space="preserve">    Fixed Asset Turnover</v>
      </c>
      <c r="D26" s="34">
        <f t="shared" si="8"/>
        <v>3.4040945495313659</v>
      </c>
      <c r="E26" s="34">
        <f t="shared" si="9"/>
        <v>3.7547528102340748</v>
      </c>
      <c r="F26" s="34">
        <f t="shared" si="10"/>
        <v>1.5681693062081503</v>
      </c>
      <c r="G26" s="34">
        <f t="shared" si="11"/>
        <v>7.2450200906215265</v>
      </c>
      <c r="H26" s="34">
        <f t="shared" si="12"/>
        <v>1.8444667080937602</v>
      </c>
      <c r="I26" s="34">
        <f t="shared" si="13"/>
        <v>5.409322765796988</v>
      </c>
      <c r="J26" s="34">
        <f t="shared" si="14"/>
        <v>2.0781914805125394</v>
      </c>
      <c r="K26" s="33">
        <f t="shared" si="15"/>
        <v>0.55348290168347536</v>
      </c>
      <c r="L26" s="39"/>
      <c r="M26" s="39">
        <v>1.6144015335060391</v>
      </c>
      <c r="N26" s="39">
        <v>1.5681693062081503</v>
      </c>
      <c r="O26" s="39">
        <v>1.6895615218697368</v>
      </c>
      <c r="P26" s="39">
        <v>1.806245808326598</v>
      </c>
      <c r="Q26" s="39">
        <v>1.9591294073952465</v>
      </c>
      <c r="R26" s="39">
        <v>2.4538779377319262</v>
      </c>
      <c r="S26" s="39">
        <v>3.2234276512974458</v>
      </c>
      <c r="T26" s="39">
        <v>4.9007153273659858</v>
      </c>
      <c r="U26" s="39">
        <v>5.5788585786073224</v>
      </c>
      <c r="V26" s="39">
        <v>6.0652994885032747</v>
      </c>
      <c r="W26" s="39">
        <v>7.1211403226112173</v>
      </c>
      <c r="X26" s="39">
        <v>7.2450200906215265</v>
      </c>
      <c r="Y26" s="39">
        <v>3.5847614477652865</v>
      </c>
      <c r="Z26" s="39">
        <v>3.7559309214672885</v>
      </c>
      <c r="AB26" s="3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x14ac:dyDescent="0.25">
      <c r="A27" s="29">
        <v>1</v>
      </c>
      <c r="C27" s="24" t="str">
        <f>"    Total Asset Turnover"</f>
        <v xml:space="preserve">    Total Asset Turnover</v>
      </c>
      <c r="D27" s="34">
        <f t="shared" si="8"/>
        <v>0.81250160857709763</v>
      </c>
      <c r="E27" s="34">
        <f t="shared" si="9"/>
        <v>0.84665017380320662</v>
      </c>
      <c r="F27" s="34">
        <f t="shared" si="10"/>
        <v>0.51591704217390677</v>
      </c>
      <c r="G27" s="34">
        <f t="shared" si="11"/>
        <v>1.6364305407572579</v>
      </c>
      <c r="H27" s="34">
        <f t="shared" si="12"/>
        <v>0.64777829425410893</v>
      </c>
      <c r="I27" s="34">
        <f t="shared" si="13"/>
        <v>0.98985820587861828</v>
      </c>
      <c r="J27" s="34">
        <f t="shared" si="14"/>
        <v>0.29217144209326351</v>
      </c>
      <c r="K27" s="33">
        <f t="shared" si="15"/>
        <v>0.34509110271697074</v>
      </c>
      <c r="L27" s="39"/>
      <c r="M27" s="39">
        <v>0.52976475014661928</v>
      </c>
      <c r="N27" s="39">
        <v>0.51591704217390677</v>
      </c>
      <c r="O27" s="39">
        <v>0.59473085716960172</v>
      </c>
      <c r="P27" s="39">
        <v>0.6666476259385492</v>
      </c>
      <c r="Q27" s="39">
        <v>0.64148851702596221</v>
      </c>
      <c r="R27" s="39">
        <v>0.7119792377568912</v>
      </c>
      <c r="S27" s="39">
        <v>0.73240632915627435</v>
      </c>
      <c r="T27" s="39">
        <v>0.89259688799792092</v>
      </c>
      <c r="U27" s="39">
        <v>0.96997591083263646</v>
      </c>
      <c r="V27" s="39">
        <v>1.0127956448510103</v>
      </c>
      <c r="W27" s="39">
        <v>1.0317483203091209</v>
      </c>
      <c r="X27" s="39">
        <v>0.99648563756061215</v>
      </c>
      <c r="Y27" s="39">
        <v>0.92013513156852911</v>
      </c>
      <c r="Z27" s="39">
        <v>1.6364305407572579</v>
      </c>
      <c r="AB27" s="30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x14ac:dyDescent="0.25">
      <c r="A28" s="29">
        <v>1</v>
      </c>
      <c r="C28" s="24" t="str">
        <f>"    Equity Turnover"</f>
        <v xml:space="preserve">    Equity Turnover</v>
      </c>
      <c r="D28" s="34">
        <f t="shared" si="8"/>
        <v>3.6960880603933433</v>
      </c>
      <c r="E28" s="34">
        <f t="shared" si="9"/>
        <v>3.5525122345814668</v>
      </c>
      <c r="F28" s="34">
        <f t="shared" si="10"/>
        <v>2.2039204253605984</v>
      </c>
      <c r="G28" s="34">
        <f t="shared" si="11"/>
        <v>5.2235954017320552</v>
      </c>
      <c r="H28" s="34">
        <f t="shared" si="12"/>
        <v>3.2795425591723539</v>
      </c>
      <c r="I28" s="34">
        <f t="shared" si="13"/>
        <v>3.7925925214778973</v>
      </c>
      <c r="J28" s="34">
        <f t="shared" si="14"/>
        <v>0.74886221744649506</v>
      </c>
      <c r="K28" s="33">
        <f t="shared" si="15"/>
        <v>0.21079792777539047</v>
      </c>
      <c r="L28" s="39"/>
      <c r="M28" s="39">
        <v>2.2039204253605984</v>
      </c>
      <c r="N28" s="39">
        <v>2.6460129962151981</v>
      </c>
      <c r="O28" s="39">
        <v>2.9934084246527535</v>
      </c>
      <c r="P28" s="39">
        <v>3.7903329741879275</v>
      </c>
      <c r="Q28" s="39">
        <v>3.374920604012221</v>
      </c>
      <c r="R28" s="39">
        <v>3.473579800783269</v>
      </c>
      <c r="S28" s="39">
        <v>3.6886805272455496</v>
      </c>
      <c r="T28" s="39">
        <v>3.7449444246971457</v>
      </c>
      <c r="U28" s="39">
        <v>3.9878844792019459</v>
      </c>
      <c r="V28" s="39">
        <v>3.7993711633478067</v>
      </c>
      <c r="W28" s="39">
        <v>3.7034955935411369</v>
      </c>
      <c r="X28" s="39">
        <v>5.2235954017320552</v>
      </c>
      <c r="Y28" s="39" t="s">
        <v>124</v>
      </c>
      <c r="Z28" s="39" t="s">
        <v>124</v>
      </c>
      <c r="AB28" s="30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x14ac:dyDescent="0.25">
      <c r="A29" s="29">
        <v>1</v>
      </c>
      <c r="C29" s="24" t="str">
        <f>"    Days In Sales"</f>
        <v xml:space="preserve">    Days In Sales</v>
      </c>
      <c r="D29" s="34">
        <f t="shared" si="8"/>
        <v>64.683435380254366</v>
      </c>
      <c r="E29" s="34">
        <f t="shared" si="9"/>
        <v>59.251722698782942</v>
      </c>
      <c r="F29" s="34">
        <f t="shared" si="10"/>
        <v>20.433081172514246</v>
      </c>
      <c r="G29" s="34">
        <f t="shared" si="11"/>
        <v>99.408972527248238</v>
      </c>
      <c r="H29" s="34">
        <f t="shared" si="12"/>
        <v>30.708404654393462</v>
      </c>
      <c r="I29" s="34">
        <f t="shared" si="13"/>
        <v>77.784664168310485</v>
      </c>
      <c r="J29" s="34">
        <f t="shared" si="14"/>
        <v>28.524925027087011</v>
      </c>
      <c r="K29" s="33">
        <f t="shared" si="15"/>
        <v>0.4814193364823961</v>
      </c>
      <c r="L29" s="39"/>
      <c r="M29" s="39">
        <v>96.443757676923553</v>
      </c>
      <c r="N29" s="39">
        <v>99.408972527248238</v>
      </c>
      <c r="O29" s="39">
        <v>95.412192047334173</v>
      </c>
      <c r="P29" s="39">
        <v>79.174139232500721</v>
      </c>
      <c r="Q29" s="39">
        <v>73.616238975739762</v>
      </c>
      <c r="R29" s="39">
        <v>68.956677659802651</v>
      </c>
      <c r="S29" s="39">
        <v>72.571869589242965</v>
      </c>
      <c r="T29" s="39">
        <v>60.410193100706088</v>
      </c>
      <c r="U29" s="39">
        <v>46.102247357280262</v>
      </c>
      <c r="V29" s="39">
        <v>37.965216477511561</v>
      </c>
      <c r="W29" s="39">
        <v>28.28946738002076</v>
      </c>
      <c r="X29" s="39">
        <v>23.069037996341969</v>
      </c>
      <c r="Y29" s="39">
        <v>27.671026589794341</v>
      </c>
      <c r="Z29" s="39">
        <v>20.433081172514246</v>
      </c>
      <c r="AB29" s="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x14ac:dyDescent="0.25">
      <c r="A30" s="29">
        <v>1</v>
      </c>
      <c r="C30" s="24" t="str">
        <f>"    Days In Inventory"</f>
        <v xml:space="preserve">    Days In Inventory</v>
      </c>
      <c r="D30" s="34">
        <f t="shared" si="8"/>
        <v>37.681509515646297</v>
      </c>
      <c r="E30" s="34">
        <f t="shared" si="9"/>
        <v>36.946883722891712</v>
      </c>
      <c r="F30" s="34">
        <f t="shared" si="10"/>
        <v>29.708102050333199</v>
      </c>
      <c r="G30" s="34">
        <f t="shared" si="11"/>
        <v>43.222165867843344</v>
      </c>
      <c r="H30" s="34">
        <f t="shared" si="12"/>
        <v>34.394232577513343</v>
      </c>
      <c r="I30" s="34">
        <f t="shared" si="13"/>
        <v>39.331761850959232</v>
      </c>
      <c r="J30" s="34">
        <f t="shared" si="14"/>
        <v>3.9075883687139954</v>
      </c>
      <c r="K30" s="33">
        <f t="shared" si="15"/>
        <v>0.1057623262092038</v>
      </c>
      <c r="L30" s="39"/>
      <c r="M30" s="39">
        <v>42.093772336565067</v>
      </c>
      <c r="N30" s="39">
        <v>35.318923290415668</v>
      </c>
      <c r="O30" s="39">
        <v>32.315077272542894</v>
      </c>
      <c r="P30" s="39">
        <v>29.708102050333199</v>
      </c>
      <c r="Q30" s="39">
        <v>34.086002339879236</v>
      </c>
      <c r="R30" s="39">
        <v>39.863867909306741</v>
      </c>
      <c r="S30" s="39">
        <v>43.222165867843344</v>
      </c>
      <c r="T30" s="39">
        <v>37.459235440223473</v>
      </c>
      <c r="U30" s="39">
        <v>39.369825220385373</v>
      </c>
      <c r="V30" s="39">
        <v>39.217571742680803</v>
      </c>
      <c r="W30" s="39">
        <v>38.82599812458546</v>
      </c>
      <c r="X30" s="39">
        <v>35.604381096535484</v>
      </c>
      <c r="Y30" s="39">
        <v>37.903783591069121</v>
      </c>
      <c r="Z30" s="39">
        <v>32.267665838118148</v>
      </c>
      <c r="AB30" s="30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x14ac:dyDescent="0.25">
      <c r="A31" s="29">
        <v>1</v>
      </c>
      <c r="C31" s="24" t="str">
        <f>"    Days In Payment"</f>
        <v xml:space="preserve">    Days In Payment</v>
      </c>
      <c r="D31" s="34">
        <f t="shared" si="8"/>
        <v>67.067635473178186</v>
      </c>
      <c r="E31" s="34">
        <f t="shared" si="9"/>
        <v>66.927138928388985</v>
      </c>
      <c r="F31" s="34">
        <f t="shared" si="10"/>
        <v>54.433192413086154</v>
      </c>
      <c r="G31" s="34">
        <f t="shared" si="11"/>
        <v>74.798172427493043</v>
      </c>
      <c r="H31" s="34">
        <f t="shared" si="12"/>
        <v>65.410715148750938</v>
      </c>
      <c r="I31" s="34">
        <f t="shared" si="13"/>
        <v>68.750401553162618</v>
      </c>
      <c r="J31" s="34">
        <f t="shared" si="14"/>
        <v>4.7235209644959104</v>
      </c>
      <c r="K31" s="33">
        <f t="shared" si="15"/>
        <v>7.0577063955326189E-2</v>
      </c>
      <c r="L31" s="39"/>
      <c r="M31" s="39">
        <v>67.459743782416652</v>
      </c>
      <c r="N31" s="39">
        <v>65.105134496797248</v>
      </c>
      <c r="O31" s="39">
        <v>66.327457104612023</v>
      </c>
      <c r="P31" s="39">
        <v>67.025106427787051</v>
      </c>
      <c r="Q31" s="39">
        <v>70.305424907935958</v>
      </c>
      <c r="R31" s="39">
        <v>72.772844267900098</v>
      </c>
      <c r="S31" s="39">
        <v>74.798172427493043</v>
      </c>
      <c r="T31" s="39">
        <v>64.529450257175228</v>
      </c>
      <c r="U31" s="39">
        <v>69.063920857810487</v>
      </c>
      <c r="V31" s="39">
        <v>67.11016451856932</v>
      </c>
      <c r="W31" s="39">
        <v>67.809843639219039</v>
      </c>
      <c r="X31" s="39">
        <v>63.573595694584597</v>
      </c>
      <c r="Y31" s="39">
        <v>66.665894202058922</v>
      </c>
      <c r="Z31" s="39">
        <v>54.433192413086154</v>
      </c>
      <c r="AB31" s="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x14ac:dyDescent="0.25">
      <c r="A32" s="29">
        <v>1</v>
      </c>
      <c r="C32" s="24" t="str">
        <f>"    Cash Conversion Cycle"</f>
        <v xml:space="preserve">    Cash Conversion Cycle</v>
      </c>
      <c r="D32" s="34">
        <f t="shared" si="8"/>
        <v>34.69383979248181</v>
      </c>
      <c r="E32" s="34">
        <f t="shared" si="9"/>
        <v>29.271467493285677</v>
      </c>
      <c r="F32" s="34">
        <f t="shared" si="10"/>
        <v>-4.9001766017071446</v>
      </c>
      <c r="G32" s="34">
        <f t="shared" si="11"/>
        <v>71.077786231071954</v>
      </c>
      <c r="H32" s="34">
        <f t="shared" si="12"/>
        <v>1.9973723244461468</v>
      </c>
      <c r="I32" s="34">
        <f t="shared" si="13"/>
        <v>41.641816898683466</v>
      </c>
      <c r="J32" s="34">
        <f t="shared" si="14"/>
        <v>26.768837274128984</v>
      </c>
      <c r="K32" s="33">
        <f t="shared" si="15"/>
        <v>0.91450274162951517</v>
      </c>
      <c r="L32" s="39"/>
      <c r="M32" s="39">
        <v>71.077786231071954</v>
      </c>
      <c r="N32" s="39">
        <v>69.622761320866672</v>
      </c>
      <c r="O32" s="39">
        <v>61.399812215265044</v>
      </c>
      <c r="P32" s="39">
        <v>41.857134855046866</v>
      </c>
      <c r="Q32" s="39">
        <v>37.396816407683048</v>
      </c>
      <c r="R32" s="39">
        <v>36.047701301209287</v>
      </c>
      <c r="S32" s="39">
        <v>40.995863029593266</v>
      </c>
      <c r="T32" s="39">
        <v>33.339978283754334</v>
      </c>
      <c r="U32" s="39">
        <v>16.408151719855155</v>
      </c>
      <c r="V32" s="39">
        <v>10.072623701623044</v>
      </c>
      <c r="W32" s="39">
        <v>-0.69437813461281905</v>
      </c>
      <c r="X32" s="39">
        <v>-4.9001766017071446</v>
      </c>
      <c r="Y32" s="39">
        <v>-1.0910840211954564</v>
      </c>
      <c r="Z32" s="39">
        <v>-1.7324454024537559</v>
      </c>
      <c r="AB32" s="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x14ac:dyDescent="0.25">
      <c r="A33" s="29">
        <v>1</v>
      </c>
      <c r="C33" s="24" t="str">
        <f>"    Sales Per Full Time Employee"</f>
        <v xml:space="preserve">    Sales Per Full Time Employee</v>
      </c>
      <c r="D33" s="32">
        <f t="shared" si="8"/>
        <v>723.93226650563611</v>
      </c>
      <c r="E33" s="32">
        <f t="shared" si="9"/>
        <v>744.39635473356395</v>
      </c>
      <c r="F33" s="32">
        <f t="shared" si="10"/>
        <v>631.2790697674418</v>
      </c>
      <c r="G33" s="32">
        <f t="shared" si="11"/>
        <v>849.99421965317913</v>
      </c>
      <c r="H33" s="32">
        <f t="shared" si="12"/>
        <v>700.09612776346125</v>
      </c>
      <c r="I33" s="32">
        <f t="shared" si="13"/>
        <v>808.85233545647554</v>
      </c>
      <c r="J33" s="32">
        <f t="shared" si="14"/>
        <v>72.486709886844338</v>
      </c>
      <c r="K33" s="33">
        <f t="shared" si="15"/>
        <v>9.7376497649278457E-2</v>
      </c>
      <c r="L33" s="37"/>
      <c r="M33" s="37">
        <v>808.9426751592357</v>
      </c>
      <c r="N33" s="37">
        <v>790.22580645161281</v>
      </c>
      <c r="O33" s="37">
        <v>836.81097560975604</v>
      </c>
      <c r="P33" s="37">
        <v>849.99421965317913</v>
      </c>
      <c r="Q33" s="37">
        <v>808.82222222222219</v>
      </c>
      <c r="R33" s="37">
        <v>663.04</v>
      </c>
      <c r="S33" s="37">
        <v>631.2790697674418</v>
      </c>
      <c r="T33" s="37">
        <v>721.89351851851859</v>
      </c>
      <c r="U33" s="37">
        <v>709.71232876712327</v>
      </c>
      <c r="V33" s="37">
        <v>714.81690140845069</v>
      </c>
      <c r="W33" s="37">
        <v>725.97101449275362</v>
      </c>
      <c r="X33" s="37">
        <v>671.24752475247521</v>
      </c>
      <c r="Y33" s="37" t="s">
        <v>124</v>
      </c>
      <c r="Z33" s="37" t="s">
        <v>124</v>
      </c>
      <c r="AB33" s="30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x14ac:dyDescent="0.25">
      <c r="A34" s="29">
        <v>1</v>
      </c>
      <c r="C34" s="24" t="str">
        <f>"    Net Income per Full Time Employee"</f>
        <v xml:space="preserve">    Net Income per Full Time Employee</v>
      </c>
      <c r="D34" s="32">
        <f t="shared" si="8"/>
        <v>40.716542092840285</v>
      </c>
      <c r="E34" s="32">
        <f t="shared" si="9"/>
        <v>35.65804223406618</v>
      </c>
      <c r="F34" s="32">
        <f t="shared" si="10"/>
        <v>1.8333333333333333</v>
      </c>
      <c r="G34" s="32">
        <f t="shared" si="11"/>
        <v>63.343949044585983</v>
      </c>
      <c r="H34" s="32">
        <f t="shared" si="12"/>
        <v>27.691250241173066</v>
      </c>
      <c r="I34" s="32">
        <f t="shared" si="13"/>
        <v>44.669671946972251</v>
      </c>
      <c r="J34" s="32">
        <f t="shared" si="14"/>
        <v>15.830259275256706</v>
      </c>
      <c r="K34" s="33">
        <f t="shared" si="15"/>
        <v>0.44394639423398147</v>
      </c>
      <c r="L34" s="37"/>
      <c r="M34" s="37">
        <v>63.343949044585983</v>
      </c>
      <c r="N34" s="37">
        <v>40.780645161290323</v>
      </c>
      <c r="O34" s="37">
        <v>40.652439024390247</v>
      </c>
      <c r="P34" s="37">
        <v>46.676300578034677</v>
      </c>
      <c r="Q34" s="37">
        <v>1.8333333333333333</v>
      </c>
      <c r="R34" s="37">
        <v>41.195555555555558</v>
      </c>
      <c r="S34" s="37">
        <v>44.604651162790695</v>
      </c>
      <c r="T34" s="37">
        <v>18.601851851851851</v>
      </c>
      <c r="U34" s="37">
        <v>24.342465753424658</v>
      </c>
      <c r="V34" s="37">
        <v>28.8075117370892</v>
      </c>
      <c r="W34" s="37">
        <v>44.864734299516911</v>
      </c>
      <c r="X34" s="37">
        <v>32.193069306930695</v>
      </c>
      <c r="Y34" s="37" t="s">
        <v>124</v>
      </c>
      <c r="Z34" s="37" t="s">
        <v>124</v>
      </c>
      <c r="AB34" s="30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x14ac:dyDescent="0.25">
      <c r="A35" s="29">
        <v>1</v>
      </c>
      <c r="C35" s="26" t="str">
        <f>"Margins"</f>
        <v>Margins</v>
      </c>
      <c r="D35" s="44"/>
      <c r="E35" s="44"/>
      <c r="F35" s="44"/>
      <c r="G35" s="44"/>
      <c r="H35" s="44"/>
      <c r="I35" s="44"/>
      <c r="J35" s="44"/>
      <c r="K35" s="44"/>
      <c r="L35" s="44"/>
      <c r="M35" s="44" t="s">
        <v>124</v>
      </c>
      <c r="N35" s="44" t="s">
        <v>124</v>
      </c>
      <c r="O35" s="44" t="s">
        <v>124</v>
      </c>
      <c r="P35" s="44" t="s">
        <v>124</v>
      </c>
      <c r="Q35" s="44" t="s">
        <v>124</v>
      </c>
      <c r="R35" s="44" t="s">
        <v>124</v>
      </c>
      <c r="S35" s="44" t="s">
        <v>124</v>
      </c>
      <c r="T35" s="44" t="s">
        <v>124</v>
      </c>
      <c r="U35" s="44" t="s">
        <v>124</v>
      </c>
      <c r="V35" s="44" t="s">
        <v>124</v>
      </c>
      <c r="W35" s="44" t="s">
        <v>124</v>
      </c>
      <c r="X35" s="44" t="s">
        <v>124</v>
      </c>
      <c r="Y35" s="44" t="s">
        <v>124</v>
      </c>
      <c r="Z35" s="44" t="s">
        <v>124</v>
      </c>
      <c r="AB35" s="30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x14ac:dyDescent="0.25">
      <c r="A36" s="29">
        <v>1</v>
      </c>
      <c r="C36" s="24" t="str">
        <f>"    Gross Margin"</f>
        <v xml:space="preserve">    Gross Margin</v>
      </c>
      <c r="D36" s="35">
        <f t="shared" ref="D36:D48" si="16">IF(COUNT(M36:Z36)&gt;0,MEDIAN(M36:Z36),"")</f>
        <v>0.11388962781518334</v>
      </c>
      <c r="E36" s="35">
        <f t="shared" ref="E36:E48" si="17">IF(COUNT(M36:Z36)&gt;0,AVERAGE(M36:Z36),"")</f>
        <v>9.1604527937199989E-2</v>
      </c>
      <c r="F36" s="35">
        <f t="shared" ref="F36:F48" si="18">IF(COUNT(M36:Z36)&gt;0,MIN(M36:Z36),"")</f>
        <v>-7.2722752870760785E-2</v>
      </c>
      <c r="G36" s="35">
        <f t="shared" ref="G36:G48" si="19">IF(COUNT(M36:Z36)&gt;0,MAX(M36:Z36),"")</f>
        <v>0.14076721993008096</v>
      </c>
      <c r="H36" s="35">
        <f t="shared" ref="H36:H48" si="20">IF(COUNT(M36:Z36)&gt;0,QUARTILE(M36:Z36,1),"")</f>
        <v>9.0377943387874915E-2</v>
      </c>
      <c r="I36" s="35">
        <f t="shared" ref="I36:I48" si="21">IF(COUNT(M36:Z36)&gt;0,QUARTILE(M36:Z36,3),"")</f>
        <v>0.12665536498646265</v>
      </c>
      <c r="J36" s="35">
        <f t="shared" ref="J36:J48" si="22">IF(COUNT(M36:Z36)&gt;1,STDEV(M36:Z36),"")</f>
        <v>5.931537358948686E-2</v>
      </c>
      <c r="K36" s="33">
        <f t="shared" ref="K36:K48" si="23">IF(COUNT(M36:Z36)&gt;1,STDEV(M36:Z36)/AVERAGE(M36:Z36),"")</f>
        <v>0.64751573885245994</v>
      </c>
      <c r="L36" s="40"/>
      <c r="M36" s="40">
        <v>0.14076721993008096</v>
      </c>
      <c r="N36" s="40">
        <v>0.1116218312446422</v>
      </c>
      <c r="O36" s="40">
        <v>0.10180927883879712</v>
      </c>
      <c r="P36" s="40">
        <v>9.5852402940516432E-2</v>
      </c>
      <c r="Q36" s="40">
        <v>0.12522323268401242</v>
      </c>
      <c r="R36" s="40">
        <v>0.12756729944229944</v>
      </c>
      <c r="S36" s="40">
        <v>0.12839196905507461</v>
      </c>
      <c r="T36" s="40">
        <v>8.8553123536994405E-2</v>
      </c>
      <c r="U36" s="40">
        <v>0.11615742438572449</v>
      </c>
      <c r="V36" s="40">
        <v>7.1018547709121485E-2</v>
      </c>
      <c r="W36" s="40">
        <v>0.12713274242061273</v>
      </c>
      <c r="X36" s="40">
        <v>0.12295710661395953</v>
      </c>
      <c r="Y36" s="40">
        <v>-7.2722752870760785E-2</v>
      </c>
      <c r="Z36" s="40">
        <v>-1.8660348102752737E-3</v>
      </c>
      <c r="AB36" s="30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x14ac:dyDescent="0.25">
      <c r="A37" s="29">
        <v>1</v>
      </c>
      <c r="C37" s="24" t="str">
        <f>"    Selling, General and Admin Expense Margin"</f>
        <v xml:space="preserve">    Selling, General and Admin Expense Margin</v>
      </c>
      <c r="D37" s="35">
        <f t="shared" si="16"/>
        <v>8.0937741222816689E-2</v>
      </c>
      <c r="E37" s="35">
        <f t="shared" si="17"/>
        <v>8.430794853269509E-2</v>
      </c>
      <c r="F37" s="35">
        <f t="shared" si="18"/>
        <v>6.5624383708831752E-2</v>
      </c>
      <c r="G37" s="35">
        <f t="shared" si="19"/>
        <v>0.12828308904378088</v>
      </c>
      <c r="H37" s="35">
        <f t="shared" si="20"/>
        <v>7.3657640940516883E-2</v>
      </c>
      <c r="I37" s="35">
        <f t="shared" si="21"/>
        <v>8.987143917281834E-2</v>
      </c>
      <c r="J37" s="35">
        <f t="shared" si="22"/>
        <v>1.7681506276367224E-2</v>
      </c>
      <c r="K37" s="33">
        <f t="shared" si="23"/>
        <v>0.20972525822414287</v>
      </c>
      <c r="L37" s="40"/>
      <c r="M37" s="40" t="s">
        <v>124</v>
      </c>
      <c r="N37" s="40" t="s">
        <v>124</v>
      </c>
      <c r="O37" s="40" t="s">
        <v>124</v>
      </c>
      <c r="P37" s="40">
        <v>6.5624383708831752E-2</v>
      </c>
      <c r="Q37" s="40">
        <v>6.5733439569195265E-2</v>
      </c>
      <c r="R37" s="40">
        <v>6.9343897468897464E-2</v>
      </c>
      <c r="S37" s="40">
        <v>8.758887456253453E-2</v>
      </c>
      <c r="T37" s="40">
        <v>7.7971384412136288E-2</v>
      </c>
      <c r="U37" s="40">
        <v>7.9664408371775824E-2</v>
      </c>
      <c r="V37" s="40">
        <v>9.2154003783102137E-2</v>
      </c>
      <c r="W37" s="40">
        <v>8.0937741222816689E-2</v>
      </c>
      <c r="X37" s="40">
        <v>8.4415009735087615E-2</v>
      </c>
      <c r="Y37" s="40">
        <v>0.12828308904378088</v>
      </c>
      <c r="Z37" s="40">
        <v>9.5671201981487319E-2</v>
      </c>
      <c r="AB37" s="30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x14ac:dyDescent="0.25">
      <c r="A38" s="29">
        <v>1</v>
      </c>
      <c r="C38" s="24" t="str">
        <f>"    EBITDAR Margin"</f>
        <v xml:space="preserve">    EBITDAR Margin</v>
      </c>
      <c r="D38" s="35">
        <f t="shared" si="16"/>
        <v>0.11324379858687571</v>
      </c>
      <c r="E38" s="35">
        <f t="shared" si="17"/>
        <v>0.18135672128142552</v>
      </c>
      <c r="F38" s="35">
        <f t="shared" si="18"/>
        <v>-0.11523100571221448</v>
      </c>
      <c r="G38" s="35">
        <f t="shared" si="19"/>
        <v>1.1349855147290824</v>
      </c>
      <c r="H38" s="35">
        <f t="shared" si="20"/>
        <v>9.8167780476341643E-2</v>
      </c>
      <c r="I38" s="35">
        <f t="shared" si="21"/>
        <v>0.1656377889146953</v>
      </c>
      <c r="J38" s="35">
        <f t="shared" si="22"/>
        <v>0.28468688412574367</v>
      </c>
      <c r="K38" s="33">
        <f t="shared" si="23"/>
        <v>1.5697619702992567</v>
      </c>
      <c r="L38" s="40"/>
      <c r="M38" s="40">
        <v>0.20148971685931152</v>
      </c>
      <c r="N38" s="40">
        <v>0.17675633751071559</v>
      </c>
      <c r="O38" s="40">
        <v>0.15908246318412672</v>
      </c>
      <c r="P38" s="40">
        <v>9.8405973519031076E-2</v>
      </c>
      <c r="Q38" s="40">
        <v>0.16782289749155149</v>
      </c>
      <c r="R38" s="40">
        <v>0.14886314886314886</v>
      </c>
      <c r="S38" s="40">
        <v>0.11543193958371707</v>
      </c>
      <c r="T38" s="40">
        <v>7.4880233952632283E-2</v>
      </c>
      <c r="U38" s="40">
        <v>0.10028502126400175</v>
      </c>
      <c r="V38" s="40">
        <v>6.7077816309373692E-2</v>
      </c>
      <c r="W38" s="40">
        <v>0.11105565759003434</v>
      </c>
      <c r="X38" s="40">
        <v>9.8088382795445156E-2</v>
      </c>
      <c r="Y38" s="40">
        <v>1.1349855147290824</v>
      </c>
      <c r="Z38" s="40">
        <v>-0.11523100571221448</v>
      </c>
      <c r="AB38" s="30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x14ac:dyDescent="0.25">
      <c r="A39" s="29">
        <v>1</v>
      </c>
      <c r="C39" s="24" t="str">
        <f>"    Normalized EBITDAR Margin"</f>
        <v xml:space="preserve">    Normalized EBITDAR Margin</v>
      </c>
      <c r="D39" s="35">
        <f t="shared" si="16"/>
        <v>0.13515875721105597</v>
      </c>
      <c r="E39" s="35">
        <f t="shared" si="17"/>
        <v>0.20146045313979952</v>
      </c>
      <c r="F39" s="35">
        <f t="shared" si="18"/>
        <v>-5.6477758610273932E-2</v>
      </c>
      <c r="G39" s="35">
        <f t="shared" si="19"/>
        <v>1.1638700054499038</v>
      </c>
      <c r="H39" s="35">
        <f t="shared" si="20"/>
        <v>9.9377671133053597E-2</v>
      </c>
      <c r="I39" s="35">
        <f t="shared" si="21"/>
        <v>0.17432879402804416</v>
      </c>
      <c r="J39" s="35">
        <f t="shared" si="22"/>
        <v>0.2857443080886406</v>
      </c>
      <c r="K39" s="33">
        <f t="shared" si="23"/>
        <v>1.4183642677024755</v>
      </c>
      <c r="L39" s="40"/>
      <c r="M39" s="40">
        <v>0.19685994141916791</v>
      </c>
      <c r="N39" s="40">
        <v>0.17625015307996897</v>
      </c>
      <c r="O39" s="40">
        <v>0.1578801635127553</v>
      </c>
      <c r="P39" s="40">
        <v>9.7793932634700001E-2</v>
      </c>
      <c r="Q39" s="40">
        <v>0.1685647168722697</v>
      </c>
      <c r="R39" s="40">
        <v>0.15039816602316602</v>
      </c>
      <c r="S39" s="40">
        <v>0.11806225824277031</v>
      </c>
      <c r="T39" s="40">
        <v>7.7156911158283575E-2</v>
      </c>
      <c r="U39" s="40">
        <v>0.1029357833581038</v>
      </c>
      <c r="V39" s="40">
        <v>0.24904108869272804</v>
      </c>
      <c r="W39" s="40">
        <v>0.11991934839894594</v>
      </c>
      <c r="X39" s="40">
        <v>9.819163372470352E-2</v>
      </c>
      <c r="Y39" s="40">
        <v>1.1638700054499038</v>
      </c>
      <c r="Z39" s="40">
        <v>-5.6477758610273932E-2</v>
      </c>
      <c r="AB39" s="30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x14ac:dyDescent="0.25">
      <c r="A40" s="29">
        <v>1</v>
      </c>
      <c r="C40" s="24" t="str">
        <f>"    EBITDA Margin"</f>
        <v xml:space="preserve">    EBITDA Margin</v>
      </c>
      <c r="D40" s="35">
        <f t="shared" si="16"/>
        <v>0.11324379858687571</v>
      </c>
      <c r="E40" s="35">
        <f t="shared" si="17"/>
        <v>0.18135672128142552</v>
      </c>
      <c r="F40" s="35">
        <f t="shared" si="18"/>
        <v>-0.11523100571221448</v>
      </c>
      <c r="G40" s="35">
        <f t="shared" si="19"/>
        <v>1.1349855147290824</v>
      </c>
      <c r="H40" s="35">
        <f t="shared" si="20"/>
        <v>9.8167780476341643E-2</v>
      </c>
      <c r="I40" s="35">
        <f t="shared" si="21"/>
        <v>0.1656377889146953</v>
      </c>
      <c r="J40" s="35">
        <f t="shared" si="22"/>
        <v>0.28468688412574367</v>
      </c>
      <c r="K40" s="33">
        <f t="shared" si="23"/>
        <v>1.5697619702992567</v>
      </c>
      <c r="L40" s="40"/>
      <c r="M40" s="40">
        <v>0.20148971685931152</v>
      </c>
      <c r="N40" s="40">
        <v>0.17675633751071559</v>
      </c>
      <c r="O40" s="40">
        <v>0.15908246318412672</v>
      </c>
      <c r="P40" s="40">
        <v>9.8405973519031076E-2</v>
      </c>
      <c r="Q40" s="40">
        <v>0.16782289749155149</v>
      </c>
      <c r="R40" s="40">
        <v>0.14886314886314886</v>
      </c>
      <c r="S40" s="40">
        <v>0.11543193958371707</v>
      </c>
      <c r="T40" s="40">
        <v>7.4880233952632283E-2</v>
      </c>
      <c r="U40" s="40">
        <v>0.10028502126400175</v>
      </c>
      <c r="V40" s="40">
        <v>6.7077816309373692E-2</v>
      </c>
      <c r="W40" s="40">
        <v>0.11105565759003434</v>
      </c>
      <c r="X40" s="40">
        <v>9.8088382795445156E-2</v>
      </c>
      <c r="Y40" s="40">
        <v>1.1349855147290824</v>
      </c>
      <c r="Z40" s="40">
        <v>-0.11523100571221448</v>
      </c>
      <c r="AB40" s="30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x14ac:dyDescent="0.25">
      <c r="A41" s="29">
        <v>1</v>
      </c>
      <c r="C41" s="24" t="str">
        <f>"    Normalized EBITDA Margin"</f>
        <v xml:space="preserve">    Normalized EBITDA Margin</v>
      </c>
      <c r="D41" s="35">
        <f t="shared" si="16"/>
        <v>0.13515875721105597</v>
      </c>
      <c r="E41" s="35">
        <f t="shared" si="17"/>
        <v>0.20146045313979952</v>
      </c>
      <c r="F41" s="35">
        <f t="shared" si="18"/>
        <v>-5.6477758610273932E-2</v>
      </c>
      <c r="G41" s="35">
        <f t="shared" si="19"/>
        <v>1.1638700054499038</v>
      </c>
      <c r="H41" s="35">
        <f t="shared" si="20"/>
        <v>9.9377671133053597E-2</v>
      </c>
      <c r="I41" s="35">
        <f t="shared" si="21"/>
        <v>0.17432879402804416</v>
      </c>
      <c r="J41" s="35">
        <f t="shared" si="22"/>
        <v>0.2857443080886406</v>
      </c>
      <c r="K41" s="33">
        <f t="shared" si="23"/>
        <v>1.4183642677024755</v>
      </c>
      <c r="L41" s="40"/>
      <c r="M41" s="40">
        <v>0.19685994141916791</v>
      </c>
      <c r="N41" s="40">
        <v>0.17625015307996897</v>
      </c>
      <c r="O41" s="40">
        <v>0.1578801635127553</v>
      </c>
      <c r="P41" s="40">
        <v>9.7793932634700001E-2</v>
      </c>
      <c r="Q41" s="40">
        <v>0.1685647168722697</v>
      </c>
      <c r="R41" s="40">
        <v>0.15039816602316602</v>
      </c>
      <c r="S41" s="40">
        <v>0.11806225824277031</v>
      </c>
      <c r="T41" s="40">
        <v>7.7156911158283575E-2</v>
      </c>
      <c r="U41" s="40">
        <v>0.1029357833581038</v>
      </c>
      <c r="V41" s="40">
        <v>0.24904108869272804</v>
      </c>
      <c r="W41" s="40">
        <v>0.11991934839894594</v>
      </c>
      <c r="X41" s="40">
        <v>9.819163372470352E-2</v>
      </c>
      <c r="Y41" s="40">
        <v>1.1638700054499038</v>
      </c>
      <c r="Z41" s="40">
        <v>-5.6477758610273932E-2</v>
      </c>
      <c r="AB41" s="30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x14ac:dyDescent="0.25">
      <c r="A42" s="29">
        <v>1</v>
      </c>
      <c r="C42" s="24" t="str">
        <f>"    EBITA Margin"</f>
        <v xml:space="preserve">    EBITA Margin</v>
      </c>
      <c r="D42" s="35">
        <f t="shared" si="16"/>
        <v>5.823912872009649E-2</v>
      </c>
      <c r="E42" s="35">
        <f t="shared" si="17"/>
        <v>9.3508819961161241E-2</v>
      </c>
      <c r="F42" s="35">
        <f t="shared" si="18"/>
        <v>-0.18750656788566625</v>
      </c>
      <c r="G42" s="35">
        <f t="shared" si="19"/>
        <v>1.0261404162961689</v>
      </c>
      <c r="H42" s="35">
        <f t="shared" si="20"/>
        <v>3.309104694682987E-2</v>
      </c>
      <c r="I42" s="35">
        <f t="shared" si="21"/>
        <v>8.0316644347922406E-2</v>
      </c>
      <c r="J42" s="35">
        <f t="shared" si="22"/>
        <v>0.28358199085592922</v>
      </c>
      <c r="K42" s="33">
        <f t="shared" si="23"/>
        <v>3.0326763932398526</v>
      </c>
      <c r="L42" s="40"/>
      <c r="M42" s="40">
        <v>0.10660294163963339</v>
      </c>
      <c r="N42" s="40">
        <v>7.2131281381393644E-2</v>
      </c>
      <c r="O42" s="40">
        <v>5.6209331302782779E-2</v>
      </c>
      <c r="P42" s="40">
        <v>5.4505640976817253E-3</v>
      </c>
      <c r="Q42" s="40">
        <v>8.3605791686127973E-2</v>
      </c>
      <c r="R42" s="40">
        <v>8.3045098670098669E-2</v>
      </c>
      <c r="S42" s="40">
        <v>6.0268926137410202E-2</v>
      </c>
      <c r="T42" s="40">
        <v>2.8461671658254719E-2</v>
      </c>
      <c r="U42" s="40">
        <v>4.8550123208966268E-2</v>
      </c>
      <c r="V42" s="40">
        <v>-0.18750656788566625</v>
      </c>
      <c r="W42" s="40">
        <v>6.1633261465570015E-2</v>
      </c>
      <c r="X42" s="40">
        <v>4.6979172812555314E-2</v>
      </c>
      <c r="Y42" s="40">
        <v>1.0261404162961689</v>
      </c>
      <c r="Z42" s="40">
        <v>-0.18244853301472019</v>
      </c>
      <c r="AB42" s="30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x14ac:dyDescent="0.25">
      <c r="A43" s="29">
        <v>1</v>
      </c>
      <c r="C43" s="24" t="str">
        <f>"    Operating Margin"</f>
        <v xml:space="preserve">    Operating Margin</v>
      </c>
      <c r="D43" s="35">
        <f t="shared" si="16"/>
        <v>3.8805024065053803E-2</v>
      </c>
      <c r="E43" s="35">
        <f t="shared" si="17"/>
        <v>9.0464850650165789E-3</v>
      </c>
      <c r="F43" s="35">
        <f t="shared" si="18"/>
        <v>-0.20100584191454168</v>
      </c>
      <c r="G43" s="35">
        <f t="shared" si="19"/>
        <v>7.3415010550848786E-2</v>
      </c>
      <c r="H43" s="35">
        <f t="shared" si="20"/>
        <v>1.5493309151564751E-2</v>
      </c>
      <c r="I43" s="35">
        <f t="shared" si="21"/>
        <v>5.2170050866865436E-2</v>
      </c>
      <c r="J43" s="35">
        <f t="shared" si="22"/>
        <v>8.0040423105546252E-2</v>
      </c>
      <c r="K43" s="33">
        <f t="shared" si="23"/>
        <v>8.8476820035958976</v>
      </c>
      <c r="L43" s="40"/>
      <c r="M43" s="40">
        <v>7.3415010550848786E-2</v>
      </c>
      <c r="N43" s="40">
        <v>5.4161734089888558E-2</v>
      </c>
      <c r="O43" s="40">
        <v>3.9938209083556185E-2</v>
      </c>
      <c r="P43" s="40">
        <v>3.0228019231684677E-2</v>
      </c>
      <c r="Q43" s="40">
        <v>5.9489793114817155E-2</v>
      </c>
      <c r="R43" s="40">
        <v>5.8223401973401971E-2</v>
      </c>
      <c r="S43" s="40">
        <v>4.0803094492540062E-2</v>
      </c>
      <c r="T43" s="40">
        <v>1.0581739124858108E-2</v>
      </c>
      <c r="U43" s="40">
        <v>3.6493016013948672E-2</v>
      </c>
      <c r="V43" s="40">
        <v>-2.1135456073980666E-2</v>
      </c>
      <c r="W43" s="40">
        <v>4.6195001197796057E-2</v>
      </c>
      <c r="X43" s="40">
        <v>3.7671839046551421E-2</v>
      </c>
      <c r="Y43" s="40">
        <v>-0.20100584191454168</v>
      </c>
      <c r="Z43" s="40">
        <v>-0.13840876902113722</v>
      </c>
      <c r="AB43" s="30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x14ac:dyDescent="0.25">
      <c r="A44" s="29">
        <v>1</v>
      </c>
      <c r="C44" s="24" t="str">
        <f>"    EBIT Margin"</f>
        <v xml:space="preserve">    EBIT Margin</v>
      </c>
      <c r="D44" s="35">
        <f t="shared" si="16"/>
        <v>6.0291077530551157E-2</v>
      </c>
      <c r="E44" s="35">
        <f t="shared" si="17"/>
        <v>9.7433544741084191E-2</v>
      </c>
      <c r="F44" s="35">
        <f t="shared" si="18"/>
        <v>-0.18750656788566625</v>
      </c>
      <c r="G44" s="35">
        <f t="shared" si="19"/>
        <v>1.0261404162961689</v>
      </c>
      <c r="H44" s="35">
        <f t="shared" si="20"/>
        <v>4.7371910411658051E-2</v>
      </c>
      <c r="I44" s="35">
        <f t="shared" si="21"/>
        <v>8.0555449099524654E-2</v>
      </c>
      <c r="J44" s="35">
        <f t="shared" si="22"/>
        <v>0.28273298480566517</v>
      </c>
      <c r="K44" s="33">
        <f t="shared" si="23"/>
        <v>2.9018033322813812</v>
      </c>
      <c r="L44" s="40"/>
      <c r="M44" s="40">
        <v>0.10645334005228181</v>
      </c>
      <c r="N44" s="40">
        <v>7.3086500387802594E-2</v>
      </c>
      <c r="O44" s="40">
        <v>5.6755831153406149E-2</v>
      </c>
      <c r="P44" s="40">
        <v>6.0313228923692105E-2</v>
      </c>
      <c r="Q44" s="40">
        <v>8.3605791686127973E-2</v>
      </c>
      <c r="R44" s="40">
        <v>8.3045098670098669E-2</v>
      </c>
      <c r="S44" s="40">
        <v>6.0268926137410202E-2</v>
      </c>
      <c r="T44" s="40">
        <v>2.8461671658254719E-2</v>
      </c>
      <c r="U44" s="40">
        <v>4.8550123208966268E-2</v>
      </c>
      <c r="V44" s="40">
        <v>-0.18750656788566625</v>
      </c>
      <c r="W44" s="40">
        <v>6.1633261465570015E-2</v>
      </c>
      <c r="X44" s="40">
        <v>4.6979172812555314E-2</v>
      </c>
      <c r="Y44" s="40">
        <v>1.0261404162961689</v>
      </c>
      <c r="Z44" s="40">
        <v>-0.18371716819149009</v>
      </c>
      <c r="AB44" s="3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x14ac:dyDescent="0.25">
      <c r="A45" s="29">
        <v>1</v>
      </c>
      <c r="C45" s="24" t="str">
        <f>"    Normalized EBIT Margin"</f>
        <v xml:space="preserve">    Normalized EBIT Margin</v>
      </c>
      <c r="D45" s="35">
        <f t="shared" si="16"/>
        <v>7.0215994942011861E-2</v>
      </c>
      <c r="E45" s="35">
        <f t="shared" si="17"/>
        <v>0.12661934589153917</v>
      </c>
      <c r="F45" s="35">
        <f t="shared" si="18"/>
        <v>-0.12496392108954954</v>
      </c>
      <c r="G45" s="35">
        <f t="shared" si="19"/>
        <v>1.0550249070169904</v>
      </c>
      <c r="H45" s="35">
        <f t="shared" si="20"/>
        <v>5.2510234143616691E-2</v>
      </c>
      <c r="I45" s="35">
        <f t="shared" si="21"/>
        <v>8.5679975359934837E-2</v>
      </c>
      <c r="J45" s="35">
        <f t="shared" si="22"/>
        <v>0.27293053189869088</v>
      </c>
      <c r="K45" s="33">
        <f t="shared" si="23"/>
        <v>2.1555199955975159</v>
      </c>
      <c r="L45" s="40"/>
      <c r="M45" s="40">
        <v>0.1125555100626752</v>
      </c>
      <c r="N45" s="40">
        <v>7.927501326693065E-2</v>
      </c>
      <c r="O45" s="40">
        <v>6.1156976617093059E-2</v>
      </c>
      <c r="P45" s="40">
        <v>8.0129752667478182E-2</v>
      </c>
      <c r="Q45" s="40">
        <v>8.8221556721707839E-2</v>
      </c>
      <c r="R45" s="40">
        <v>8.6121836121836118E-2</v>
      </c>
      <c r="S45" s="40">
        <v>8.4354393074230982E-2</v>
      </c>
      <c r="T45" s="40">
        <v>4.1647159925350639E-2</v>
      </c>
      <c r="U45" s="40">
        <v>5.5189896221377238E-2</v>
      </c>
      <c r="V45" s="40">
        <v>5.1617013451029842E-2</v>
      </c>
      <c r="W45" s="40">
        <v>5.5258324682584042E-2</v>
      </c>
      <c r="X45" s="40">
        <v>4.7082423741813678E-2</v>
      </c>
      <c r="Y45" s="40">
        <v>1.0550249070169904</v>
      </c>
      <c r="Z45" s="40">
        <v>-0.12496392108954954</v>
      </c>
      <c r="AB45" s="30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x14ac:dyDescent="0.25">
      <c r="A46" s="29">
        <v>1</v>
      </c>
      <c r="C46" s="24" t="str">
        <f>"    EBT Margin"</f>
        <v xml:space="preserve">    EBT Margin</v>
      </c>
      <c r="D46" s="35">
        <f t="shared" si="16"/>
        <v>5.9602359553884265E-2</v>
      </c>
      <c r="E46" s="35">
        <f t="shared" si="17"/>
        <v>9.1032217922144804E-2</v>
      </c>
      <c r="F46" s="35">
        <f t="shared" si="18"/>
        <v>-0.19781982695547695</v>
      </c>
      <c r="G46" s="35">
        <f t="shared" si="19"/>
        <v>0.97995965158859921</v>
      </c>
      <c r="H46" s="35">
        <f t="shared" si="20"/>
        <v>4.3729052101129005E-2</v>
      </c>
      <c r="I46" s="35">
        <f t="shared" si="21"/>
        <v>7.6890835436524696E-2</v>
      </c>
      <c r="J46" s="35">
        <f t="shared" si="22"/>
        <v>0.27247451321793303</v>
      </c>
      <c r="K46" s="33">
        <f t="shared" si="23"/>
        <v>2.9931657103089209</v>
      </c>
      <c r="L46" s="40"/>
      <c r="M46" s="40">
        <v>0.1001228307769834</v>
      </c>
      <c r="N46" s="40">
        <v>6.6089725272482344E-2</v>
      </c>
      <c r="O46" s="40">
        <v>5.4183638523138802E-2</v>
      </c>
      <c r="P46" s="40">
        <v>5.8137083557181619E-2</v>
      </c>
      <c r="Q46" s="40">
        <v>8.1483364013517592E-2</v>
      </c>
      <c r="R46" s="40">
        <v>8.0491205491205489E-2</v>
      </c>
      <c r="S46" s="40">
        <v>6.167618345920059E-2</v>
      </c>
      <c r="T46" s="40">
        <v>2.7230342014634867E-2</v>
      </c>
      <c r="U46" s="40">
        <v>4.7983941014109514E-2</v>
      </c>
      <c r="V46" s="40">
        <v>-0.18846547919293821</v>
      </c>
      <c r="W46" s="40">
        <v>6.1067635550586918E-2</v>
      </c>
      <c r="X46" s="40">
        <v>4.2310755796802171E-2</v>
      </c>
      <c r="Y46" s="40">
        <v>0.97995965158859921</v>
      </c>
      <c r="Z46" s="40">
        <v>-0.19781982695547695</v>
      </c>
      <c r="AB46" s="30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x14ac:dyDescent="0.25">
      <c r="A47" s="29">
        <v>1</v>
      </c>
      <c r="C47" s="123" t="str">
        <f>"    Net Profit Margin"</f>
        <v xml:space="preserve">    Net Profit Margin</v>
      </c>
      <c r="D47" s="128">
        <f t="shared" si="16"/>
        <v>5.00932562645999E-2</v>
      </c>
      <c r="E47" s="128">
        <f t="shared" si="17"/>
        <v>9.8297636358982393E-2</v>
      </c>
      <c r="F47" s="128">
        <f t="shared" si="18"/>
        <v>-0.20842534853905584</v>
      </c>
      <c r="G47" s="128">
        <f t="shared" si="19"/>
        <v>1.006004455535477</v>
      </c>
      <c r="H47" s="128">
        <f t="shared" si="20"/>
        <v>3.5799431618680932E-2</v>
      </c>
      <c r="I47" s="128">
        <f t="shared" si="21"/>
        <v>6.2048401324445904E-2</v>
      </c>
      <c r="J47" s="128">
        <f t="shared" si="22"/>
        <v>0.27072898143151275</v>
      </c>
      <c r="K47" s="124">
        <f t="shared" si="23"/>
        <v>2.7541759035060833</v>
      </c>
      <c r="L47" s="127"/>
      <c r="M47" s="127">
        <v>7.8304620326918831E-2</v>
      </c>
      <c r="N47" s="127">
        <v>5.1606319141119322E-2</v>
      </c>
      <c r="O47" s="127">
        <v>4.8580193388080471E-2</v>
      </c>
      <c r="P47" s="127">
        <v>5.491366823303797E-2</v>
      </c>
      <c r="Q47" s="127">
        <v>2.2666703299722506E-3</v>
      </c>
      <c r="R47" s="40">
        <v>6.2131327756327757E-2</v>
      </c>
      <c r="S47" s="40">
        <v>7.0657579664763312E-2</v>
      </c>
      <c r="T47" s="40">
        <v>2.5768138062836291E-2</v>
      </c>
      <c r="U47" s="40">
        <v>3.4299060008878765E-2</v>
      </c>
      <c r="V47" s="40">
        <v>4.0300546448087435E-2</v>
      </c>
      <c r="W47" s="40">
        <v>6.1799622028800343E-2</v>
      </c>
      <c r="X47" s="40">
        <v>4.7960056640509764E-2</v>
      </c>
      <c r="Y47" s="40">
        <v>1.006004455535477</v>
      </c>
      <c r="Z47" s="40">
        <v>-0.20842534853905584</v>
      </c>
      <c r="AB47" s="30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x14ac:dyDescent="0.25">
      <c r="A48" s="29">
        <v>1</v>
      </c>
      <c r="C48" s="24" t="str">
        <f>"    Normalized Net Profit Margin"</f>
        <v xml:space="preserve">    Normalized Net Profit Margin</v>
      </c>
      <c r="D48" s="35">
        <f t="shared" si="16"/>
        <v>6.2081023633487581E-2</v>
      </c>
      <c r="E48" s="35">
        <f t="shared" si="17"/>
        <v>0.12183308494308283</v>
      </c>
      <c r="F48" s="35">
        <f t="shared" si="18"/>
        <v>-0.17023573792279448</v>
      </c>
      <c r="G48" s="35">
        <f t="shared" si="19"/>
        <v>1.024779374504011</v>
      </c>
      <c r="H48" s="35">
        <f t="shared" si="20"/>
        <v>4.8666199883040134E-2</v>
      </c>
      <c r="I48" s="35">
        <f t="shared" si="21"/>
        <v>6.9877664937710318E-2</v>
      </c>
      <c r="J48" s="35">
        <f t="shared" si="22"/>
        <v>0.27155659895644063</v>
      </c>
      <c r="K48" s="33">
        <f t="shared" si="23"/>
        <v>2.2289232771484415</v>
      </c>
      <c r="L48" s="40"/>
      <c r="M48" s="40">
        <v>8.1745456836005162E-2</v>
      </c>
      <c r="N48" s="40">
        <v>5.7680532310078782E-2</v>
      </c>
      <c r="O48" s="40">
        <v>5.0511159526949727E-2</v>
      </c>
      <c r="P48" s="40">
        <v>6.367945378751301E-2</v>
      </c>
      <c r="Q48" s="40">
        <v>6.784212984586642E-2</v>
      </c>
      <c r="R48" s="40">
        <v>6.4443908193908189E-2</v>
      </c>
      <c r="S48" s="40">
        <v>6.0482593479462145E-2</v>
      </c>
      <c r="T48" s="40">
        <v>2.7963887824146397E-2</v>
      </c>
      <c r="U48" s="40">
        <v>3.7186527607093824E-2</v>
      </c>
      <c r="V48" s="40">
        <v>0.22097651324085751</v>
      </c>
      <c r="W48" s="40">
        <v>7.0556176634991613E-2</v>
      </c>
      <c r="X48" s="40">
        <v>4.8051213335070266E-2</v>
      </c>
      <c r="Y48" s="40">
        <v>1.024779374504011</v>
      </c>
      <c r="Z48" s="40">
        <v>-0.17023573792279448</v>
      </c>
      <c r="AB48" s="30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x14ac:dyDescent="0.25">
      <c r="A49" s="29">
        <v>1</v>
      </c>
      <c r="C49" s="129" t="str">
        <f>"Growth Rates"</f>
        <v>Growth Rates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 t="s">
        <v>124</v>
      </c>
      <c r="N49" s="130" t="s">
        <v>124</v>
      </c>
      <c r="O49" s="130" t="s">
        <v>124</v>
      </c>
      <c r="P49" s="130" t="s">
        <v>124</v>
      </c>
      <c r="Q49" s="130" t="s">
        <v>124</v>
      </c>
      <c r="R49" s="44" t="s">
        <v>124</v>
      </c>
      <c r="S49" s="44" t="s">
        <v>124</v>
      </c>
      <c r="T49" s="44" t="s">
        <v>124</v>
      </c>
      <c r="U49" s="44" t="s">
        <v>124</v>
      </c>
      <c r="V49" s="44" t="s">
        <v>124</v>
      </c>
      <c r="W49" s="44" t="s">
        <v>124</v>
      </c>
      <c r="X49" s="44" t="s">
        <v>124</v>
      </c>
      <c r="Y49" s="44" t="s">
        <v>124</v>
      </c>
      <c r="Z49" s="44" t="s">
        <v>124</v>
      </c>
      <c r="AB49" s="30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x14ac:dyDescent="0.25">
      <c r="A50" s="29">
        <v>1</v>
      </c>
      <c r="C50" s="131" t="str">
        <f>"    Revenue % Growth"</f>
        <v xml:space="preserve">    Revenue % Growth</v>
      </c>
      <c r="D50" s="132">
        <f>IF(COUNT(M50:Z50)&gt;0,MEDIAN(M50:Z50),"")</f>
        <v>1.0035167733604355E-2</v>
      </c>
      <c r="E50" s="132">
        <f>IF(COUNT(M50:Z50)&gt;0,AVERAGE(M50:Z50),"")</f>
        <v>-2.9083568687998575E-3</v>
      </c>
      <c r="F50" s="132">
        <f>IF(COUNT(M50:Z50)&gt;0,MIN(M50:Z50),"")</f>
        <v>-0.29796145765510573</v>
      </c>
      <c r="G50" s="132">
        <f>IF(COUNT(M50:Z50)&gt;0,MAX(M50:Z50),"")</f>
        <v>0.29642696650699407</v>
      </c>
      <c r="H50" s="132">
        <f>IF(COUNT(M50:Z50)&gt;0,QUARTILE(M50:Z50,1),"")</f>
        <v>-6.6726057300627639E-2</v>
      </c>
      <c r="I50" s="132">
        <f>IF(COUNT(M50:Z50)&gt;0,QUARTILE(M50:Z50,3),"")</f>
        <v>3.6894313589419081E-2</v>
      </c>
      <c r="J50" s="132">
        <f>IF(COUNT(M50:Z50)&gt;1,STDEV(M50:Z50),"")</f>
        <v>0.13951045841513843</v>
      </c>
      <c r="K50" s="133">
        <f>IF(COUNT(M50:Z50)&gt;1,STDEV(M50:Z50)/AVERAGE(M50:Z50),"")</f>
        <v>-47.968823878449228</v>
      </c>
      <c r="L50" s="134"/>
      <c r="M50" s="134">
        <v>3.6894313589419081E-2</v>
      </c>
      <c r="N50" s="134">
        <v>-0.10749287728528023</v>
      </c>
      <c r="O50" s="134">
        <v>-6.6726057300627639E-2</v>
      </c>
      <c r="P50" s="134">
        <v>1.0035167733604355E-2</v>
      </c>
      <c r="Q50" s="134">
        <v>-2.4104461604461558E-2</v>
      </c>
      <c r="R50" s="40">
        <v>9.9163750230244929E-2</v>
      </c>
      <c r="S50" s="40">
        <v>-0.12957179229008076</v>
      </c>
      <c r="T50" s="40">
        <v>3.2298120661147234E-3</v>
      </c>
      <c r="U50" s="40">
        <v>2.0826765447667039E-2</v>
      </c>
      <c r="V50" s="40">
        <v>1.3175756607841649E-2</v>
      </c>
      <c r="W50" s="40">
        <v>0.10829547465927192</v>
      </c>
      <c r="X50" s="40">
        <v>0.29642696650699407</v>
      </c>
      <c r="Y50" s="40">
        <v>-0.29796145765510573</v>
      </c>
      <c r="Z50" s="40" t="s">
        <v>124</v>
      </c>
      <c r="AB50" s="30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x14ac:dyDescent="0.25">
      <c r="A51" s="29">
        <v>1</v>
      </c>
      <c r="C51" s="131" t="str">
        <f>"    EBITDA % Growth"</f>
        <v xml:space="preserve">    EBITDA % Growth</v>
      </c>
      <c r="D51" s="132">
        <f>IF(COUNT(M51:Z51)&gt;0,MEDIAN(M51:Z51),"")</f>
        <v>0.14108763211226549</v>
      </c>
      <c r="E51" s="132">
        <f>IF(COUNT(M51:Z51)&gt;0,AVERAGE(M51:Z51),"")</f>
        <v>3.2351690363970155E-2</v>
      </c>
      <c r="F51" s="132">
        <f>IF(COUNT(M51:Z51)&gt;0,MIN(M51:Z51),"")</f>
        <v>-0.88795942951974194</v>
      </c>
      <c r="G51" s="132">
        <f>IF(COUNT(M51:Z51)&gt;0,MAX(M51:Z51),"")</f>
        <v>0.5261921080975227</v>
      </c>
      <c r="H51" s="132">
        <f>IF(COUNT(M51:Z51)&gt;0,QUARTILE(M51:Z51,1),"")</f>
        <v>-0.28519567413463359</v>
      </c>
      <c r="I51" s="132">
        <f>IF(COUNT(M51:Z51)&gt;0,QUARTILE(M51:Z51,3),"")</f>
        <v>0.36073463717605192</v>
      </c>
      <c r="J51" s="132">
        <f>IF(COUNT(M51:Z51)&gt;1,STDEV(M51:Z51),"")</f>
        <v>0.435960934470839</v>
      </c>
      <c r="K51" s="133">
        <f>IF(COUNT(M51:Z51)&gt;1,STDEV(M51:Z51)/AVERAGE(M51:Z51),"")</f>
        <v>13.475677145957281</v>
      </c>
      <c r="L51" s="134"/>
      <c r="M51" s="134">
        <v>0.18198614318706707</v>
      </c>
      <c r="N51" s="134">
        <v>-8.3363869549285541E-3</v>
      </c>
      <c r="O51" s="134">
        <v>0.50872464669500017</v>
      </c>
      <c r="P51" s="134">
        <v>-0.40774771824990796</v>
      </c>
      <c r="Q51" s="134">
        <v>0.10018912103746391</v>
      </c>
      <c r="R51" s="40">
        <v>0.41750175528180256</v>
      </c>
      <c r="S51" s="40">
        <v>0.34181226447413504</v>
      </c>
      <c r="T51" s="40">
        <v>-0.25091422339128766</v>
      </c>
      <c r="U51" s="40">
        <v>0.5261921080975227</v>
      </c>
      <c r="V51" s="40">
        <v>-0.38804002636467139</v>
      </c>
      <c r="W51" s="40">
        <v>0.25481203007518793</v>
      </c>
      <c r="X51" s="40">
        <v>-0.88795942951974194</v>
      </c>
      <c r="Y51" s="40" t="s">
        <v>124</v>
      </c>
      <c r="Z51" s="40" t="s">
        <v>124</v>
      </c>
      <c r="AB51" s="30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 x14ac:dyDescent="0.25">
      <c r="A52" s="29">
        <v>1</v>
      </c>
      <c r="C52" s="131" t="str">
        <f>"    EBIT % Growth"</f>
        <v xml:space="preserve">    EBIT % Growth</v>
      </c>
      <c r="D52" s="132">
        <f>IF(COUNT(M52:Z52)&gt;0,MEDIAN(M52:Z52),"")</f>
        <v>6.5898797964776878E-2</v>
      </c>
      <c r="E52" s="132">
        <f>IF(COUNT(M52:Z52)&gt;0,AVERAGE(M52:Z52),"")</f>
        <v>7.0814478064711694E-2</v>
      </c>
      <c r="F52" s="132">
        <f>IF(COUNT(M52:Z52)&gt;0,MIN(M52:Z52),"")</f>
        <v>-0.94064645975233641</v>
      </c>
      <c r="G52" s="132">
        <f>IF(COUNT(M52:Z52)&gt;0,MAX(M52:Z52),"")</f>
        <v>0.84317260027039209</v>
      </c>
      <c r="H52" s="132">
        <f>IF(COUNT(M52:Z52)&gt;0,QUARTILE(M52:Z52,1),"")</f>
        <v>-0.23396349110340764</v>
      </c>
      <c r="I52" s="132">
        <f>IF(COUNT(M52:Z52)&gt;0,QUARTILE(M52:Z52,3),"")</f>
        <v>0.49620855972828398</v>
      </c>
      <c r="J52" s="132">
        <f>IF(COUNT(M52:Z52)&gt;1,STDEV(M52:Z52),"")</f>
        <v>0.53308077636728324</v>
      </c>
      <c r="K52" s="133">
        <f>IF(COUNT(M52:Z52)&gt;1,STDEV(M52:Z52)/AVERAGE(M52:Z52),"")</f>
        <v>7.5278501082807292</v>
      </c>
      <c r="L52" s="134"/>
      <c r="M52" s="134">
        <v>0.51027703306523686</v>
      </c>
      <c r="N52" s="134">
        <v>0.14931313390679168</v>
      </c>
      <c r="O52" s="134">
        <v>-0.12177246589243429</v>
      </c>
      <c r="P52" s="134">
        <v>-0.27136049950706542</v>
      </c>
      <c r="Q52" s="134">
        <v>-1.7515537977237927E-2</v>
      </c>
      <c r="R52" s="40">
        <v>0.51454767726161377</v>
      </c>
      <c r="S52" s="40">
        <v>0.84317260027039209</v>
      </c>
      <c r="T52" s="40">
        <v>-0.41187384044526898</v>
      </c>
      <c r="U52" s="40" t="s">
        <v>124</v>
      </c>
      <c r="V52" s="40" t="s">
        <v>124</v>
      </c>
      <c r="W52" s="40">
        <v>0.45400313971742534</v>
      </c>
      <c r="X52" s="40">
        <v>-0.94064645975233641</v>
      </c>
      <c r="Y52" s="40" t="s">
        <v>124</v>
      </c>
      <c r="Z52" s="40" t="s">
        <v>124</v>
      </c>
      <c r="AB52" s="30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 x14ac:dyDescent="0.25">
      <c r="A53" s="29">
        <v>1</v>
      </c>
      <c r="C53" s="131" t="str">
        <f>"    Net Income % Growth"</f>
        <v xml:space="preserve">    Net Income % Growth</v>
      </c>
      <c r="D53" s="132">
        <f>IF(COUNT(M53:Z53)&gt;0,MEDIAN(M53:Z53),"")</f>
        <v>-9.0687906864377443E-2</v>
      </c>
      <c r="E53" s="132">
        <f>IF(COUNT(M53:Z53)&gt;0,AVERAGE(M53:Z53),"")</f>
        <v>6.0361984290375092E-2</v>
      </c>
      <c r="F53" s="132">
        <f>IF(COUNT(M53:Z53)&gt;0,MIN(M53:Z53),"")</f>
        <v>-0.94111866896900431</v>
      </c>
      <c r="G53" s="132">
        <f>IF(COUNT(M53:Z53)&gt;0,MAX(M53:Z53),"")</f>
        <v>1.4530260825525447</v>
      </c>
      <c r="H53" s="132">
        <f>IF(COUNT(M53:Z53)&gt;0,QUARTILE(M53:Z53,1),"")</f>
        <v>-0.23598016742305902</v>
      </c>
      <c r="I53" s="132">
        <f>IF(COUNT(M53:Z53)&gt;0,QUARTILE(M53:Z53,3),"")</f>
        <v>0.36002685247200428</v>
      </c>
      <c r="J53" s="132">
        <f>IF(COUNT(M53:Z53)&gt;1,STDEV(M53:Z53),"")</f>
        <v>0.6441091279483202</v>
      </c>
      <c r="K53" s="133">
        <f>IF(COUNT(M53:Z53)&gt;1,STDEV(M53:Z53)/AVERAGE(M53:Z53),"")</f>
        <v>10.67077458636537</v>
      </c>
      <c r="L53" s="134"/>
      <c r="M53" s="134">
        <v>0.55889217364244592</v>
      </c>
      <c r="N53" s="134">
        <v>-4.530600118835415E-2</v>
      </c>
      <c r="O53" s="134">
        <v>-0.15997005240828555</v>
      </c>
      <c r="P53" s="134" t="s">
        <v>124</v>
      </c>
      <c r="Q53" s="134" t="s">
        <v>124</v>
      </c>
      <c r="R53" s="40">
        <v>-2.6840094972643724E-2</v>
      </c>
      <c r="S53" s="40">
        <v>1.4530260825525447</v>
      </c>
      <c r="T53" s="40">
        <v>-0.26131687242798352</v>
      </c>
      <c r="U53" s="40">
        <v>-0.13606981254040074</v>
      </c>
      <c r="V53" s="40">
        <v>-0.3266594124047878</v>
      </c>
      <c r="W53" s="40">
        <v>0.48898250162022028</v>
      </c>
      <c r="X53" s="40">
        <v>-0.94111866896900431</v>
      </c>
      <c r="Y53" s="40" t="s">
        <v>124</v>
      </c>
      <c r="Z53" s="40" t="s">
        <v>124</v>
      </c>
      <c r="AB53" s="30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 x14ac:dyDescent="0.25">
      <c r="A54" s="29">
        <v>1</v>
      </c>
      <c r="C54" s="26" t="str">
        <f>"Leverage"</f>
        <v>Leverage</v>
      </c>
      <c r="D54" s="44"/>
      <c r="E54" s="44"/>
      <c r="F54" s="44"/>
      <c r="G54" s="44"/>
      <c r="H54" s="44"/>
      <c r="I54" s="44"/>
      <c r="J54" s="44"/>
      <c r="K54" s="44"/>
      <c r="L54" s="44"/>
      <c r="M54" s="44" t="s">
        <v>124</v>
      </c>
      <c r="N54" s="44" t="s">
        <v>124</v>
      </c>
      <c r="O54" s="44" t="s">
        <v>124</v>
      </c>
      <c r="P54" s="44" t="s">
        <v>124</v>
      </c>
      <c r="Q54" s="44" t="s">
        <v>124</v>
      </c>
      <c r="R54" s="44" t="s">
        <v>124</v>
      </c>
      <c r="S54" s="44" t="s">
        <v>124</v>
      </c>
      <c r="T54" s="44" t="s">
        <v>124</v>
      </c>
      <c r="U54" s="44" t="s">
        <v>124</v>
      </c>
      <c r="V54" s="44" t="s">
        <v>124</v>
      </c>
      <c r="W54" s="44" t="s">
        <v>124</v>
      </c>
      <c r="X54" s="44" t="s">
        <v>124</v>
      </c>
      <c r="Y54" s="44" t="s">
        <v>124</v>
      </c>
      <c r="Z54" s="44" t="s">
        <v>124</v>
      </c>
      <c r="AB54" s="30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 x14ac:dyDescent="0.25">
      <c r="A55" s="29">
        <v>1</v>
      </c>
      <c r="C55" s="24" t="str">
        <f>"    Degree of Operational Leverage (TTM)"</f>
        <v xml:space="preserve">    Degree of Operational Leverage (TTM)</v>
      </c>
      <c r="D55" s="34">
        <f t="shared" ref="D55:D63" si="24">IF(COUNT(M55:Z55)&gt;0,MEDIAN(M55:Z55),"")</f>
        <v>-0.93809391162919775</v>
      </c>
      <c r="E55" s="34">
        <f t="shared" ref="E55:E63" si="25">IF(COUNT(M55:Z55)&gt;0,AVERAGE(M55:Z55),"")</f>
        <v>-40.992832714183123</v>
      </c>
      <c r="F55" s="34">
        <f t="shared" ref="F55:F63" si="26">IF(COUNT(M55:Z55)&gt;0,MIN(M55:Z55),"")</f>
        <v>-499.40762592969452</v>
      </c>
      <c r="G55" s="34">
        <f t="shared" ref="G55:G63" si="27">IF(COUNT(M55:Z55)&gt;0,MAX(M55:Z55),"")</f>
        <v>200.00933328399844</v>
      </c>
      <c r="H55" s="34">
        <f t="shared" ref="H55:H63" si="28">IF(COUNT(M55:Z55)&gt;0,QUARTILE(M55:Z55,1),"")</f>
        <v>-28.215129200307473</v>
      </c>
      <c r="I55" s="34">
        <f t="shared" ref="I55:I63" si="29">IF(COUNT(M55:Z55)&gt;0,QUARTILE(M55:Z55,3),"")</f>
        <v>7.0790416248279193</v>
      </c>
      <c r="J55" s="34">
        <f t="shared" ref="J55:J63" si="30">IF(COUNT(M55:Z55)&gt;1,STDEV(M55:Z55),"")</f>
        <v>166.5185608623589</v>
      </c>
      <c r="K55" s="33">
        <f t="shared" ref="K55:K63" si="31">IF(COUNT(M55:Z55)&gt;1,STDEV(M55:Z55)/AVERAGE(M55:Z55),"")</f>
        <v>-4.0621384236455826</v>
      </c>
      <c r="L55" s="39"/>
      <c r="M55" s="39">
        <v>-0.1</v>
      </c>
      <c r="N55" s="39">
        <v>13.614611959583538</v>
      </c>
      <c r="O55" s="39">
        <v>4.9005181799093798</v>
      </c>
      <c r="P55" s="39">
        <v>-15.508351313862745</v>
      </c>
      <c r="Q55" s="39">
        <v>-10.773879798970214</v>
      </c>
      <c r="R55" s="39">
        <v>-0.63912264796359008</v>
      </c>
      <c r="S55" s="39">
        <v>-1.2370651752948054</v>
      </c>
      <c r="T55" s="39">
        <v>-66.335462859641638</v>
      </c>
      <c r="U55" s="39">
        <v>-167.80610553629626</v>
      </c>
      <c r="V55" s="39">
        <v>-499.40762592969452</v>
      </c>
      <c r="W55" s="39">
        <v>51.369157268034854</v>
      </c>
      <c r="X55" s="39">
        <v>200.00933328399844</v>
      </c>
      <c r="Y55" s="39" t="s">
        <v>124</v>
      </c>
      <c r="Z55" s="39" t="s">
        <v>124</v>
      </c>
      <c r="AB55" s="30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x14ac:dyDescent="0.25">
      <c r="A56" s="29">
        <v>1</v>
      </c>
      <c r="C56" s="24" t="str">
        <f>"    Degree of Combined Leverage (TTM)"</f>
        <v xml:space="preserve">    Degree of Combined Leverage (TTM)</v>
      </c>
      <c r="D56" s="34">
        <f t="shared" si="24"/>
        <v>3.9844959064781467</v>
      </c>
      <c r="E56" s="34">
        <f t="shared" si="25"/>
        <v>120.44120167753475</v>
      </c>
      <c r="F56" s="34">
        <f t="shared" si="26"/>
        <v>-56.398912490556256</v>
      </c>
      <c r="G56" s="34">
        <f t="shared" si="27"/>
        <v>1352.5801243816493</v>
      </c>
      <c r="H56" s="34">
        <f t="shared" si="28"/>
        <v>-3.640356290401404</v>
      </c>
      <c r="I56" s="34">
        <f t="shared" si="29"/>
        <v>27.79552945736954</v>
      </c>
      <c r="J56" s="34">
        <f t="shared" si="30"/>
        <v>389.48988385644088</v>
      </c>
      <c r="K56" s="33">
        <f t="shared" si="31"/>
        <v>3.2338591647337438</v>
      </c>
      <c r="L56" s="39"/>
      <c r="M56" s="39">
        <v>3.1264098792614612</v>
      </c>
      <c r="N56" s="39">
        <v>15.521986304982262</v>
      </c>
      <c r="O56" s="39">
        <v>4.8425819336948326</v>
      </c>
      <c r="P56" s="39">
        <v>1352.5801243816493</v>
      </c>
      <c r="Q56" s="39">
        <v>64.616158914531368</v>
      </c>
      <c r="R56" s="39">
        <v>-2.4818809323528477</v>
      </c>
      <c r="S56" s="39">
        <v>-7.1157823645470728</v>
      </c>
      <c r="T56" s="39">
        <v>-56.398912490556256</v>
      </c>
      <c r="U56" s="39">
        <v>0.54260903658170778</v>
      </c>
      <c r="V56" s="39">
        <v>5.5619837541669535</v>
      </c>
      <c r="W56" s="39">
        <v>-9.7488429047596554</v>
      </c>
      <c r="X56" s="39">
        <v>74.247984617765141</v>
      </c>
      <c r="Y56" s="39" t="s">
        <v>124</v>
      </c>
      <c r="Z56" s="39" t="s">
        <v>124</v>
      </c>
      <c r="AB56" s="3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 x14ac:dyDescent="0.25">
      <c r="A57" s="29">
        <v>1</v>
      </c>
      <c r="C57" s="24" t="str">
        <f>"    Debt to Equity"</f>
        <v xml:space="preserve">    Debt to Equity</v>
      </c>
      <c r="D57" s="34">
        <f t="shared" si="24"/>
        <v>1.0800039679587332</v>
      </c>
      <c r="E57" s="34">
        <f t="shared" si="25"/>
        <v>0.94491747808560533</v>
      </c>
      <c r="F57" s="34">
        <f t="shared" si="26"/>
        <v>0.18894103767536097</v>
      </c>
      <c r="G57" s="34">
        <f t="shared" si="27"/>
        <v>1.8578453038674032</v>
      </c>
      <c r="H57" s="34">
        <f t="shared" si="28"/>
        <v>0.28464864864864864</v>
      </c>
      <c r="I57" s="34">
        <f t="shared" si="29"/>
        <v>1.4564484191744458</v>
      </c>
      <c r="J57" s="34">
        <f t="shared" si="30"/>
        <v>0.5954810387072702</v>
      </c>
      <c r="K57" s="33">
        <f t="shared" si="31"/>
        <v>0.630193696822827</v>
      </c>
      <c r="L57" s="39"/>
      <c r="M57" s="39">
        <v>1.1649472004862114</v>
      </c>
      <c r="N57" s="39">
        <v>1.4886164623467601</v>
      </c>
      <c r="O57" s="39">
        <v>1.4564484191744458</v>
      </c>
      <c r="P57" s="39">
        <v>1.7079271571171424</v>
      </c>
      <c r="Q57" s="39">
        <v>1.8578453038674032</v>
      </c>
      <c r="R57" s="39">
        <v>1.1645150311968235</v>
      </c>
      <c r="S57" s="39">
        <v>1.0800039679587332</v>
      </c>
      <c r="T57" s="39">
        <v>0.88055185431934269</v>
      </c>
      <c r="U57" s="39">
        <v>0.51014499467271968</v>
      </c>
      <c r="V57" s="39">
        <v>0.28464864864864864</v>
      </c>
      <c r="W57" s="39">
        <v>0.18894103767536097</v>
      </c>
      <c r="X57" s="39">
        <v>0.24602384348340914</v>
      </c>
      <c r="Y57" s="39">
        <v>0.25331329416586967</v>
      </c>
      <c r="Z57" s="39" t="s">
        <v>124</v>
      </c>
      <c r="AB57" s="30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 x14ac:dyDescent="0.25">
      <c r="A58" s="29">
        <v>1</v>
      </c>
      <c r="C58" s="24" t="str">
        <f>"    Total Debt to Equity"</f>
        <v xml:space="preserve">    Total Debt to Equity</v>
      </c>
      <c r="D58" s="34">
        <f t="shared" si="24"/>
        <v>1.5651365225801652</v>
      </c>
      <c r="E58" s="34">
        <f t="shared" si="25"/>
        <v>1.4161719545233071</v>
      </c>
      <c r="F58" s="34">
        <f t="shared" si="26"/>
        <v>0.28951263489329637</v>
      </c>
      <c r="G58" s="34">
        <f t="shared" si="27"/>
        <v>2.6027348066298344</v>
      </c>
      <c r="H58" s="34">
        <f t="shared" si="28"/>
        <v>0.71881404563464957</v>
      </c>
      <c r="I58" s="34">
        <f t="shared" si="29"/>
        <v>2.2316766310364957</v>
      </c>
      <c r="J58" s="34">
        <f t="shared" si="30"/>
        <v>0.83175618070225554</v>
      </c>
      <c r="K58" s="33">
        <f t="shared" si="31"/>
        <v>0.58732710956857648</v>
      </c>
      <c r="L58" s="39"/>
      <c r="M58" s="39">
        <v>1.6772924105447087</v>
      </c>
      <c r="N58" s="39">
        <v>2.2316766310364957</v>
      </c>
      <c r="O58" s="39">
        <v>2.2702526274561001</v>
      </c>
      <c r="P58" s="39">
        <v>2.4534446080837835</v>
      </c>
      <c r="Q58" s="39">
        <v>2.6027348066298344</v>
      </c>
      <c r="R58" s="39">
        <v>1.704435621100397</v>
      </c>
      <c r="S58" s="39">
        <v>1.5651365225801652</v>
      </c>
      <c r="T58" s="39">
        <v>1.2953864090606262</v>
      </c>
      <c r="U58" s="39">
        <v>0.83807384073748092</v>
      </c>
      <c r="V58" s="39">
        <v>0.43378378378378379</v>
      </c>
      <c r="W58" s="39">
        <v>0.32969146726167575</v>
      </c>
      <c r="X58" s="39">
        <v>0.28951263489329637</v>
      </c>
      <c r="Y58" s="39">
        <v>0.71881404563464957</v>
      </c>
      <c r="Z58" s="39" t="s">
        <v>124</v>
      </c>
      <c r="AB58" s="30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 x14ac:dyDescent="0.25">
      <c r="A59" s="29">
        <v>1</v>
      </c>
      <c r="C59" s="24" t="str">
        <f>"    Long Term Debt to Assets"</f>
        <v xml:space="preserve">    Long Term Debt to Assets</v>
      </c>
      <c r="D59" s="34">
        <f t="shared" si="24"/>
        <v>0.22780522619536997</v>
      </c>
      <c r="E59" s="34">
        <f t="shared" si="25"/>
        <v>0.2174715697009954</v>
      </c>
      <c r="F59" s="34">
        <f t="shared" si="26"/>
        <v>0.1</v>
      </c>
      <c r="G59" s="34">
        <f t="shared" si="27"/>
        <v>0.32137028842389559</v>
      </c>
      <c r="H59" s="34">
        <f t="shared" si="28"/>
        <v>0.10810158466791708</v>
      </c>
      <c r="I59" s="34">
        <f t="shared" si="29"/>
        <v>0.31414183365235049</v>
      </c>
      <c r="J59" s="34">
        <f t="shared" si="30"/>
        <v>9.5838588154163559E-2</v>
      </c>
      <c r="K59" s="33">
        <f t="shared" si="31"/>
        <v>0.44069479190283734</v>
      </c>
      <c r="L59" s="39"/>
      <c r="M59" s="39">
        <v>0.31330347583749457</v>
      </c>
      <c r="N59" s="39">
        <v>0.31442128625730248</v>
      </c>
      <c r="O59" s="39">
        <v>0.29352254239443598</v>
      </c>
      <c r="P59" s="39">
        <v>0.32137028842389559</v>
      </c>
      <c r="Q59" s="39">
        <v>0.31651622255061607</v>
      </c>
      <c r="R59" s="39">
        <v>0.2315214939780775</v>
      </c>
      <c r="S59" s="39">
        <v>0.22408895841266246</v>
      </c>
      <c r="T59" s="39">
        <v>0.17870885234449382</v>
      </c>
      <c r="U59" s="39">
        <v>0.13240633867166834</v>
      </c>
      <c r="V59" s="39">
        <v>0.1</v>
      </c>
      <c r="W59" s="39">
        <v>0.1</v>
      </c>
      <c r="X59" s="39">
        <v>0.1</v>
      </c>
      <c r="Y59" s="39">
        <v>0.1</v>
      </c>
      <c r="Z59" s="39">
        <v>0.31874251694328803</v>
      </c>
      <c r="AB59" s="30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 x14ac:dyDescent="0.25">
      <c r="A60" s="29">
        <v>1</v>
      </c>
      <c r="C60" s="24" t="str">
        <f>"    Debt to Assets"</f>
        <v xml:space="preserve">    Debt to Assets</v>
      </c>
      <c r="D60" s="34">
        <f t="shared" si="24"/>
        <v>0.3318068578473129</v>
      </c>
      <c r="E60" s="34">
        <f t="shared" si="25"/>
        <v>0.31120777234304831</v>
      </c>
      <c r="F60" s="34">
        <f t="shared" si="26"/>
        <v>0.1</v>
      </c>
      <c r="G60" s="34">
        <f t="shared" si="27"/>
        <v>0.50459693098562153</v>
      </c>
      <c r="H60" s="34">
        <f t="shared" si="28"/>
        <v>0.14122999386065246</v>
      </c>
      <c r="I60" s="34">
        <f t="shared" si="29"/>
        <v>0.45592194338873726</v>
      </c>
      <c r="J60" s="34">
        <f t="shared" si="30"/>
        <v>0.15814690007589188</v>
      </c>
      <c r="K60" s="33">
        <f t="shared" si="31"/>
        <v>0.50817143442537338</v>
      </c>
      <c r="L60" s="39"/>
      <c r="M60" s="39">
        <v>0.45109472944368623</v>
      </c>
      <c r="N60" s="39">
        <v>0.47136831721897665</v>
      </c>
      <c r="O60" s="39">
        <v>0.45753101470375424</v>
      </c>
      <c r="P60" s="39">
        <v>0.46164978292329956</v>
      </c>
      <c r="Q60" s="39">
        <v>0.44342108978642897</v>
      </c>
      <c r="R60" s="39">
        <v>0.33886508187108122</v>
      </c>
      <c r="S60" s="39">
        <v>0.32474863382354452</v>
      </c>
      <c r="T60" s="39">
        <v>0.26289992732435308</v>
      </c>
      <c r="U60" s="39">
        <v>0.21751911701053239</v>
      </c>
      <c r="V60" s="39">
        <v>0.10741390156737295</v>
      </c>
      <c r="W60" s="39">
        <v>0.1</v>
      </c>
      <c r="X60" s="39">
        <v>0.1</v>
      </c>
      <c r="Y60" s="39">
        <v>0.11580028614402582</v>
      </c>
      <c r="Z60" s="39">
        <v>0.50459693098562153</v>
      </c>
      <c r="AB60" s="30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 x14ac:dyDescent="0.25">
      <c r="A61" s="29">
        <v>1</v>
      </c>
      <c r="C61" s="24" t="str">
        <f>"    Long Term Debt to Invested Capital"</f>
        <v xml:space="preserve">    Long Term Debt to Invested Capital</v>
      </c>
      <c r="D61" s="34">
        <f t="shared" si="24"/>
        <v>0.4210317690507957</v>
      </c>
      <c r="E61" s="34">
        <f t="shared" si="25"/>
        <v>0.34945593243872142</v>
      </c>
      <c r="F61" s="34">
        <f t="shared" si="26"/>
        <v>0.14209389345368978</v>
      </c>
      <c r="G61" s="34">
        <f t="shared" si="27"/>
        <v>0.51567639684401811</v>
      </c>
      <c r="H61" s="34">
        <f t="shared" si="28"/>
        <v>0.19852968897266729</v>
      </c>
      <c r="I61" s="34">
        <f t="shared" si="29"/>
        <v>0.44536266310025219</v>
      </c>
      <c r="J61" s="34">
        <f t="shared" si="30"/>
        <v>0.13766351645490515</v>
      </c>
      <c r="K61" s="33">
        <f t="shared" si="31"/>
        <v>0.39393669895429528</v>
      </c>
      <c r="L61" s="39"/>
      <c r="M61" s="39">
        <v>0.43512139200708261</v>
      </c>
      <c r="N61" s="39">
        <v>0.46063286408371745</v>
      </c>
      <c r="O61" s="39">
        <v>0.44536266310025219</v>
      </c>
      <c r="P61" s="39">
        <v>0.49455756525506334</v>
      </c>
      <c r="Q61" s="39">
        <v>0.51567639684401811</v>
      </c>
      <c r="R61" s="39">
        <v>0.43059447306162857</v>
      </c>
      <c r="S61" s="39">
        <v>0.4210317690507957</v>
      </c>
      <c r="T61" s="39">
        <v>0.38361813542309137</v>
      </c>
      <c r="U61" s="39">
        <v>0.27754325390324736</v>
      </c>
      <c r="V61" s="39">
        <v>0.19852968897266729</v>
      </c>
      <c r="W61" s="39">
        <v>0.14209389345368978</v>
      </c>
      <c r="X61" s="39">
        <v>0.19078823799486613</v>
      </c>
      <c r="Y61" s="39">
        <v>0.14737678855325914</v>
      </c>
      <c r="Z61" s="39" t="s">
        <v>124</v>
      </c>
      <c r="AB61" s="30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 x14ac:dyDescent="0.25">
      <c r="A62" s="29">
        <v>1</v>
      </c>
      <c r="C62" s="24" t="str">
        <f>"    Total Debt to Invested Capital"</f>
        <v xml:space="preserve">    Total Debt to Invested Capital</v>
      </c>
      <c r="D62" s="34">
        <f t="shared" si="24"/>
        <v>0.6101572016938337</v>
      </c>
      <c r="E62" s="34">
        <f t="shared" si="25"/>
        <v>0.53061762276156754</v>
      </c>
      <c r="F62" s="34">
        <f t="shared" si="26"/>
        <v>0.22451322077759459</v>
      </c>
      <c r="G62" s="34">
        <f t="shared" si="27"/>
        <v>0.72243308106947612</v>
      </c>
      <c r="H62" s="34">
        <f t="shared" si="28"/>
        <v>0.41820349761526232</v>
      </c>
      <c r="I62" s="34">
        <f t="shared" si="29"/>
        <v>0.6905630995390557</v>
      </c>
      <c r="J62" s="34">
        <f t="shared" si="30"/>
        <v>0.18071264592821998</v>
      </c>
      <c r="K62" s="33">
        <f t="shared" si="31"/>
        <v>0.34057038096042092</v>
      </c>
      <c r="L62" s="39"/>
      <c r="M62" s="39">
        <v>0.62648831481334344</v>
      </c>
      <c r="N62" s="39">
        <v>0.6905630995390557</v>
      </c>
      <c r="O62" s="39">
        <v>0.69421322634089866</v>
      </c>
      <c r="P62" s="39">
        <v>0.71043404094010609</v>
      </c>
      <c r="Q62" s="39">
        <v>0.72243308106947612</v>
      </c>
      <c r="R62" s="39">
        <v>0.63023708451484084</v>
      </c>
      <c r="S62" s="39">
        <v>0.6101572016938337</v>
      </c>
      <c r="T62" s="39">
        <v>0.56434350397271704</v>
      </c>
      <c r="U62" s="39">
        <v>0.45595221593558222</v>
      </c>
      <c r="V62" s="39">
        <v>0.30254476908576816</v>
      </c>
      <c r="W62" s="39">
        <v>0.24794583960189792</v>
      </c>
      <c r="X62" s="39">
        <v>0.22451322077759459</v>
      </c>
      <c r="Y62" s="39">
        <v>0.41820349761526232</v>
      </c>
      <c r="Z62" s="39" t="s">
        <v>124</v>
      </c>
      <c r="AB62" s="3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 x14ac:dyDescent="0.25">
      <c r="A63" s="29">
        <v>1</v>
      </c>
      <c r="C63" s="24" t="str">
        <f>"    Equity Multiplier"</f>
        <v xml:space="preserve">    Equity Multiplier</v>
      </c>
      <c r="D63" s="34">
        <f t="shared" si="24"/>
        <v>4.8195322768643205</v>
      </c>
      <c r="E63" s="34">
        <f t="shared" si="25"/>
        <v>4.6862137150383854</v>
      </c>
      <c r="F63" s="34">
        <f t="shared" si="26"/>
        <v>3.7086250673232284</v>
      </c>
      <c r="G63" s="34">
        <f t="shared" si="27"/>
        <v>6.2073598396866601</v>
      </c>
      <c r="H63" s="34">
        <f t="shared" si="28"/>
        <v>3.8528744151572707</v>
      </c>
      <c r="I63" s="34">
        <f t="shared" si="29"/>
        <v>5.0298355076574017</v>
      </c>
      <c r="J63" s="34">
        <f t="shared" si="30"/>
        <v>0.8310358941856848</v>
      </c>
      <c r="K63" s="33">
        <f t="shared" si="31"/>
        <v>0.17733631983510117</v>
      </c>
      <c r="L63" s="39"/>
      <c r="M63" s="39">
        <v>3.7182709108865759</v>
      </c>
      <c r="N63" s="39">
        <v>4.734464641584637</v>
      </c>
      <c r="O63" s="39">
        <v>4.9619644450246971</v>
      </c>
      <c r="P63" s="39">
        <v>5.31451480936017</v>
      </c>
      <c r="Q63" s="39">
        <v>5.869668508287293</v>
      </c>
      <c r="R63" s="39">
        <v>5.0298355076574017</v>
      </c>
      <c r="S63" s="39">
        <v>4.8195322768643205</v>
      </c>
      <c r="T63" s="39">
        <v>4.9272984676882077</v>
      </c>
      <c r="U63" s="39">
        <v>3.8528744151572707</v>
      </c>
      <c r="V63" s="39">
        <v>4.0384324324324323</v>
      </c>
      <c r="W63" s="39">
        <v>3.7086250673232284</v>
      </c>
      <c r="X63" s="39">
        <v>3.7379369735461125</v>
      </c>
      <c r="Y63" s="39">
        <v>6.2073598396866601</v>
      </c>
      <c r="Z63" s="39" t="s">
        <v>124</v>
      </c>
      <c r="AB63" s="30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 x14ac:dyDescent="0.25">
      <c r="A64" s="29">
        <v>1</v>
      </c>
      <c r="C64" s="26" t="str">
        <f>"Financial Health"</f>
        <v>Financial Health</v>
      </c>
      <c r="D64" s="44"/>
      <c r="E64" s="44"/>
      <c r="F64" s="44"/>
      <c r="G64" s="44"/>
      <c r="H64" s="44"/>
      <c r="I64" s="44"/>
      <c r="J64" s="44"/>
      <c r="K64" s="44"/>
      <c r="L64" s="44"/>
      <c r="M64" s="44" t="s">
        <v>124</v>
      </c>
      <c r="N64" s="44" t="s">
        <v>124</v>
      </c>
      <c r="O64" s="44" t="s">
        <v>124</v>
      </c>
      <c r="P64" s="44" t="s">
        <v>124</v>
      </c>
      <c r="Q64" s="44" t="s">
        <v>124</v>
      </c>
      <c r="R64" s="44" t="s">
        <v>124</v>
      </c>
      <c r="S64" s="44" t="s">
        <v>124</v>
      </c>
      <c r="T64" s="44" t="s">
        <v>124</v>
      </c>
      <c r="U64" s="44" t="s">
        <v>124</v>
      </c>
      <c r="V64" s="44" t="s">
        <v>124</v>
      </c>
      <c r="W64" s="44" t="s">
        <v>124</v>
      </c>
      <c r="X64" s="44" t="s">
        <v>124</v>
      </c>
      <c r="Y64" s="44" t="s">
        <v>124</v>
      </c>
      <c r="Z64" s="44" t="s">
        <v>124</v>
      </c>
      <c r="AB64" s="30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 x14ac:dyDescent="0.25">
      <c r="A65" s="29">
        <v>1</v>
      </c>
      <c r="C65" s="24" t="str">
        <f>"    Current Ratio"</f>
        <v xml:space="preserve">    Current Ratio</v>
      </c>
      <c r="D65" s="34">
        <f t="shared" ref="D65:D75" si="32">IF(COUNT(M65:Z65)&gt;0,MEDIAN(M65:Z65),"")</f>
        <v>1.0580527873787589</v>
      </c>
      <c r="E65" s="34">
        <f t="shared" ref="E65:E75" si="33">IF(COUNT(M65:Z65)&gt;0,AVERAGE(M65:Z65),"")</f>
        <v>1.0438786697285638</v>
      </c>
      <c r="F65" s="34">
        <f t="shared" ref="F65:F75" si="34">IF(COUNT(M65:Z65)&gt;0,MIN(M65:Z65),"")</f>
        <v>0.58548037244736006</v>
      </c>
      <c r="G65" s="34">
        <f t="shared" ref="G65:G75" si="35">IF(COUNT(M65:Z65)&gt;0,MAX(M65:Z65),"")</f>
        <v>1.3058546433378198</v>
      </c>
      <c r="H65" s="34">
        <f t="shared" ref="H65:H75" si="36">IF(COUNT(M65:Z65)&gt;0,QUARTILE(M65:Z65,1),"")</f>
        <v>0.89984096202066499</v>
      </c>
      <c r="I65" s="34">
        <f t="shared" ref="I65:I75" si="37">IF(COUNT(M65:Z65)&gt;0,QUARTILE(M65:Z65,3),"")</f>
        <v>1.1972990707628128</v>
      </c>
      <c r="J65" s="34">
        <f t="shared" ref="J65:J75" si="38">IF(COUNT(M65:Z65)&gt;1,STDEV(M65:Z65),"")</f>
        <v>0.2031636715593402</v>
      </c>
      <c r="K65" s="33">
        <f t="shared" ref="K65:K75" si="39">IF(COUNT(M65:Z65)&gt;1,STDEV(M65:Z65)/AVERAGE(M65:Z65),"")</f>
        <v>0.19462383651556761</v>
      </c>
      <c r="L65" s="39"/>
      <c r="M65" s="39">
        <v>1.1034162993226535</v>
      </c>
      <c r="N65" s="39">
        <v>1.0126892754348642</v>
      </c>
      <c r="O65" s="39">
        <v>0.88324598080207295</v>
      </c>
      <c r="P65" s="39">
        <v>0.91556112212264551</v>
      </c>
      <c r="Q65" s="39">
        <v>0.89405644427103659</v>
      </c>
      <c r="R65" s="39">
        <v>0.89460090865333819</v>
      </c>
      <c r="S65" s="39">
        <v>0.97459876153165681</v>
      </c>
      <c r="T65" s="39">
        <v>1.2736798818100126</v>
      </c>
      <c r="U65" s="39">
        <v>1.3058546433378198</v>
      </c>
      <c r="V65" s="39">
        <v>1.29641428359757</v>
      </c>
      <c r="W65" s="39">
        <v>1.2197610190508399</v>
      </c>
      <c r="X65" s="39">
        <v>1.1250291579192908</v>
      </c>
      <c r="Y65" s="39">
        <v>1.1299132258987317</v>
      </c>
      <c r="Z65" s="39">
        <v>0.58548037244736006</v>
      </c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 x14ac:dyDescent="0.25">
      <c r="A66" s="29">
        <v>1</v>
      </c>
      <c r="C66" s="24" t="str">
        <f>"    Quick Ratio"</f>
        <v xml:space="preserve">    Quick Ratio</v>
      </c>
      <c r="D66" s="34">
        <f t="shared" si="32"/>
        <v>0.74051071523916923</v>
      </c>
      <c r="E66" s="34">
        <f t="shared" si="33"/>
        <v>0.70656349885908654</v>
      </c>
      <c r="F66" s="34">
        <f t="shared" si="34"/>
        <v>0.29245582478044652</v>
      </c>
      <c r="G66" s="34">
        <f t="shared" si="35"/>
        <v>0.85360538082891824</v>
      </c>
      <c r="H66" s="34">
        <f t="shared" si="36"/>
        <v>0.67106363910322786</v>
      </c>
      <c r="I66" s="34">
        <f t="shared" si="37"/>
        <v>0.8123308352514792</v>
      </c>
      <c r="J66" s="34">
        <f t="shared" si="38"/>
        <v>0.14913548528734485</v>
      </c>
      <c r="K66" s="33">
        <f t="shared" si="39"/>
        <v>0.21107159586952803</v>
      </c>
      <c r="L66" s="39"/>
      <c r="M66" s="39">
        <v>0.84290667670142994</v>
      </c>
      <c r="N66" s="39">
        <v>0.79191590539356771</v>
      </c>
      <c r="O66" s="39">
        <v>0.66711029974677583</v>
      </c>
      <c r="P66" s="39">
        <v>0.73214003429113417</v>
      </c>
      <c r="Q66" s="39">
        <v>0.68292365717258419</v>
      </c>
      <c r="R66" s="39">
        <v>0.57808666251863683</v>
      </c>
      <c r="S66" s="39">
        <v>0.69911678391395315</v>
      </c>
      <c r="T66" s="39">
        <v>0.81913581187078299</v>
      </c>
      <c r="U66" s="39">
        <v>0.83006473114144719</v>
      </c>
      <c r="V66" s="39">
        <v>0.7750963105645281</v>
      </c>
      <c r="W66" s="39">
        <v>0.85360538082891824</v>
      </c>
      <c r="X66" s="39">
        <v>0.7488813961872044</v>
      </c>
      <c r="Y66" s="39">
        <v>0.57844950891580049</v>
      </c>
      <c r="Z66" s="39">
        <v>0.29245582478044652</v>
      </c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 x14ac:dyDescent="0.25">
      <c r="A67" s="29">
        <v>1</v>
      </c>
      <c r="C67" s="24" t="str">
        <f>"    Cash Ratio"</f>
        <v xml:space="preserve">    Cash Ratio</v>
      </c>
      <c r="D67" s="34">
        <f t="shared" si="32"/>
        <v>0.37438623733390203</v>
      </c>
      <c r="E67" s="34">
        <f t="shared" si="33"/>
        <v>0.39053532403901609</v>
      </c>
      <c r="F67" s="34">
        <f t="shared" si="34"/>
        <v>0.18773145698867844</v>
      </c>
      <c r="G67" s="34">
        <f t="shared" si="35"/>
        <v>0.6053244654867922</v>
      </c>
      <c r="H67" s="34">
        <f t="shared" si="36"/>
        <v>0.31389592279778378</v>
      </c>
      <c r="I67" s="34">
        <f t="shared" si="37"/>
        <v>0.45717455490575698</v>
      </c>
      <c r="J67" s="34">
        <f t="shared" si="38"/>
        <v>0.11762947761469862</v>
      </c>
      <c r="K67" s="33">
        <f t="shared" si="39"/>
        <v>0.30120060945612936</v>
      </c>
      <c r="L67" s="39"/>
      <c r="M67" s="39">
        <v>0.38538866788517362</v>
      </c>
      <c r="N67" s="39">
        <v>0.36338380678263044</v>
      </c>
      <c r="O67" s="39">
        <v>0.27375301807902952</v>
      </c>
      <c r="P67" s="39">
        <v>0.3260089740627698</v>
      </c>
      <c r="Q67" s="39">
        <v>0.30985823904278842</v>
      </c>
      <c r="R67" s="39">
        <v>0.28662495157370776</v>
      </c>
      <c r="S67" s="39">
        <v>0.32858727551006078</v>
      </c>
      <c r="T67" s="39">
        <v>0.42913931492453206</v>
      </c>
      <c r="U67" s="39">
        <v>0.46454207524194063</v>
      </c>
      <c r="V67" s="39">
        <v>0.50766780263742772</v>
      </c>
      <c r="W67" s="39">
        <v>0.6053244654867922</v>
      </c>
      <c r="X67" s="39">
        <v>0.56441249443348818</v>
      </c>
      <c r="Y67" s="39">
        <v>0.43507199389720608</v>
      </c>
      <c r="Z67" s="39">
        <v>0.18773145698867844</v>
      </c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 x14ac:dyDescent="0.25">
      <c r="A68" s="29">
        <v>1</v>
      </c>
      <c r="C68" s="24" t="str">
        <f>"    Cash Flow to Debt"</f>
        <v xml:space="preserve">    Cash Flow to Debt</v>
      </c>
      <c r="D68" s="34">
        <f t="shared" si="32"/>
        <v>0.22790516608768974</v>
      </c>
      <c r="E68" s="34">
        <f t="shared" si="33"/>
        <v>0.28010700035675079</v>
      </c>
      <c r="F68" s="34">
        <f t="shared" si="34"/>
        <v>-0.33641710276891174</v>
      </c>
      <c r="G68" s="34">
        <f t="shared" si="35"/>
        <v>1.0277169094893197</v>
      </c>
      <c r="H68" s="34">
        <f t="shared" si="36"/>
        <v>0.16686366453040746</v>
      </c>
      <c r="I68" s="34">
        <f t="shared" si="37"/>
        <v>0.46826493249290396</v>
      </c>
      <c r="J68" s="34">
        <f t="shared" si="38"/>
        <v>0.35849023265232255</v>
      </c>
      <c r="K68" s="33">
        <f t="shared" si="39"/>
        <v>1.2798331787343447</v>
      </c>
      <c r="L68" s="39"/>
      <c r="M68" s="39">
        <v>0.16708060103630676</v>
      </c>
      <c r="N68" s="39">
        <v>0.14505895330476742</v>
      </c>
      <c r="O68" s="39">
        <v>0.17832899756539677</v>
      </c>
      <c r="P68" s="39">
        <v>0.16679135236177436</v>
      </c>
      <c r="Q68" s="39">
        <v>0.23023495209330211</v>
      </c>
      <c r="R68" s="39">
        <v>0.22557538008207739</v>
      </c>
      <c r="S68" s="39">
        <v>0.25688407683098224</v>
      </c>
      <c r="T68" s="39">
        <v>0.24316636603302344</v>
      </c>
      <c r="U68" s="39">
        <v>0.53872521771354454</v>
      </c>
      <c r="V68" s="39">
        <v>0.66878980891719741</v>
      </c>
      <c r="W68" s="39">
        <v>1.0277169094893197</v>
      </c>
      <c r="X68" s="39">
        <v>0.67424532571985651</v>
      </c>
      <c r="Y68" s="39">
        <v>-0.33641710276891174</v>
      </c>
      <c r="Z68" s="39">
        <v>-0.2646828333841264</v>
      </c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 x14ac:dyDescent="0.25">
      <c r="A69" s="29">
        <v>1</v>
      </c>
      <c r="C69" s="24" t="str">
        <f>"    Free Cash Flow to Debt"</f>
        <v xml:space="preserve">    Free Cash Flow to Debt</v>
      </c>
      <c r="D69" s="34">
        <f t="shared" si="32"/>
        <v>0.23361139704399736</v>
      </c>
      <c r="E69" s="34">
        <f t="shared" si="33"/>
        <v>0.25057407749260907</v>
      </c>
      <c r="F69" s="34">
        <f t="shared" si="34"/>
        <v>0.1</v>
      </c>
      <c r="G69" s="34">
        <f t="shared" si="35"/>
        <v>0.43507351588244148</v>
      </c>
      <c r="H69" s="34">
        <f t="shared" si="36"/>
        <v>0.1447714007782101</v>
      </c>
      <c r="I69" s="34">
        <f t="shared" si="37"/>
        <v>0.33941407375839627</v>
      </c>
      <c r="J69" s="34">
        <f t="shared" si="38"/>
        <v>0.15079264869241857</v>
      </c>
      <c r="K69" s="33">
        <f t="shared" si="39"/>
        <v>0.60178870137461182</v>
      </c>
      <c r="L69" s="39"/>
      <c r="M69" s="39" t="s">
        <v>124</v>
      </c>
      <c r="N69" s="39" t="s">
        <v>124</v>
      </c>
      <c r="O69" s="39" t="s">
        <v>124</v>
      </c>
      <c r="P69" s="39" t="s">
        <v>124</v>
      </c>
      <c r="Q69" s="39" t="s">
        <v>124</v>
      </c>
      <c r="R69" s="39" t="s">
        <v>124</v>
      </c>
      <c r="S69" s="39" t="s">
        <v>124</v>
      </c>
      <c r="T69" s="39" t="s">
        <v>124</v>
      </c>
      <c r="U69" s="39">
        <v>0.15969520103761348</v>
      </c>
      <c r="V69" s="39">
        <v>0.1</v>
      </c>
      <c r="W69" s="39">
        <v>0.43507351588244148</v>
      </c>
      <c r="X69" s="39">
        <v>0.30752759305038124</v>
      </c>
      <c r="Y69" s="39" t="s">
        <v>124</v>
      </c>
      <c r="Z69" s="39" t="s">
        <v>124</v>
      </c>
      <c r="AB69" s="30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 x14ac:dyDescent="0.25">
      <c r="A70" s="29">
        <v>1</v>
      </c>
      <c r="C70" s="24" t="str">
        <f>"    Total Debt to EBITDA"</f>
        <v xml:space="preserve">    Total Debt to EBITDA</v>
      </c>
      <c r="D70" s="34">
        <f t="shared" si="32"/>
        <v>3.4333822684623732</v>
      </c>
      <c r="E70" s="34">
        <f t="shared" si="33"/>
        <v>3.0956975188119462</v>
      </c>
      <c r="F70" s="34">
        <f t="shared" si="34"/>
        <v>0.25997203197789515</v>
      </c>
      <c r="G70" s="34">
        <f t="shared" si="35"/>
        <v>6.8910818561901799</v>
      </c>
      <c r="H70" s="34">
        <f t="shared" si="36"/>
        <v>1.4603936159796338</v>
      </c>
      <c r="I70" s="34">
        <f t="shared" si="37"/>
        <v>4.3395154357170771</v>
      </c>
      <c r="J70" s="34">
        <f t="shared" si="38"/>
        <v>2.0083273263558397</v>
      </c>
      <c r="K70" s="33">
        <f t="shared" si="39"/>
        <v>0.64874792002501169</v>
      </c>
      <c r="L70" s="39"/>
      <c r="M70" s="39">
        <v>4.3395154357170771</v>
      </c>
      <c r="N70" s="39">
        <v>5.4350762124711318</v>
      </c>
      <c r="O70" s="39">
        <v>4.8314034444851597</v>
      </c>
      <c r="P70" s="39">
        <v>6.8910818561901799</v>
      </c>
      <c r="Q70" s="39">
        <v>3.6180984733761714</v>
      </c>
      <c r="R70" s="39">
        <v>3.276323847262248</v>
      </c>
      <c r="S70" s="39">
        <v>3.4333822684623732</v>
      </c>
      <c r="T70" s="39">
        <v>3.4565947242206234</v>
      </c>
      <c r="U70" s="39">
        <v>1.6620003849361646</v>
      </c>
      <c r="V70" s="39">
        <v>1.4603936159796338</v>
      </c>
      <c r="W70" s="39">
        <v>0.71643597579243812</v>
      </c>
      <c r="X70" s="39">
        <v>0.86378947368421055</v>
      </c>
      <c r="Y70" s="39">
        <v>0.25997203197789515</v>
      </c>
      <c r="Z70" s="39" t="s">
        <v>124</v>
      </c>
      <c r="AB70" s="30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 x14ac:dyDescent="0.25">
      <c r="A71" s="29">
        <v>1</v>
      </c>
      <c r="C71" s="24" t="str">
        <f>"    Interest Coverage"</f>
        <v xml:space="preserve">    Interest Coverage</v>
      </c>
      <c r="D71" s="34">
        <f t="shared" si="32"/>
        <v>13.886018481317798</v>
      </c>
      <c r="E71" s="34">
        <f t="shared" si="33"/>
        <v>8.090336316735975</v>
      </c>
      <c r="F71" s="34">
        <f t="shared" si="34"/>
        <v>-58.382413087934559</v>
      </c>
      <c r="G71" s="34">
        <f t="shared" si="35"/>
        <v>22.592814371257486</v>
      </c>
      <c r="H71" s="34">
        <f t="shared" si="36"/>
        <v>8.6048436124271515</v>
      </c>
      <c r="I71" s="34">
        <f t="shared" si="37"/>
        <v>18.886223328954287</v>
      </c>
      <c r="J71" s="34">
        <f t="shared" si="38"/>
        <v>21.002566684705606</v>
      </c>
      <c r="K71" s="33">
        <f t="shared" si="39"/>
        <v>2.5960066259864751</v>
      </c>
      <c r="L71" s="39"/>
      <c r="M71" s="39">
        <v>14.231578947368421</v>
      </c>
      <c r="N71" s="39">
        <v>8.1530054644808736</v>
      </c>
      <c r="O71" s="39">
        <v>9.960358056265985</v>
      </c>
      <c r="P71" s="39">
        <v>13.540458015267175</v>
      </c>
      <c r="Q71" s="39">
        <v>21.168695652173913</v>
      </c>
      <c r="R71" s="39">
        <v>22.00532859680284</v>
      </c>
      <c r="S71" s="39">
        <v>19.33806146572104</v>
      </c>
      <c r="T71" s="39">
        <v>11.012406947890819</v>
      </c>
      <c r="U71" s="39">
        <v>22.592814371257486</v>
      </c>
      <c r="V71" s="39">
        <v>-58.382413087934559</v>
      </c>
      <c r="W71" s="39">
        <v>17.151851851851852</v>
      </c>
      <c r="X71" s="39">
        <v>5.8014571948998181</v>
      </c>
      <c r="Y71" s="39">
        <v>17.530708918654035</v>
      </c>
      <c r="Z71" s="39">
        <v>-10.83960396039604</v>
      </c>
      <c r="AB71" s="30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 x14ac:dyDescent="0.25">
      <c r="A72" s="29">
        <v>1</v>
      </c>
      <c r="C72" s="24" t="str">
        <f>"    EBITDA Interest Coverage"</f>
        <v xml:space="preserve">    EBITDA Interest Coverage</v>
      </c>
      <c r="D72" s="34">
        <f t="shared" si="32"/>
        <v>27.427500336519046</v>
      </c>
      <c r="E72" s="34">
        <f t="shared" si="33"/>
        <v>26.269758476100293</v>
      </c>
      <c r="F72" s="34">
        <f t="shared" si="34"/>
        <v>-6.7988118811881186</v>
      </c>
      <c r="G72" s="34">
        <f t="shared" si="35"/>
        <v>46.667664670658681</v>
      </c>
      <c r="H72" s="34">
        <f t="shared" si="36"/>
        <v>20.009621509269504</v>
      </c>
      <c r="I72" s="34">
        <f t="shared" si="37"/>
        <v>35.504757683215132</v>
      </c>
      <c r="J72" s="34">
        <f t="shared" si="38"/>
        <v>13.675933362315979</v>
      </c>
      <c r="K72" s="33">
        <f t="shared" si="39"/>
        <v>0.52059608293536741</v>
      </c>
      <c r="L72" s="39"/>
      <c r="M72" s="39">
        <v>26.936842105263157</v>
      </c>
      <c r="N72" s="39">
        <v>19.717668488160292</v>
      </c>
      <c r="O72" s="39">
        <v>27.918158567774935</v>
      </c>
      <c r="P72" s="39">
        <v>22.092366412213739</v>
      </c>
      <c r="Q72" s="39">
        <v>42.49217391304348</v>
      </c>
      <c r="R72" s="39">
        <v>39.445825932504441</v>
      </c>
      <c r="S72" s="39">
        <v>37.037825059101657</v>
      </c>
      <c r="T72" s="39">
        <v>28.972704714640198</v>
      </c>
      <c r="U72" s="39">
        <v>46.667664670658681</v>
      </c>
      <c r="V72" s="39">
        <v>20.885480572597135</v>
      </c>
      <c r="W72" s="39">
        <v>30.905555555555555</v>
      </c>
      <c r="X72" s="39">
        <v>12.112932604735883</v>
      </c>
      <c r="Y72" s="39">
        <v>19.390231950343026</v>
      </c>
      <c r="Z72" s="39">
        <v>-6.7988118811881186</v>
      </c>
      <c r="AB72" s="30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 x14ac:dyDescent="0.25">
      <c r="A73" s="29">
        <v>1</v>
      </c>
      <c r="C73" s="24" t="str">
        <f>"    Capital Expenditure to EBITDA"</f>
        <v xml:space="preserve">    Capital Expenditure to EBITDA</v>
      </c>
      <c r="D73" s="34">
        <f t="shared" si="32"/>
        <v>0.94840646651270211</v>
      </c>
      <c r="E73" s="34">
        <f t="shared" si="33"/>
        <v>0.91067445921247558</v>
      </c>
      <c r="F73" s="34">
        <f t="shared" si="34"/>
        <v>0.1</v>
      </c>
      <c r="G73" s="34">
        <f t="shared" si="35"/>
        <v>1.7619985487716388</v>
      </c>
      <c r="H73" s="34">
        <f t="shared" si="36"/>
        <v>0.62994803361775842</v>
      </c>
      <c r="I73" s="34">
        <f t="shared" si="37"/>
        <v>1.1309704088732453</v>
      </c>
      <c r="J73" s="34">
        <f t="shared" si="38"/>
        <v>0.45694504849296852</v>
      </c>
      <c r="K73" s="33">
        <f t="shared" si="39"/>
        <v>0.50176552539764996</v>
      </c>
      <c r="L73" s="39"/>
      <c r="M73" s="39">
        <v>0.86404845642829231</v>
      </c>
      <c r="N73" s="39">
        <v>0.94840646651270211</v>
      </c>
      <c r="O73" s="39">
        <v>1.0991205569805789</v>
      </c>
      <c r="P73" s="39">
        <v>1.7619985487716388</v>
      </c>
      <c r="Q73" s="39">
        <v>1.1309704088732453</v>
      </c>
      <c r="R73" s="39">
        <v>1.2553584293948126</v>
      </c>
      <c r="S73" s="39">
        <v>1.3984170549562775</v>
      </c>
      <c r="T73" s="39">
        <v>1.0163583418979103</v>
      </c>
      <c r="U73" s="39">
        <v>0.62994803361775842</v>
      </c>
      <c r="V73" s="39">
        <v>0.89278370704004695</v>
      </c>
      <c r="W73" s="39">
        <v>0.42459104799568576</v>
      </c>
      <c r="X73" s="39">
        <v>0.31676691729323309</v>
      </c>
      <c r="Y73" s="39">
        <v>0.1</v>
      </c>
      <c r="Z73" s="39" t="s">
        <v>124</v>
      </c>
      <c r="AB73" s="30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 x14ac:dyDescent="0.25">
      <c r="A74" s="29">
        <v>1</v>
      </c>
      <c r="C74" s="24" t="str">
        <f>"    Capital Expenditure to Sales"</f>
        <v xml:space="preserve">    Capital Expenditure to Sales</v>
      </c>
      <c r="D74" s="34">
        <f t="shared" si="32"/>
        <v>0.13071099650027629</v>
      </c>
      <c r="E74" s="34">
        <f t="shared" si="33"/>
        <v>0.13771978951064098</v>
      </c>
      <c r="F74" s="34">
        <f t="shared" si="34"/>
        <v>0.1</v>
      </c>
      <c r="G74" s="34">
        <f t="shared" si="35"/>
        <v>0.18980273099431272</v>
      </c>
      <c r="H74" s="34">
        <f t="shared" si="36"/>
        <v>0.1</v>
      </c>
      <c r="I74" s="34">
        <f t="shared" si="37"/>
        <v>0.1739204547615946</v>
      </c>
      <c r="J74" s="34">
        <f t="shared" si="38"/>
        <v>3.9729645725864279E-2</v>
      </c>
      <c r="K74" s="33">
        <f t="shared" si="39"/>
        <v>0.28848174882517191</v>
      </c>
      <c r="L74" s="39"/>
      <c r="M74" s="39">
        <v>0.17409687883846178</v>
      </c>
      <c r="N74" s="39">
        <v>0.16763685349226437</v>
      </c>
      <c r="O74" s="39">
        <v>0.17485080554077981</v>
      </c>
      <c r="P74" s="39">
        <v>0.17339118253099306</v>
      </c>
      <c r="Q74" s="39">
        <v>0.18980273099431272</v>
      </c>
      <c r="R74" s="39">
        <v>0.18687660875160875</v>
      </c>
      <c r="S74" s="39">
        <v>0.1614219930005526</v>
      </c>
      <c r="T74" s="39">
        <v>0.1</v>
      </c>
      <c r="U74" s="39">
        <v>0.1</v>
      </c>
      <c r="V74" s="39">
        <v>0.1</v>
      </c>
      <c r="W74" s="39">
        <v>0.1</v>
      </c>
      <c r="X74" s="39">
        <v>0.1</v>
      </c>
      <c r="Y74" s="39">
        <v>0.1</v>
      </c>
      <c r="Z74" s="39">
        <v>0.1</v>
      </c>
      <c r="AB74" s="3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 x14ac:dyDescent="0.25">
      <c r="A75" s="29">
        <v>1</v>
      </c>
      <c r="C75" s="24" t="str">
        <f>"    Altman Z-score (TTM)"</f>
        <v xml:space="preserve">    Altman Z-score (TTM)</v>
      </c>
      <c r="D75" s="34">
        <f t="shared" si="32"/>
        <v>1.2128113967088039</v>
      </c>
      <c r="E75" s="34">
        <f t="shared" si="33"/>
        <v>1.1960963328103023</v>
      </c>
      <c r="F75" s="34">
        <f t="shared" si="34"/>
        <v>0.81553233919732171</v>
      </c>
      <c r="G75" s="34">
        <f t="shared" si="35"/>
        <v>1.5108739910033124</v>
      </c>
      <c r="H75" s="34">
        <f t="shared" si="36"/>
        <v>1.0072644533543205</v>
      </c>
      <c r="I75" s="34">
        <f t="shared" si="37"/>
        <v>1.3823487834362784</v>
      </c>
      <c r="J75" s="34">
        <f t="shared" si="38"/>
        <v>0.25038877886764227</v>
      </c>
      <c r="K75" s="33">
        <f t="shared" si="39"/>
        <v>0.20933830495018604</v>
      </c>
      <c r="L75" s="39"/>
      <c r="M75" s="39">
        <v>1.2872214196539598</v>
      </c>
      <c r="N75" s="39">
        <v>0.95878118942857449</v>
      </c>
      <c r="O75" s="39">
        <v>1.098409345609503</v>
      </c>
      <c r="P75" s="39">
        <v>1.0234255413295692</v>
      </c>
      <c r="Q75" s="39">
        <v>1.1384013737636482</v>
      </c>
      <c r="R75" s="39">
        <v>1.3265876114028505</v>
      </c>
      <c r="S75" s="39">
        <v>1.3465006118956748</v>
      </c>
      <c r="T75" s="39">
        <v>1.4898932980580897</v>
      </c>
      <c r="U75" s="39">
        <v>0.85330323357119586</v>
      </c>
      <c r="V75" s="39">
        <v>0.81553233919732171</v>
      </c>
      <c r="W75" s="39">
        <v>1.5108739910033124</v>
      </c>
      <c r="X75" s="39">
        <v>1.5042260388099273</v>
      </c>
      <c r="Y75" s="39" t="s">
        <v>124</v>
      </c>
      <c r="Z75" s="39" t="s">
        <v>124</v>
      </c>
      <c r="AB75" s="30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 x14ac:dyDescent="0.25">
      <c r="A76" s="29">
        <v>1</v>
      </c>
      <c r="C76" s="26" t="str">
        <f>"Dividend Metrics"</f>
        <v>Dividend Metrics</v>
      </c>
      <c r="D76" s="44"/>
      <c r="E76" s="44"/>
      <c r="F76" s="44"/>
      <c r="G76" s="44"/>
      <c r="H76" s="44"/>
      <c r="I76" s="44"/>
      <c r="J76" s="44"/>
      <c r="K76" s="44"/>
      <c r="L76" s="44"/>
      <c r="M76" s="44" t="s">
        <v>124</v>
      </c>
      <c r="N76" s="44" t="s">
        <v>124</v>
      </c>
      <c r="O76" s="44" t="s">
        <v>124</v>
      </c>
      <c r="P76" s="44" t="s">
        <v>124</v>
      </c>
      <c r="Q76" s="44" t="s">
        <v>124</v>
      </c>
      <c r="R76" s="44" t="s">
        <v>124</v>
      </c>
      <c r="S76" s="44" t="s">
        <v>124</v>
      </c>
      <c r="T76" s="44" t="s">
        <v>124</v>
      </c>
      <c r="U76" s="44" t="s">
        <v>124</v>
      </c>
      <c r="V76" s="44" t="s">
        <v>124</v>
      </c>
      <c r="W76" s="44" t="s">
        <v>124</v>
      </c>
      <c r="X76" s="44" t="s">
        <v>124</v>
      </c>
      <c r="Y76" s="44" t="s">
        <v>124</v>
      </c>
      <c r="Z76" s="44" t="s">
        <v>124</v>
      </c>
      <c r="AB76" s="30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 x14ac:dyDescent="0.25">
      <c r="A77" s="29">
        <v>1</v>
      </c>
      <c r="C77" s="24" t="str">
        <f>"    Dividend Payout"</f>
        <v xml:space="preserve">    Dividend Payout</v>
      </c>
      <c r="D77" s="34">
        <f t="shared" ref="D77:D83" si="40">IF(COUNT(M77:Z77)&gt;0,MEDIAN(M77:Z77),"")</f>
        <v>0.1</v>
      </c>
      <c r="E77" s="34">
        <f t="shared" ref="E77:E83" si="41">IF(COUNT(M77:Z77)&gt;0,AVERAGE(M77:Z77),"")</f>
        <v>0.67915367369837165</v>
      </c>
      <c r="F77" s="34">
        <f t="shared" ref="F77:F83" si="42">IF(COUNT(M77:Z77)&gt;0,MIN(M77:Z77),"")</f>
        <v>0</v>
      </c>
      <c r="G77" s="34">
        <f t="shared" ref="G77:G83" si="43">IF(COUNT(M77:Z77)&gt;0,MAX(M77:Z77),"")</f>
        <v>6.9090909090909092</v>
      </c>
      <c r="H77" s="34">
        <f t="shared" ref="H77:H83" si="44">IF(COUNT(M77:Z77)&gt;0,QUARTILE(M77:Z77,1),"")</f>
        <v>0</v>
      </c>
      <c r="I77" s="34">
        <f t="shared" ref="I77:I83" si="45">IF(COUNT(M77:Z77)&gt;0,QUARTILE(M77:Z77,3),"")</f>
        <v>0.27240143369175629</v>
      </c>
      <c r="J77" s="34">
        <f t="shared" ref="J77:J83" si="46">IF(COUNT(M77:Z77)&gt;1,STDEV(M77:Z77),"")</f>
        <v>1.8837488462349339</v>
      </c>
      <c r="K77" s="33">
        <f t="shared" ref="K77:K83" si="47">IF(COUNT(M77:Z77)&gt;1,STDEV(M77:Z77)/AVERAGE(M77:Z77),"")</f>
        <v>2.7736709955154444</v>
      </c>
      <c r="L77" s="39"/>
      <c r="M77" s="39">
        <v>0</v>
      </c>
      <c r="N77" s="39">
        <v>0.1</v>
      </c>
      <c r="O77" s="39">
        <v>0.33260393873085337</v>
      </c>
      <c r="P77" s="39">
        <v>0.27240143369175629</v>
      </c>
      <c r="Q77" s="39">
        <v>6.9090909090909092</v>
      </c>
      <c r="R77" s="39">
        <v>0.25333333333333335</v>
      </c>
      <c r="S77" s="39">
        <v>0.23429541595925296</v>
      </c>
      <c r="T77" s="39">
        <v>0.72727272727272729</v>
      </c>
      <c r="U77" s="39">
        <v>0</v>
      </c>
      <c r="V77" s="39">
        <v>0</v>
      </c>
      <c r="W77" s="39">
        <v>0</v>
      </c>
      <c r="X77" s="39">
        <v>0</v>
      </c>
      <c r="Y77" s="39">
        <v>0</v>
      </c>
      <c r="Z77" s="39" t="s">
        <v>124</v>
      </c>
      <c r="AB77" s="30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 x14ac:dyDescent="0.25">
      <c r="A78" s="29">
        <v>1</v>
      </c>
      <c r="C78" s="24" t="str">
        <f>"    Normalized Dividend Payout"</f>
        <v xml:space="preserve">    Normalized Dividend Payout</v>
      </c>
      <c r="D78" s="34">
        <f t="shared" si="40"/>
        <v>0.05</v>
      </c>
      <c r="E78" s="34">
        <f t="shared" si="41"/>
        <v>0.14378221205688546</v>
      </c>
      <c r="F78" s="34">
        <f t="shared" si="42"/>
        <v>0</v>
      </c>
      <c r="G78" s="34">
        <f t="shared" si="43"/>
        <v>0.61120910573310583</v>
      </c>
      <c r="H78" s="34">
        <f t="shared" si="44"/>
        <v>0</v>
      </c>
      <c r="I78" s="34">
        <f t="shared" si="45"/>
        <v>0.24437848533908976</v>
      </c>
      <c r="J78" s="34">
        <f t="shared" si="46"/>
        <v>0.18359564035743267</v>
      </c>
      <c r="K78" s="33">
        <f t="shared" si="47"/>
        <v>1.2769009304488623</v>
      </c>
      <c r="L78" s="39"/>
      <c r="M78" s="39">
        <v>0</v>
      </c>
      <c r="N78" s="39">
        <v>0.1</v>
      </c>
      <c r="O78" s="39">
        <v>0.31535269709543567</v>
      </c>
      <c r="P78" s="39">
        <v>0.23241590214067279</v>
      </c>
      <c r="Q78" s="39">
        <v>0.22960725075528701</v>
      </c>
      <c r="R78" s="39">
        <v>0.24836601307189543</v>
      </c>
      <c r="S78" s="39">
        <v>0.27599999999999997</v>
      </c>
      <c r="T78" s="39">
        <v>0.61120910573310583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B78" s="30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 x14ac:dyDescent="0.25">
      <c r="A79" s="29">
        <v>1</v>
      </c>
      <c r="C79" s="24" t="str">
        <f>"    Reinvestment Rate"</f>
        <v xml:space="preserve">    Reinvestment Rate</v>
      </c>
      <c r="D79" s="35">
        <f t="shared" si="40"/>
        <v>0.16052138245818914</v>
      </c>
      <c r="E79" s="35">
        <f t="shared" si="41"/>
        <v>0.13089373270217511</v>
      </c>
      <c r="F79" s="35">
        <f t="shared" si="42"/>
        <v>-0.14340381742042785</v>
      </c>
      <c r="G79" s="35">
        <f t="shared" si="43"/>
        <v>0.26174419402504584</v>
      </c>
      <c r="H79" s="35">
        <f t="shared" si="44"/>
        <v>0.12264931314967156</v>
      </c>
      <c r="I79" s="35">
        <f t="shared" si="45"/>
        <v>0.18354303623938739</v>
      </c>
      <c r="J79" s="35">
        <f t="shared" si="46"/>
        <v>0.1042201410582369</v>
      </c>
      <c r="K79" s="33">
        <f t="shared" si="47"/>
        <v>0.79621948970903667</v>
      </c>
      <c r="L79" s="40"/>
      <c r="M79" s="40">
        <v>0.19144934875219075</v>
      </c>
      <c r="N79" s="40">
        <v>0.1334509173035556</v>
      </c>
      <c r="O79" s="40">
        <v>0.10436622316789784</v>
      </c>
      <c r="P79" s="40">
        <v>0.15696185876173921</v>
      </c>
      <c r="Q79" s="40">
        <v>-0.14340381742042785</v>
      </c>
      <c r="R79" s="40">
        <v>0.16408090615463911</v>
      </c>
      <c r="S79" s="40">
        <v>0.20571763376332197</v>
      </c>
      <c r="T79" s="40">
        <v>2.2508788658844526E-2</v>
      </c>
      <c r="U79" s="40">
        <v>0.12874367647692947</v>
      </c>
      <c r="V79" s="40">
        <v>0.16419746404724539</v>
      </c>
      <c r="W79" s="40">
        <v>0.26174419402504584</v>
      </c>
      <c r="X79" s="40">
        <v>0.18090759873511961</v>
      </c>
      <c r="Y79" s="40" t="s">
        <v>124</v>
      </c>
      <c r="Z79" s="40" t="s">
        <v>124</v>
      </c>
      <c r="AB79" s="30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 x14ac:dyDescent="0.25">
      <c r="A80" s="29">
        <v>1</v>
      </c>
      <c r="C80" s="24" t="str">
        <f>"    Normalized Reinvestment Rate"</f>
        <v xml:space="preserve">    Normalized Reinvestment Rate</v>
      </c>
      <c r="D80" s="35">
        <f t="shared" si="40"/>
        <v>0.17402197906286868</v>
      </c>
      <c r="E80" s="35">
        <f t="shared" si="41"/>
        <v>0.24460521641788321</v>
      </c>
      <c r="F80" s="35">
        <f t="shared" si="42"/>
        <v>3.1238987494670942E-2</v>
      </c>
      <c r="G80" s="35">
        <f t="shared" si="43"/>
        <v>1.0946362310879232</v>
      </c>
      <c r="H80" s="35">
        <f t="shared" si="44"/>
        <v>0.15044017403971296</v>
      </c>
      <c r="I80" s="35">
        <f t="shared" si="45"/>
        <v>0.19777485559746005</v>
      </c>
      <c r="J80" s="35">
        <f t="shared" si="46"/>
        <v>0.27509497753360584</v>
      </c>
      <c r="K80" s="33">
        <f t="shared" si="47"/>
        <v>1.1246488589337111</v>
      </c>
      <c r="L80" s="40"/>
      <c r="M80" s="40">
        <v>0.20204021016380161</v>
      </c>
      <c r="N80" s="40">
        <v>0.15257048821237068</v>
      </c>
      <c r="O80" s="40">
        <v>0.1127147644702375</v>
      </c>
      <c r="P80" s="40">
        <v>0.19635307074201286</v>
      </c>
      <c r="Q80" s="40">
        <v>0.17958076689988739</v>
      </c>
      <c r="R80" s="40">
        <v>0.16846319122584996</v>
      </c>
      <c r="S80" s="40">
        <v>0.16509228275129403</v>
      </c>
      <c r="T80" s="40">
        <v>3.1238987494670942E-2</v>
      </c>
      <c r="U80" s="40">
        <v>0.14404923152173982</v>
      </c>
      <c r="V80" s="40">
        <v>1.0946362310879232</v>
      </c>
      <c r="W80" s="40">
        <v>0.30713645123099087</v>
      </c>
      <c r="X80" s="40">
        <v>0.18138692121381958</v>
      </c>
      <c r="Y80" s="40" t="s">
        <v>124</v>
      </c>
      <c r="Z80" s="40" t="s">
        <v>124</v>
      </c>
      <c r="AB80" s="30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 x14ac:dyDescent="0.25">
      <c r="A81" s="29">
        <v>1</v>
      </c>
      <c r="C81" s="24" t="str">
        <f>"    Retention Rate"</f>
        <v xml:space="preserve">    Retention Rate</v>
      </c>
      <c r="D81" s="35">
        <f t="shared" si="40"/>
        <v>0.95612009237875295</v>
      </c>
      <c r="E81" s="35">
        <f t="shared" si="41"/>
        <v>0.37023160190561955</v>
      </c>
      <c r="F81" s="35">
        <f t="shared" si="42"/>
        <v>-5.9090909090909092</v>
      </c>
      <c r="G81" s="35">
        <f t="shared" si="43"/>
        <v>1</v>
      </c>
      <c r="H81" s="35">
        <f t="shared" si="44"/>
        <v>0.7323655913978494</v>
      </c>
      <c r="I81" s="35">
        <f t="shared" si="45"/>
        <v>1</v>
      </c>
      <c r="J81" s="35">
        <f t="shared" si="46"/>
        <v>1.8192041654484645</v>
      </c>
      <c r="K81" s="33">
        <f t="shared" si="47"/>
        <v>4.9136922836538979</v>
      </c>
      <c r="L81" s="40"/>
      <c r="M81" s="40">
        <v>1</v>
      </c>
      <c r="N81" s="40">
        <v>0.91224018475750579</v>
      </c>
      <c r="O81" s="40">
        <v>0.66739606126914663</v>
      </c>
      <c r="P81" s="40">
        <v>0.72759856630824371</v>
      </c>
      <c r="Q81" s="40">
        <v>-5.9090909090909092</v>
      </c>
      <c r="R81" s="40">
        <v>0.74666666666666659</v>
      </c>
      <c r="S81" s="40">
        <v>0.76570458404074704</v>
      </c>
      <c r="T81" s="40">
        <v>0.27272727272727271</v>
      </c>
      <c r="U81" s="40">
        <v>1</v>
      </c>
      <c r="V81" s="40">
        <v>1</v>
      </c>
      <c r="W81" s="40">
        <v>1</v>
      </c>
      <c r="X81" s="40">
        <v>1</v>
      </c>
      <c r="Y81" s="40">
        <v>1</v>
      </c>
      <c r="Z81" s="40">
        <v>1</v>
      </c>
      <c r="AB81" s="30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 x14ac:dyDescent="0.25">
      <c r="A82" s="29">
        <v>1</v>
      </c>
      <c r="C82" s="24" t="str">
        <f>"    Normalized Retention Rate"</f>
        <v xml:space="preserve">    Normalized Retention Rate</v>
      </c>
      <c r="D82" s="35">
        <f t="shared" si="40"/>
        <v>0.96122448979591835</v>
      </c>
      <c r="E82" s="35">
        <f t="shared" si="41"/>
        <v>0.85782128648538858</v>
      </c>
      <c r="F82" s="35">
        <f t="shared" si="42"/>
        <v>0.38879089426689417</v>
      </c>
      <c r="G82" s="35">
        <f t="shared" si="43"/>
        <v>1</v>
      </c>
      <c r="H82" s="35">
        <f t="shared" si="44"/>
        <v>0.75562151466091021</v>
      </c>
      <c r="I82" s="35">
        <f t="shared" si="45"/>
        <v>1</v>
      </c>
      <c r="J82" s="35">
        <f t="shared" si="46"/>
        <v>0.18410476967161293</v>
      </c>
      <c r="K82" s="33">
        <f t="shared" si="47"/>
        <v>0.21461902679742936</v>
      </c>
      <c r="L82" s="40"/>
      <c r="M82" s="40">
        <v>1</v>
      </c>
      <c r="N82" s="40">
        <v>0.92244897959183669</v>
      </c>
      <c r="O82" s="40">
        <v>0.68464730290456433</v>
      </c>
      <c r="P82" s="40">
        <v>0.76758409785932724</v>
      </c>
      <c r="Q82" s="40">
        <v>0.77039274924471302</v>
      </c>
      <c r="R82" s="40">
        <v>0.75163398692810457</v>
      </c>
      <c r="S82" s="40">
        <v>0.72399999999999998</v>
      </c>
      <c r="T82" s="40">
        <v>0.38879089426689417</v>
      </c>
      <c r="U82" s="40">
        <v>1</v>
      </c>
      <c r="V82" s="40">
        <v>1</v>
      </c>
      <c r="W82" s="40">
        <v>1</v>
      </c>
      <c r="X82" s="40">
        <v>1</v>
      </c>
      <c r="Y82" s="40">
        <v>1</v>
      </c>
      <c r="Z82" s="40">
        <v>1</v>
      </c>
      <c r="AB82" s="30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 x14ac:dyDescent="0.25">
      <c r="A83" s="29">
        <v>1</v>
      </c>
      <c r="C83" s="24" t="str">
        <f>"    Sustainable Growth Rate"</f>
        <v xml:space="preserve">    Sustainable Growth Rate</v>
      </c>
      <c r="D83" s="35">
        <f t="shared" si="40"/>
        <v>0.1704751456345604</v>
      </c>
      <c r="E83" s="35">
        <f t="shared" si="41"/>
        <v>0.16132483656022836</v>
      </c>
      <c r="F83" s="35">
        <f t="shared" si="42"/>
        <v>-4.5866596416289936E-2</v>
      </c>
      <c r="G83" s="35">
        <f t="shared" si="43"/>
        <v>0.31716812950377377</v>
      </c>
      <c r="H83" s="35">
        <f t="shared" si="44"/>
        <v>0.12981462956916606</v>
      </c>
      <c r="I83" s="35">
        <f t="shared" si="45"/>
        <v>0.20502143356233532</v>
      </c>
      <c r="J83" s="35">
        <f t="shared" si="46"/>
        <v>9.9433946731741885E-2</v>
      </c>
      <c r="K83" s="33">
        <f t="shared" si="47"/>
        <v>0.61635857721523002</v>
      </c>
      <c r="L83" s="40"/>
      <c r="M83" s="40">
        <v>0.1920358698674576</v>
      </c>
      <c r="N83" s="40">
        <v>0.13756728237074611</v>
      </c>
      <c r="O83" s="40">
        <v>0.10655667116442596</v>
      </c>
      <c r="P83" s="40">
        <v>0.16105609133006585</v>
      </c>
      <c r="Q83" s="40">
        <v>-4.5866596416289936E-2</v>
      </c>
      <c r="R83" s="40">
        <v>0.16246973630876085</v>
      </c>
      <c r="S83" s="40">
        <v>0.20235522734527378</v>
      </c>
      <c r="T83" s="40">
        <v>2.8411742577449928E-2</v>
      </c>
      <c r="U83" s="40">
        <v>0.17848055496035997</v>
      </c>
      <c r="V83" s="40">
        <v>0.21302005221351997</v>
      </c>
      <c r="W83" s="40">
        <v>0.31716812950377377</v>
      </c>
      <c r="X83" s="40">
        <v>0.28264327749719659</v>
      </c>
      <c r="Y83" s="40" t="s">
        <v>124</v>
      </c>
      <c r="Z83" s="40" t="s">
        <v>124</v>
      </c>
      <c r="AB83" s="30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 x14ac:dyDescent="0.25">
      <c r="A84" s="29">
        <v>1</v>
      </c>
      <c r="C84" s="26" t="str">
        <f>"Momentum"</f>
        <v>Momentum</v>
      </c>
      <c r="D84" s="44"/>
      <c r="E84" s="44"/>
      <c r="F84" s="44"/>
      <c r="G84" s="44"/>
      <c r="H84" s="44"/>
      <c r="I84" s="44"/>
      <c r="J84" s="44"/>
      <c r="K84" s="44"/>
      <c r="L84" s="44"/>
      <c r="M84" s="44" t="s">
        <v>124</v>
      </c>
      <c r="N84" s="44" t="s">
        <v>124</v>
      </c>
      <c r="O84" s="44" t="s">
        <v>124</v>
      </c>
      <c r="P84" s="44" t="s">
        <v>124</v>
      </c>
      <c r="Q84" s="44" t="s">
        <v>124</v>
      </c>
      <c r="R84" s="44" t="s">
        <v>124</v>
      </c>
      <c r="S84" s="44" t="s">
        <v>124</v>
      </c>
      <c r="T84" s="44" t="s">
        <v>124</v>
      </c>
      <c r="U84" s="44" t="s">
        <v>124</v>
      </c>
      <c r="V84" s="44" t="s">
        <v>124</v>
      </c>
      <c r="W84" s="44" t="s">
        <v>124</v>
      </c>
      <c r="X84" s="44" t="s">
        <v>124</v>
      </c>
      <c r="Y84" s="44" t="s">
        <v>124</v>
      </c>
      <c r="Z84" s="44" t="s">
        <v>124</v>
      </c>
      <c r="AB84" s="30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 x14ac:dyDescent="0.25">
      <c r="A85" s="29">
        <v>1</v>
      </c>
      <c r="C85" s="24" t="str">
        <f>"    Normalized EBITDA Momentum"</f>
        <v xml:space="preserve">    Normalized EBITDA Momentum</v>
      </c>
      <c r="D85" s="35">
        <f t="shared" ref="D85:D90" si="48">IF(COUNT(M85:Z85)&gt;0,MEDIAN(M85:Z85),"")</f>
        <v>0.73135000418718354</v>
      </c>
      <c r="E85" s="35">
        <f t="shared" ref="E85:E90" si="49">IF(COUNT(M85:Z85)&gt;0,AVERAGE(M85:Z85),"")</f>
        <v>9.4062071808232712</v>
      </c>
      <c r="F85" s="35">
        <f t="shared" ref="F85:F90" si="50">IF(COUNT(M85:Z85)&gt;0,MIN(M85:Z85),"")</f>
        <v>-0.37588950640571639</v>
      </c>
      <c r="G85" s="35">
        <f t="shared" ref="G85:G90" si="51">IF(COUNT(M85:Z85)&gt;0,MAX(M85:Z85),"")</f>
        <v>89.214551899195001</v>
      </c>
      <c r="H85" s="35">
        <f t="shared" ref="H85:H90" si="52">IF(COUNT(M85:Z85)&gt;0,QUARTILE(M85:Z85,1),"")</f>
        <v>1.9923634269482064E-2</v>
      </c>
      <c r="I85" s="35">
        <f t="shared" ref="I85:I90" si="53">IF(COUNT(M85:Z85)&gt;0,QUARTILE(M85:Z85,3),"")</f>
        <v>2.3815964786129666</v>
      </c>
      <c r="J85" s="35">
        <f t="shared" ref="J85:J90" si="54">IF(COUNT(M85:Z85)&gt;1,STDEV(M85:Z85),"")</f>
        <v>25.528824665822103</v>
      </c>
      <c r="K85" s="33">
        <f t="shared" ref="K85:K90" si="55">IF(COUNT(M85:Z85)&gt;1,STDEV(M85:Z85)/AVERAGE(M85:Z85),"")</f>
        <v>2.7140402263165666</v>
      </c>
      <c r="L85" s="40"/>
      <c r="M85" s="40">
        <v>-3.4343164583549191E-2</v>
      </c>
      <c r="N85" s="40">
        <v>0.18590154016518648</v>
      </c>
      <c r="O85" s="40">
        <v>-0.1229119124420672</v>
      </c>
      <c r="P85" s="40">
        <v>-0.37588950640571639</v>
      </c>
      <c r="Q85" s="40">
        <v>0.11604624173157195</v>
      </c>
      <c r="R85" s="40">
        <v>3.8012567220492482E-2</v>
      </c>
      <c r="S85" s="40">
        <v>1.2767984682091806</v>
      </c>
      <c r="T85" s="40">
        <v>2.2573206235107679</v>
      </c>
      <c r="U85" s="40">
        <v>89.214551899195001</v>
      </c>
      <c r="V85" s="40">
        <v>2.7544240439195633</v>
      </c>
      <c r="W85" s="40">
        <v>1.6185756058365743</v>
      </c>
      <c r="X85" s="40">
        <v>15.945999763522231</v>
      </c>
      <c r="Y85" s="40" t="s">
        <v>124</v>
      </c>
      <c r="Z85" s="40" t="s">
        <v>124</v>
      </c>
      <c r="AB85" s="30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 x14ac:dyDescent="0.25">
      <c r="A86" s="29">
        <v>1</v>
      </c>
      <c r="C86" s="24" t="str">
        <f>"    Cash Flow Momentum"</f>
        <v xml:space="preserve">    Cash Flow Momentum</v>
      </c>
      <c r="D86" s="35">
        <f t="shared" si="48"/>
        <v>3.0238084278518158E-2</v>
      </c>
      <c r="E86" s="35">
        <f t="shared" si="49"/>
        <v>0.15709131620184799</v>
      </c>
      <c r="F86" s="35">
        <f t="shared" si="50"/>
        <v>-0.13387956451769559</v>
      </c>
      <c r="G86" s="35">
        <f t="shared" si="51"/>
        <v>1.3926461916291464</v>
      </c>
      <c r="H86" s="35">
        <f t="shared" si="52"/>
        <v>-6.2659772346025891E-2</v>
      </c>
      <c r="I86" s="35">
        <f t="shared" si="53"/>
        <v>0.17476252236307244</v>
      </c>
      <c r="J86" s="35">
        <f t="shared" si="54"/>
        <v>0.41561267953609821</v>
      </c>
      <c r="K86" s="33">
        <f t="shared" si="55"/>
        <v>2.6456757100569064</v>
      </c>
      <c r="L86" s="40"/>
      <c r="M86" s="40">
        <v>-0.13387956451769559</v>
      </c>
      <c r="N86" s="40">
        <v>0.15606684568342502</v>
      </c>
      <c r="O86" s="40">
        <v>-1.1688054033922415E-2</v>
      </c>
      <c r="P86" s="40">
        <v>-9.3560295324036119E-2</v>
      </c>
      <c r="Q86" s="40">
        <v>7.216422259095874E-2</v>
      </c>
      <c r="R86" s="40">
        <v>-5.2359598020022477E-2</v>
      </c>
      <c r="S86" s="40">
        <v>0.1073782369768143</v>
      </c>
      <c r="T86" s="40">
        <v>-1.2405188056196753E-2</v>
      </c>
      <c r="U86" s="40">
        <v>0.34540107706320111</v>
      </c>
      <c r="V86" s="40">
        <v>-0.11551763197151113</v>
      </c>
      <c r="W86" s="40">
        <v>1.3926461916291464</v>
      </c>
      <c r="X86" s="40">
        <v>0.23084955240201474</v>
      </c>
      <c r="Y86" s="40" t="s">
        <v>124</v>
      </c>
      <c r="Z86" s="40" t="s">
        <v>124</v>
      </c>
      <c r="AB86" s="30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 x14ac:dyDescent="0.25">
      <c r="A87" s="29">
        <v>1</v>
      </c>
      <c r="C87" s="24" t="str">
        <f>"    Dividend Momentum"</f>
        <v xml:space="preserve">    Dividend Momentum</v>
      </c>
      <c r="D87" s="35">
        <f t="shared" si="48"/>
        <v>0</v>
      </c>
      <c r="E87" s="35">
        <f t="shared" si="49"/>
        <v>-1.5411255411255391E-2</v>
      </c>
      <c r="F87" s="35">
        <f t="shared" si="50"/>
        <v>-0.5</v>
      </c>
      <c r="G87" s="35">
        <f t="shared" si="51"/>
        <v>0.33333333333333343</v>
      </c>
      <c r="H87" s="35">
        <f t="shared" si="52"/>
        <v>0</v>
      </c>
      <c r="I87" s="35">
        <f t="shared" si="53"/>
        <v>2.9393939393939424E-2</v>
      </c>
      <c r="J87" s="35">
        <f t="shared" si="54"/>
        <v>0.24552408471061504</v>
      </c>
      <c r="K87" s="33">
        <f t="shared" si="55"/>
        <v>-15.931478530379817</v>
      </c>
      <c r="L87" s="40"/>
      <c r="M87" s="40" t="s">
        <v>124</v>
      </c>
      <c r="N87" s="40">
        <v>-0.5</v>
      </c>
      <c r="O87" s="40">
        <v>0</v>
      </c>
      <c r="P87" s="40">
        <v>0</v>
      </c>
      <c r="Q87" s="40">
        <v>0</v>
      </c>
      <c r="R87" s="40">
        <v>1.3333333333333345E-2</v>
      </c>
      <c r="S87" s="40">
        <v>4.5454545454545497E-2</v>
      </c>
      <c r="T87" s="40">
        <v>0.33333333333333343</v>
      </c>
      <c r="U87" s="40" t="s">
        <v>124</v>
      </c>
      <c r="V87" s="40" t="s">
        <v>124</v>
      </c>
      <c r="W87" s="40" t="s">
        <v>124</v>
      </c>
      <c r="X87" s="40" t="s">
        <v>124</v>
      </c>
      <c r="Y87" s="40" t="s">
        <v>124</v>
      </c>
      <c r="Z87" s="40" t="s">
        <v>124</v>
      </c>
      <c r="AB87" s="30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 x14ac:dyDescent="0.25">
      <c r="A88" s="29">
        <v>1</v>
      </c>
      <c r="C88" s="24" t="str">
        <f>"    EBITDA Momentum"</f>
        <v xml:space="preserve">    EBITDA Momentum</v>
      </c>
      <c r="D88" s="35">
        <f t="shared" si="48"/>
        <v>0.19821187904849649</v>
      </c>
      <c r="E88" s="35">
        <f t="shared" si="49"/>
        <v>1.9355352247941724</v>
      </c>
      <c r="F88" s="35">
        <f t="shared" si="50"/>
        <v>-0.36249237161424475</v>
      </c>
      <c r="G88" s="35">
        <f t="shared" si="51"/>
        <v>15.94931443454303</v>
      </c>
      <c r="H88" s="35">
        <f t="shared" si="52"/>
        <v>1.8693850040684377E-4</v>
      </c>
      <c r="I88" s="35">
        <f t="shared" si="53"/>
        <v>1.3573259487760017</v>
      </c>
      <c r="J88" s="35">
        <f t="shared" si="54"/>
        <v>4.7319859480798696</v>
      </c>
      <c r="K88" s="33">
        <f t="shared" si="55"/>
        <v>2.4447945392381456</v>
      </c>
      <c r="L88" s="40"/>
      <c r="M88" s="40">
        <v>-8.0189583626340023E-3</v>
      </c>
      <c r="N88" s="40">
        <v>0.19821187904849649</v>
      </c>
      <c r="O88" s="40">
        <v>-0.1262211251634858</v>
      </c>
      <c r="P88" s="40">
        <v>-0.36249237161424475</v>
      </c>
      <c r="Q88" s="40">
        <v>0.11482523037288045</v>
      </c>
      <c r="R88" s="40">
        <v>8.3928353634476899E-3</v>
      </c>
      <c r="S88" s="40">
        <v>1.2013633637012795</v>
      </c>
      <c r="T88" s="40">
        <v>2.6023730451522842</v>
      </c>
      <c r="U88" s="40" t="s">
        <v>124</v>
      </c>
      <c r="V88" s="40">
        <v>0.19985060584411837</v>
      </c>
      <c r="W88" s="40">
        <v>1.5132885338507236</v>
      </c>
      <c r="X88" s="40">
        <v>15.94931443454303</v>
      </c>
      <c r="Y88" s="40" t="s">
        <v>124</v>
      </c>
      <c r="Z88" s="40" t="s">
        <v>124</v>
      </c>
      <c r="AB88" s="30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 x14ac:dyDescent="0.25">
      <c r="A89" s="29">
        <v>1</v>
      </c>
      <c r="C89" s="24" t="str">
        <f>"    Sales Momentum"</f>
        <v xml:space="preserve">    Sales Momentum</v>
      </c>
      <c r="D89" s="35">
        <f t="shared" si="48"/>
        <v>6.5823059134768594E-3</v>
      </c>
      <c r="E89" s="35">
        <f t="shared" si="49"/>
        <v>8.2573416330353009E-3</v>
      </c>
      <c r="F89" s="35">
        <f t="shared" si="50"/>
        <v>-9.786381349384736E-2</v>
      </c>
      <c r="G89" s="35">
        <f t="shared" si="51"/>
        <v>0.13660635394112544</v>
      </c>
      <c r="H89" s="35">
        <f t="shared" si="52"/>
        <v>-1.1383681529981943E-2</v>
      </c>
      <c r="I89" s="35">
        <f t="shared" si="53"/>
        <v>2.6716609150658068E-2</v>
      </c>
      <c r="J89" s="35">
        <f t="shared" si="54"/>
        <v>5.886924559609661E-2</v>
      </c>
      <c r="K89" s="33">
        <f t="shared" si="55"/>
        <v>7.1293217856673534</v>
      </c>
      <c r="L89" s="40"/>
      <c r="M89" s="40">
        <v>-3.3348416287709508E-2</v>
      </c>
      <c r="N89" s="40">
        <v>5.5592106929826329E-2</v>
      </c>
      <c r="O89" s="40">
        <v>-5.3613282248206308E-2</v>
      </c>
      <c r="P89" s="40">
        <v>7.4815593527214376E-3</v>
      </c>
      <c r="Q89" s="40">
        <v>1.5841106028889388E-3</v>
      </c>
      <c r="R89" s="40">
        <v>0.13660635394112544</v>
      </c>
      <c r="S89" s="40">
        <v>-9.786381349384736E-2</v>
      </c>
      <c r="T89" s="40">
        <v>-4.0621032774060878E-3</v>
      </c>
      <c r="U89" s="40">
        <v>5.6830524742322811E-3</v>
      </c>
      <c r="V89" s="40">
        <v>7.6714869395198412E-3</v>
      </c>
      <c r="W89" s="40">
        <v>1.7091443224268647E-2</v>
      </c>
      <c r="X89" s="40">
        <v>5.6265601439009959E-2</v>
      </c>
      <c r="Y89" s="40" t="s">
        <v>124</v>
      </c>
      <c r="Z89" s="40" t="s">
        <v>124</v>
      </c>
      <c r="AB89" s="30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 x14ac:dyDescent="0.25">
      <c r="A90" s="29">
        <v>1</v>
      </c>
      <c r="C90" s="24" t="str">
        <f>"    Earnings per Share Momentum"</f>
        <v xml:space="preserve">    Earnings per Share Momentum</v>
      </c>
      <c r="D90" s="35">
        <f t="shared" si="48"/>
        <v>8.4745762711864493E-3</v>
      </c>
      <c r="E90" s="35">
        <f t="shared" si="49"/>
        <v>0.50094600778435783</v>
      </c>
      <c r="F90" s="35">
        <f t="shared" si="50"/>
        <v>-0.95348837209302328</v>
      </c>
      <c r="G90" s="35">
        <f t="shared" si="51"/>
        <v>4.9361702127659584</v>
      </c>
      <c r="H90" s="35">
        <f t="shared" si="52"/>
        <v>-0.17998920029960455</v>
      </c>
      <c r="I90" s="35">
        <f t="shared" si="53"/>
        <v>0.51972419838834749</v>
      </c>
      <c r="J90" s="35">
        <f t="shared" si="54"/>
        <v>1.5788345570500326</v>
      </c>
      <c r="K90" s="33">
        <f t="shared" si="55"/>
        <v>3.1517060372096495</v>
      </c>
      <c r="L90" s="40"/>
      <c r="M90" s="40">
        <v>-0.10427807486631019</v>
      </c>
      <c r="N90" s="40">
        <v>0.94170403587443952</v>
      </c>
      <c r="O90" s="40">
        <v>-0.25570032573289891</v>
      </c>
      <c r="P90" s="40">
        <v>4.9361702127659584</v>
      </c>
      <c r="Q90" s="40">
        <v>-0.95348837209302328</v>
      </c>
      <c r="R90" s="40">
        <v>-0.29824561403508776</v>
      </c>
      <c r="S90" s="40">
        <v>1.1575091575091574</v>
      </c>
      <c r="T90" s="40">
        <v>6.4516129032257979E-2</v>
      </c>
      <c r="U90" s="40">
        <v>8.4745762711864493E-3</v>
      </c>
      <c r="V90" s="40">
        <v>9.774436090225555E-2</v>
      </c>
      <c r="W90" s="40">
        <v>-8.3999999999999991E-2</v>
      </c>
      <c r="X90" s="40" t="s">
        <v>124</v>
      </c>
      <c r="Y90" s="40" t="s">
        <v>124</v>
      </c>
      <c r="Z90" s="40" t="s">
        <v>124</v>
      </c>
      <c r="AB90" s="30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 x14ac:dyDescent="0.25">
      <c r="A91" s="29">
        <v>1</v>
      </c>
      <c r="C91" s="26" t="str">
        <f>"Other Ratios"</f>
        <v>Other Ratios</v>
      </c>
      <c r="D91" s="44"/>
      <c r="E91" s="44"/>
      <c r="F91" s="44"/>
      <c r="G91" s="44"/>
      <c r="H91" s="44"/>
      <c r="I91" s="44"/>
      <c r="J91" s="44"/>
      <c r="K91" s="44"/>
      <c r="L91" s="44"/>
      <c r="M91" s="44" t="s">
        <v>124</v>
      </c>
      <c r="N91" s="44" t="s">
        <v>124</v>
      </c>
      <c r="O91" s="44" t="s">
        <v>124</v>
      </c>
      <c r="P91" s="44" t="s">
        <v>124</v>
      </c>
      <c r="Q91" s="44" t="s">
        <v>124</v>
      </c>
      <c r="R91" s="44" t="s">
        <v>124</v>
      </c>
      <c r="S91" s="44" t="s">
        <v>124</v>
      </c>
      <c r="T91" s="44" t="s">
        <v>124</v>
      </c>
      <c r="U91" s="44" t="s">
        <v>124</v>
      </c>
      <c r="V91" s="44" t="s">
        <v>124</v>
      </c>
      <c r="W91" s="44" t="s">
        <v>124</v>
      </c>
      <c r="X91" s="44" t="s">
        <v>124</v>
      </c>
      <c r="Y91" s="44" t="s">
        <v>124</v>
      </c>
      <c r="Z91" s="44" t="s">
        <v>124</v>
      </c>
      <c r="AB91" s="30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 x14ac:dyDescent="0.25">
      <c r="A92" s="29">
        <v>1</v>
      </c>
      <c r="C92" s="24" t="str">
        <f>"    Free Cash Flow to Sales"</f>
        <v xml:space="preserve">    Free Cash Flow to Sales</v>
      </c>
      <c r="D92" s="34">
        <f t="shared" ref="D92:D99" si="56">IF(COUNT(M92:Z92)&gt;0,MEDIAN(M92:Z92),"")</f>
        <v>-0.1</v>
      </c>
      <c r="E92" s="34">
        <f t="shared" ref="E92:E99" si="57">IF(COUNT(M92:Z92)&gt;0,AVERAGE(M92:Z92),"")</f>
        <v>-4.877529927363887E-2</v>
      </c>
      <c r="F92" s="34">
        <f t="shared" ref="F92:F99" si="58">IF(COUNT(M92:Z92)&gt;0,MIN(M92:Z92),"")</f>
        <v>-0.15069462371759937</v>
      </c>
      <c r="G92" s="34">
        <f t="shared" ref="G92:G99" si="59">IF(COUNT(M92:Z92)&gt;0,MAX(M92:Z92),"")</f>
        <v>0.1</v>
      </c>
      <c r="H92" s="34">
        <f t="shared" ref="H92:H99" si="60">IF(COUNT(M92:Z92)&gt;0,QUARTILE(M92:Z92,1),"")</f>
        <v>-0.1</v>
      </c>
      <c r="I92" s="34">
        <f t="shared" ref="I92:I99" si="61">IF(COUNT(M92:Z92)&gt;0,QUARTILE(M92:Z92,3),"")</f>
        <v>5.0000000000000017E-2</v>
      </c>
      <c r="J92" s="34">
        <f t="shared" ref="J92:J99" si="62">IF(COUNT(M92:Z92)&gt;1,STDEV(M92:Z92),"")</f>
        <v>9.8788275177617957E-2</v>
      </c>
      <c r="K92" s="33">
        <f t="shared" ref="K92:K99" si="63">IF(COUNT(M92:Z92)&gt;1,STDEV(M92:Z92)/AVERAGE(M92:Z92),"")</f>
        <v>-2.0253750699385074</v>
      </c>
      <c r="L92" s="39"/>
      <c r="M92" s="39">
        <v>-0.1</v>
      </c>
      <c r="N92" s="39">
        <v>-0.1</v>
      </c>
      <c r="O92" s="39">
        <v>-0.1</v>
      </c>
      <c r="P92" s="39">
        <v>-0.1</v>
      </c>
      <c r="Q92" s="39">
        <v>-0.1</v>
      </c>
      <c r="R92" s="39">
        <v>-0.1</v>
      </c>
      <c r="S92" s="39">
        <v>-0.1</v>
      </c>
      <c r="T92" s="39">
        <v>-0.1</v>
      </c>
      <c r="U92" s="39">
        <v>0.1</v>
      </c>
      <c r="V92" s="39">
        <v>0.1</v>
      </c>
      <c r="W92" s="39">
        <v>0.1</v>
      </c>
      <c r="X92" s="39">
        <v>0.1</v>
      </c>
      <c r="Y92" s="39">
        <v>-0.15069462371759937</v>
      </c>
      <c r="Z92" s="39">
        <v>-0.13215956611334484</v>
      </c>
      <c r="AB92" s="30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 x14ac:dyDescent="0.25">
      <c r="A93" s="29">
        <v>1</v>
      </c>
      <c r="C93" s="24" t="str">
        <f>"    Free Cash Flow to Net Income"</f>
        <v xml:space="preserve">    Free Cash Flow to Net Income</v>
      </c>
      <c r="D93" s="34">
        <f t="shared" si="56"/>
        <v>-0.4343089455919954</v>
      </c>
      <c r="E93" s="34">
        <f t="shared" si="57"/>
        <v>-1.7807314044417262</v>
      </c>
      <c r="F93" s="34">
        <f t="shared" si="58"/>
        <v>-22.060606060606062</v>
      </c>
      <c r="G93" s="34">
        <f t="shared" si="59"/>
        <v>0.7760270118176702</v>
      </c>
      <c r="H93" s="34">
        <f t="shared" si="60"/>
        <v>-0.82723378559956251</v>
      </c>
      <c r="I93" s="34">
        <f t="shared" si="61"/>
        <v>0.44238266898579159</v>
      </c>
      <c r="J93" s="34">
        <f t="shared" si="62"/>
        <v>5.8748033984990418</v>
      </c>
      <c r="K93" s="33">
        <f t="shared" si="63"/>
        <v>-3.2990957445043998</v>
      </c>
      <c r="L93" s="39"/>
      <c r="M93" s="39">
        <v>-0.35766716943187532</v>
      </c>
      <c r="N93" s="39">
        <v>-0.54801455465907289</v>
      </c>
      <c r="O93" s="39">
        <v>-0.77786110694465271</v>
      </c>
      <c r="P93" s="39">
        <v>-1.0978328173374614</v>
      </c>
      <c r="Q93" s="39">
        <v>-22.060606060606062</v>
      </c>
      <c r="R93" s="39">
        <v>-1.2370266479663394</v>
      </c>
      <c r="S93" s="39">
        <v>-0.84369134515119915</v>
      </c>
      <c r="T93" s="39">
        <v>-0.51095072175211553</v>
      </c>
      <c r="U93" s="39">
        <v>0.7760270118176702</v>
      </c>
      <c r="V93" s="39">
        <v>0.13966753585397654</v>
      </c>
      <c r="W93" s="39">
        <v>0.56013782707009796</v>
      </c>
      <c r="X93" s="39">
        <v>0.54328771336306325</v>
      </c>
      <c r="Y93" s="39">
        <v>-0.14979518518870524</v>
      </c>
      <c r="Z93" s="39">
        <v>0.63408585874851053</v>
      </c>
      <c r="AB93" s="30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 x14ac:dyDescent="0.25">
      <c r="A94" s="29">
        <v>1</v>
      </c>
      <c r="C94" s="24" t="str">
        <f>"    Free Cash Flow to Assets"</f>
        <v xml:space="preserve">    Free Cash Flow to Assets</v>
      </c>
      <c r="D94" s="34">
        <f t="shared" si="56"/>
        <v>0.1</v>
      </c>
      <c r="E94" s="34">
        <f t="shared" si="57"/>
        <v>0.1</v>
      </c>
      <c r="F94" s="34">
        <f t="shared" si="58"/>
        <v>0.1</v>
      </c>
      <c r="G94" s="34">
        <f t="shared" si="59"/>
        <v>0.1</v>
      </c>
      <c r="H94" s="34">
        <f t="shared" si="60"/>
        <v>0.1</v>
      </c>
      <c r="I94" s="34">
        <f t="shared" si="61"/>
        <v>0.1</v>
      </c>
      <c r="J94" s="34">
        <f t="shared" si="62"/>
        <v>0</v>
      </c>
      <c r="K94" s="33">
        <f t="shared" si="63"/>
        <v>0</v>
      </c>
      <c r="L94" s="39"/>
      <c r="M94" s="39" t="s">
        <v>124</v>
      </c>
      <c r="N94" s="39" t="s">
        <v>124</v>
      </c>
      <c r="O94" s="39" t="s">
        <v>124</v>
      </c>
      <c r="P94" s="39" t="s">
        <v>124</v>
      </c>
      <c r="Q94" s="39" t="s">
        <v>124</v>
      </c>
      <c r="R94" s="39" t="s">
        <v>124</v>
      </c>
      <c r="S94" s="39" t="s">
        <v>124</v>
      </c>
      <c r="T94" s="39" t="s">
        <v>124</v>
      </c>
      <c r="U94" s="39">
        <v>0.1</v>
      </c>
      <c r="V94" s="39">
        <v>0.1</v>
      </c>
      <c r="W94" s="39">
        <v>0.1</v>
      </c>
      <c r="X94" s="39">
        <v>0.1</v>
      </c>
      <c r="Y94" s="39" t="s">
        <v>124</v>
      </c>
      <c r="Z94" s="39" t="s">
        <v>124</v>
      </c>
      <c r="AB94" s="30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 x14ac:dyDescent="0.25">
      <c r="A95" s="29">
        <v>1</v>
      </c>
      <c r="C95" s="24" t="str">
        <f>"    Free Cash Flow to Equity"</f>
        <v xml:space="preserve">    Free Cash Flow to Equity</v>
      </c>
      <c r="D95" s="34">
        <f t="shared" si="56"/>
        <v>0.11717342306525572</v>
      </c>
      <c r="E95" s="34">
        <f t="shared" si="57"/>
        <v>0.11761335498194522</v>
      </c>
      <c r="F95" s="34">
        <f t="shared" si="58"/>
        <v>0.1</v>
      </c>
      <c r="G95" s="34">
        <f t="shared" si="59"/>
        <v>0.1361065737972694</v>
      </c>
      <c r="H95" s="34">
        <f t="shared" si="60"/>
        <v>0.10460913205455832</v>
      </c>
      <c r="I95" s="34">
        <f t="shared" si="61"/>
        <v>0.13017764599264262</v>
      </c>
      <c r="J95" s="34">
        <f t="shared" si="62"/>
        <v>1.7280492425494034E-2</v>
      </c>
      <c r="K95" s="33">
        <f t="shared" si="63"/>
        <v>0.146926277446526</v>
      </c>
      <c r="L95" s="39"/>
      <c r="M95" s="39" t="s">
        <v>124</v>
      </c>
      <c r="N95" s="39" t="s">
        <v>124</v>
      </c>
      <c r="O95" s="39" t="s">
        <v>124</v>
      </c>
      <c r="P95" s="39" t="s">
        <v>124</v>
      </c>
      <c r="Q95" s="39" t="s">
        <v>124</v>
      </c>
      <c r="R95" s="39" t="s">
        <v>124</v>
      </c>
      <c r="S95" s="39" t="s">
        <v>124</v>
      </c>
      <c r="T95" s="39" t="s">
        <v>124</v>
      </c>
      <c r="U95" s="39">
        <v>0.10614550940607777</v>
      </c>
      <c r="V95" s="39">
        <v>0.1</v>
      </c>
      <c r="W95" s="39">
        <v>0.12820133672443368</v>
      </c>
      <c r="X95" s="39">
        <v>0.1361065737972694</v>
      </c>
      <c r="Y95" s="39" t="s">
        <v>124</v>
      </c>
      <c r="Z95" s="39" t="s">
        <v>124</v>
      </c>
      <c r="AB95" s="30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 x14ac:dyDescent="0.25">
      <c r="A96" s="29">
        <v>1</v>
      </c>
      <c r="C96" s="24" t="str">
        <f>"    Book Value to EBITDA"</f>
        <v xml:space="preserve">    Book Value to EBITDA</v>
      </c>
      <c r="D96" s="34">
        <f t="shared" si="56"/>
        <v>1.9271012526538924</v>
      </c>
      <c r="E96" s="34">
        <f t="shared" si="57"/>
        <v>2.1576873625640767</v>
      </c>
      <c r="F96" s="34">
        <f t="shared" si="58"/>
        <v>1.7299097744360903</v>
      </c>
      <c r="G96" s="34">
        <f t="shared" si="59"/>
        <v>3.3032887975334018</v>
      </c>
      <c r="H96" s="34">
        <f t="shared" si="60"/>
        <v>1.8731293464979719</v>
      </c>
      <c r="I96" s="34">
        <f t="shared" si="61"/>
        <v>2.3674153036101315</v>
      </c>
      <c r="J96" s="34">
        <f t="shared" si="62"/>
        <v>0.49280862158066141</v>
      </c>
      <c r="K96" s="33">
        <f t="shared" si="63"/>
        <v>0.22839667605738526</v>
      </c>
      <c r="L96" s="39"/>
      <c r="M96" s="39">
        <v>2.023728018757327</v>
      </c>
      <c r="N96" s="39">
        <v>1.9360739030023095</v>
      </c>
      <c r="O96" s="39">
        <v>1.9126694759985343</v>
      </c>
      <c r="P96" s="39">
        <v>2.5210048028748142</v>
      </c>
      <c r="Q96" s="39">
        <v>1.7400482953382721</v>
      </c>
      <c r="R96" s="39">
        <v>1.9181286023054755</v>
      </c>
      <c r="S96" s="39">
        <v>2.3162188038552372</v>
      </c>
      <c r="T96" s="39">
        <v>3.3032887975334018</v>
      </c>
      <c r="U96" s="39">
        <v>1.9162635529608008</v>
      </c>
      <c r="V96" s="39">
        <v>2.8204053657103691</v>
      </c>
      <c r="W96" s="39">
        <v>1.7545089579962849</v>
      </c>
      <c r="X96" s="39">
        <v>1.7299097744360903</v>
      </c>
      <c r="Y96" s="39" t="s">
        <v>124</v>
      </c>
      <c r="Z96" s="39" t="s">
        <v>124</v>
      </c>
      <c r="AB96" s="30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 x14ac:dyDescent="0.25">
      <c r="A97" s="29">
        <v>1</v>
      </c>
      <c r="C97" s="24" t="str">
        <f>"    Book Value to EBIT"</f>
        <v xml:space="preserve">    Book Value to EBIT</v>
      </c>
      <c r="D97" s="34">
        <f t="shared" si="56"/>
        <v>3.9582295255764643</v>
      </c>
      <c r="E97" s="34">
        <f t="shared" si="57"/>
        <v>4.4342380176667522</v>
      </c>
      <c r="F97" s="34">
        <f t="shared" si="58"/>
        <v>3.1614122219822933</v>
      </c>
      <c r="G97" s="34">
        <f t="shared" si="59"/>
        <v>8.6906714736367725</v>
      </c>
      <c r="H97" s="34">
        <f t="shared" si="60"/>
        <v>3.5523595574886593</v>
      </c>
      <c r="I97" s="34">
        <f t="shared" si="61"/>
        <v>4.5592579494877326</v>
      </c>
      <c r="J97" s="34">
        <f t="shared" si="62"/>
        <v>1.5461695087615093</v>
      </c>
      <c r="K97" s="33">
        <f t="shared" si="63"/>
        <v>0.34868888467450532</v>
      </c>
      <c r="L97" s="39"/>
      <c r="M97" s="39">
        <v>3.8304142011834319</v>
      </c>
      <c r="N97" s="39">
        <v>4.6823056300268098</v>
      </c>
      <c r="O97" s="39">
        <v>5.3610733085120037</v>
      </c>
      <c r="P97" s="39">
        <v>4.1132258428233168</v>
      </c>
      <c r="Q97" s="39">
        <v>3.4928195859349325</v>
      </c>
      <c r="R97" s="39">
        <v>3.4383566066672047</v>
      </c>
      <c r="S97" s="39">
        <v>4.4362102689486553</v>
      </c>
      <c r="T97" s="39">
        <v>8.6906714736367725</v>
      </c>
      <c r="U97" s="39">
        <v>3.9582295255764643</v>
      </c>
      <c r="V97" s="39" t="s">
        <v>124</v>
      </c>
      <c r="W97" s="39">
        <v>3.1614122219822933</v>
      </c>
      <c r="X97" s="39">
        <v>3.6118995290423861</v>
      </c>
      <c r="Y97" s="39" t="s">
        <v>124</v>
      </c>
      <c r="Z97" s="39" t="s">
        <v>124</v>
      </c>
      <c r="AB97" s="30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 x14ac:dyDescent="0.25">
      <c r="A98" s="29">
        <v>1</v>
      </c>
      <c r="C98" s="24" t="str">
        <f>"    Book Value to Revenue"</f>
        <v xml:space="preserve">    Book Value to Revenue</v>
      </c>
      <c r="D98" s="34">
        <f t="shared" si="56"/>
        <v>0.2477164849227298</v>
      </c>
      <c r="E98" s="34">
        <f t="shared" si="57"/>
        <v>0.16133850288073986</v>
      </c>
      <c r="F98" s="34">
        <f t="shared" si="58"/>
        <v>-0.574309130817095</v>
      </c>
      <c r="G98" s="34">
        <f t="shared" si="59"/>
        <v>0.40776038549966931</v>
      </c>
      <c r="H98" s="34">
        <f t="shared" si="60"/>
        <v>0.18993310756834542</v>
      </c>
      <c r="I98" s="34">
        <f t="shared" si="61"/>
        <v>0.29039962594009372</v>
      </c>
      <c r="J98" s="34">
        <f t="shared" si="62"/>
        <v>0.26838441924425904</v>
      </c>
      <c r="K98" s="33">
        <f t="shared" si="63"/>
        <v>1.6634864861901357</v>
      </c>
      <c r="L98" s="39"/>
      <c r="M98" s="39">
        <v>0.40776038549966931</v>
      </c>
      <c r="N98" s="39">
        <v>0.34221333224476469</v>
      </c>
      <c r="O98" s="39">
        <v>0.30427217149893981</v>
      </c>
      <c r="P98" s="39">
        <v>0.24808193187304911</v>
      </c>
      <c r="Q98" s="39">
        <v>0.29201994669890374</v>
      </c>
      <c r="R98" s="39">
        <v>0.28553866366366365</v>
      </c>
      <c r="S98" s="39">
        <v>0.26736562902928718</v>
      </c>
      <c r="T98" s="39">
        <v>0.24735103797241051</v>
      </c>
      <c r="U98" s="39">
        <v>0.19217253115610544</v>
      </c>
      <c r="V98" s="39">
        <v>0.18918663303909206</v>
      </c>
      <c r="W98" s="39">
        <v>0.19484814607788337</v>
      </c>
      <c r="X98" s="39">
        <v>0.16968405215646939</v>
      </c>
      <c r="Y98" s="39">
        <v>-0.30744628976278576</v>
      </c>
      <c r="Z98" s="39">
        <v>-0.574309130817095</v>
      </c>
      <c r="AB98" s="3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 x14ac:dyDescent="0.25">
      <c r="A99" s="29">
        <v>1</v>
      </c>
      <c r="C99" s="24" t="str">
        <f>"    Book Value to Net Income"</f>
        <v xml:space="preserve">    Book Value to Net Income</v>
      </c>
      <c r="D99" s="34">
        <f t="shared" si="56"/>
        <v>4.6943937418513686</v>
      </c>
      <c r="E99" s="34">
        <f t="shared" si="57"/>
        <v>14.316387539728201</v>
      </c>
      <c r="F99" s="34">
        <f t="shared" si="58"/>
        <v>-0.30561126053774579</v>
      </c>
      <c r="G99" s="34">
        <f t="shared" si="59"/>
        <v>128.83212121212122</v>
      </c>
      <c r="H99" s="34">
        <f t="shared" si="60"/>
        <v>3.7839624608967677</v>
      </c>
      <c r="I99" s="34">
        <f t="shared" si="61"/>
        <v>6.2632968351582416</v>
      </c>
      <c r="J99" s="34">
        <f t="shared" si="62"/>
        <v>34.481323593184349</v>
      </c>
      <c r="K99" s="33">
        <f t="shared" si="63"/>
        <v>2.4085212486388858</v>
      </c>
      <c r="L99" s="39"/>
      <c r="M99" s="39">
        <v>5.2073604826546003</v>
      </c>
      <c r="N99" s="39">
        <v>6.631229235880399</v>
      </c>
      <c r="O99" s="39">
        <v>6.2632968351582416</v>
      </c>
      <c r="P99" s="39">
        <v>4.5176718266253868</v>
      </c>
      <c r="Q99" s="39">
        <v>128.83212121212122</v>
      </c>
      <c r="R99" s="39">
        <v>4.5957276944654222</v>
      </c>
      <c r="S99" s="39">
        <v>3.7839624608967677</v>
      </c>
      <c r="T99" s="39">
        <v>9.5991040318566458</v>
      </c>
      <c r="U99" s="39">
        <v>5.6028512474207464</v>
      </c>
      <c r="V99" s="39">
        <v>4.6943937418513686</v>
      </c>
      <c r="W99" s="39">
        <v>3.1529019058899537</v>
      </c>
      <c r="X99" s="39">
        <v>3.5380286021836076</v>
      </c>
      <c r="Y99" s="39">
        <v>-0.30561126053774579</v>
      </c>
      <c r="Z99" s="39" t="s">
        <v>124</v>
      </c>
      <c r="AB99" s="30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 x14ac:dyDescent="0.25">
      <c r="A100" s="29"/>
      <c r="AB100" s="30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 x14ac:dyDescent="0.25">
      <c r="A101" s="29"/>
      <c r="AB101" s="30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 x14ac:dyDescent="0.25">
      <c r="A102" s="29"/>
      <c r="C102" s="112" t="s">
        <v>89</v>
      </c>
      <c r="AB102" s="30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 x14ac:dyDescent="0.25">
      <c r="A103" s="29"/>
      <c r="C103" s="112" t="s">
        <v>11</v>
      </c>
      <c r="AB103" s="30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 x14ac:dyDescent="0.25">
      <c r="A104" s="29"/>
      <c r="AB104" s="30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 x14ac:dyDescent="0.25">
      <c r="A105" s="2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10:Z10 D19:Z19 D34:Z34 D48:Z48 D53:Z53 D63:Z63 D75:Z75 D83:Z83 D90:Z90">
    <cfRule type="expression" dxfId="1" priority="1">
      <formula>NOT(SUBTOTAL(109,$A11)=$A11)</formula>
    </cfRule>
  </conditionalFormatting>
  <hyperlinks>
    <hyperlink ref="M5" r:id="rId1" xr:uid="{00000000-0004-0000-0600-000000000000}"/>
    <hyperlink ref="N5" r:id="rId2" xr:uid="{00000000-0004-0000-0600-000001000000}"/>
    <hyperlink ref="O5" r:id="rId3" xr:uid="{00000000-0004-0000-0600-000002000000}"/>
    <hyperlink ref="P5" r:id="rId4" xr:uid="{00000000-0004-0000-0600-000003000000}"/>
    <hyperlink ref="Q5" r:id="rId5" xr:uid="{00000000-0004-0000-0600-000004000000}"/>
    <hyperlink ref="R5" r:id="rId6" xr:uid="{00000000-0004-0000-0600-000005000000}"/>
    <hyperlink ref="S5" r:id="rId7" xr:uid="{00000000-0004-0000-0600-000006000000}"/>
    <hyperlink ref="T5" r:id="rId8" xr:uid="{00000000-0004-0000-0600-000007000000}"/>
    <hyperlink ref="U5" r:id="rId9" xr:uid="{00000000-0004-0000-0600-000008000000}"/>
    <hyperlink ref="V5" r:id="rId10" xr:uid="{00000000-0004-0000-0600-000009000000}"/>
    <hyperlink ref="W5" r:id="rId11" xr:uid="{00000000-0004-0000-0600-00000A000000}"/>
    <hyperlink ref="X5" r:id="rId12" xr:uid="{00000000-0004-0000-0600-00000B000000}"/>
    <hyperlink ref="Y5" r:id="rId13" xr:uid="{00000000-0004-0000-0600-00000C000000}"/>
    <hyperlink ref="Z5" r:id="rId14" xr:uid="{00000000-0004-0000-0600-00000D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8A44-BDB0-4376-8C80-E92BAED1A67D}">
  <dimension ref="A1"/>
  <sheetViews>
    <sheetView workbookViewId="0"/>
  </sheetViews>
  <sheetFormatPr defaultColWidth="8.85546875"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CAE1-6806-4D4A-BB35-0B310EF76C5E}">
  <sheetPr>
    <outlinePr summaryBelow="0"/>
  </sheetPr>
  <dimension ref="A1:AMK106"/>
  <sheetViews>
    <sheetView showGridLines="0" zoomScaleNormal="100" workbookViewId="0">
      <pane xSplit="3" ySplit="10" topLeftCell="D77" activePane="bottomRight" state="frozen"/>
      <selection pane="topRight" activeCell="D1" sqref="D1"/>
      <selection pane="bottomLeft" activeCell="A11" sqref="A11"/>
      <selection pane="bottomRight" activeCell="C24" sqref="C24"/>
    </sheetView>
  </sheetViews>
  <sheetFormatPr defaultColWidth="8.85546875" defaultRowHeight="15" x14ac:dyDescent="0.25"/>
  <cols>
    <col min="1" max="1" width="1.85546875" style="1" customWidth="1"/>
    <col min="2" max="2" width="2" style="1" customWidth="1"/>
    <col min="3" max="3" width="50.5703125" style="1" customWidth="1"/>
    <col min="4" max="20" width="14.5703125" style="1" customWidth="1" collapsed="1"/>
    <col min="21" max="21" width="1.85546875" style="1" customWidth="1"/>
    <col min="22" max="1025" width="14.5703125" style="1" customWidth="1" collapsed="1"/>
  </cols>
  <sheetData>
    <row r="1" spans="1:43" ht="6.4" customHeight="1" x14ac:dyDescent="0.25">
      <c r="A1" s="27"/>
      <c r="B1" s="28"/>
      <c r="C1" s="28"/>
      <c r="D1" s="28" t="s">
        <v>124</v>
      </c>
      <c r="E1" s="28" t="s">
        <v>124</v>
      </c>
      <c r="F1" s="28" t="s">
        <v>124</v>
      </c>
      <c r="G1" s="28" t="s">
        <v>124</v>
      </c>
      <c r="H1" s="28" t="s">
        <v>124</v>
      </c>
      <c r="I1" s="28" t="s">
        <v>124</v>
      </c>
      <c r="J1" s="28" t="s">
        <v>124</v>
      </c>
      <c r="K1" s="28" t="s">
        <v>124</v>
      </c>
      <c r="L1" s="27" t="s">
        <v>124</v>
      </c>
      <c r="M1" s="27" t="s">
        <v>124</v>
      </c>
      <c r="N1" s="27" t="s">
        <v>124</v>
      </c>
      <c r="O1" s="27" t="s">
        <v>124</v>
      </c>
      <c r="P1" s="27" t="s">
        <v>124</v>
      </c>
      <c r="Q1" s="27" t="s">
        <v>124</v>
      </c>
      <c r="R1" s="27" t="s">
        <v>124</v>
      </c>
      <c r="S1" s="27" t="s">
        <v>124</v>
      </c>
      <c r="T1" s="27" t="s">
        <v>124</v>
      </c>
      <c r="U1" s="27" t="s">
        <v>124</v>
      </c>
      <c r="V1" s="27" t="s">
        <v>124</v>
      </c>
      <c r="W1" s="27" t="s">
        <v>124</v>
      </c>
      <c r="X1" s="27" t="s">
        <v>124</v>
      </c>
      <c r="Y1" s="27" t="s">
        <v>124</v>
      </c>
      <c r="Z1" s="27" t="s">
        <v>124</v>
      </c>
      <c r="AA1" s="27" t="s">
        <v>124</v>
      </c>
      <c r="AB1" s="27" t="s">
        <v>124</v>
      </c>
      <c r="AC1" s="27" t="s">
        <v>124</v>
      </c>
      <c r="AD1" s="27" t="s">
        <v>124</v>
      </c>
      <c r="AE1" s="27" t="s">
        <v>124</v>
      </c>
      <c r="AF1" s="27" t="s">
        <v>124</v>
      </c>
      <c r="AG1" s="27" t="s">
        <v>124</v>
      </c>
      <c r="AH1" s="27" t="s">
        <v>124</v>
      </c>
      <c r="AI1" s="27" t="s">
        <v>124</v>
      </c>
      <c r="AJ1" s="27" t="s">
        <v>124</v>
      </c>
      <c r="AK1" s="27" t="s">
        <v>124</v>
      </c>
      <c r="AL1" s="27" t="s">
        <v>124</v>
      </c>
      <c r="AM1" s="27" t="s">
        <v>124</v>
      </c>
      <c r="AN1" s="27" t="s">
        <v>124</v>
      </c>
      <c r="AO1" s="27" t="s">
        <v>124</v>
      </c>
      <c r="AP1" s="27"/>
      <c r="AQ1" s="27"/>
    </row>
    <row r="2" spans="1:43" ht="39.75" customHeight="1" x14ac:dyDescent="0.25">
      <c r="A2" s="29"/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30" t="s">
        <v>124</v>
      </c>
      <c r="M2" s="27" t="s">
        <v>124</v>
      </c>
      <c r="N2" s="27" t="s">
        <v>124</v>
      </c>
      <c r="O2" s="27" t="s">
        <v>124</v>
      </c>
      <c r="P2" s="27" t="s">
        <v>124</v>
      </c>
      <c r="Q2" s="27" t="s">
        <v>124</v>
      </c>
      <c r="R2" s="27" t="s">
        <v>124</v>
      </c>
      <c r="S2" s="27" t="s">
        <v>124</v>
      </c>
      <c r="T2" s="27" t="s">
        <v>124</v>
      </c>
      <c r="U2" s="27" t="s">
        <v>124</v>
      </c>
      <c r="V2" s="27" t="s">
        <v>124</v>
      </c>
      <c r="W2" s="27" t="s">
        <v>124</v>
      </c>
      <c r="X2" s="27" t="s">
        <v>124</v>
      </c>
      <c r="Y2" s="27" t="s">
        <v>124</v>
      </c>
      <c r="Z2" s="27" t="s">
        <v>124</v>
      </c>
      <c r="AA2" s="27" t="s">
        <v>124</v>
      </c>
      <c r="AB2" s="27" t="s">
        <v>124</v>
      </c>
      <c r="AC2" s="27" t="s">
        <v>124</v>
      </c>
      <c r="AD2" s="27" t="s">
        <v>124</v>
      </c>
      <c r="AE2" s="27" t="s">
        <v>124</v>
      </c>
      <c r="AF2" s="27" t="s">
        <v>124</v>
      </c>
      <c r="AG2" s="27" t="s">
        <v>124</v>
      </c>
      <c r="AH2" s="27" t="s">
        <v>124</v>
      </c>
      <c r="AI2" s="27" t="s">
        <v>124</v>
      </c>
      <c r="AJ2" s="27" t="s">
        <v>124</v>
      </c>
      <c r="AK2" s="27" t="s">
        <v>124</v>
      </c>
      <c r="AL2" s="27" t="s">
        <v>124</v>
      </c>
      <c r="AM2" s="27" t="s">
        <v>124</v>
      </c>
      <c r="AN2" s="27" t="s">
        <v>124</v>
      </c>
      <c r="AO2" s="27" t="s">
        <v>124</v>
      </c>
      <c r="AP2" s="27"/>
      <c r="AQ2" s="27"/>
    </row>
    <row r="3" spans="1:43" ht="18.75" customHeight="1" x14ac:dyDescent="0.25">
      <c r="A3" s="29"/>
      <c r="C3" s="6" t="s">
        <v>132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30" t="s">
        <v>124</v>
      </c>
      <c r="M3" s="27" t="s">
        <v>124</v>
      </c>
      <c r="N3" s="27" t="s">
        <v>124</v>
      </c>
      <c r="O3" s="27" t="s">
        <v>124</v>
      </c>
      <c r="P3" s="27" t="s">
        <v>124</v>
      </c>
      <c r="Q3" s="27" t="s">
        <v>124</v>
      </c>
      <c r="R3" s="27" t="s">
        <v>124</v>
      </c>
      <c r="S3" s="27" t="s">
        <v>124</v>
      </c>
      <c r="T3" s="27" t="s">
        <v>124</v>
      </c>
      <c r="U3" s="27" t="s">
        <v>124</v>
      </c>
      <c r="V3" s="27" t="s">
        <v>124</v>
      </c>
      <c r="W3" s="27" t="s">
        <v>124</v>
      </c>
      <c r="X3" s="27" t="s">
        <v>124</v>
      </c>
      <c r="Y3" s="27" t="s">
        <v>124</v>
      </c>
      <c r="Z3" s="27" t="s">
        <v>124</v>
      </c>
      <c r="AA3" s="27" t="s">
        <v>124</v>
      </c>
      <c r="AB3" s="27" t="s">
        <v>124</v>
      </c>
      <c r="AC3" s="27" t="s">
        <v>124</v>
      </c>
      <c r="AD3" s="27" t="s">
        <v>124</v>
      </c>
      <c r="AE3" s="27" t="s">
        <v>124</v>
      </c>
      <c r="AF3" s="27" t="s">
        <v>124</v>
      </c>
      <c r="AG3" s="27" t="s">
        <v>124</v>
      </c>
      <c r="AH3" s="27" t="s">
        <v>124</v>
      </c>
      <c r="AI3" s="27" t="s">
        <v>124</v>
      </c>
      <c r="AJ3" s="27" t="s">
        <v>124</v>
      </c>
      <c r="AK3" s="27" t="s">
        <v>124</v>
      </c>
      <c r="AL3" s="27" t="s">
        <v>124</v>
      </c>
      <c r="AM3" s="27" t="s">
        <v>124</v>
      </c>
      <c r="AN3" s="27" t="s">
        <v>124</v>
      </c>
      <c r="AO3" s="27" t="s">
        <v>124</v>
      </c>
      <c r="AP3" s="27"/>
      <c r="AQ3" s="27"/>
    </row>
    <row r="4" spans="1:43" x14ac:dyDescent="0.25">
      <c r="A4" s="29"/>
      <c r="C4" s="7" t="s">
        <v>94</v>
      </c>
      <c r="D4" t="s">
        <v>124</v>
      </c>
      <c r="E4" t="s">
        <v>124</v>
      </c>
      <c r="F4" t="s">
        <v>124</v>
      </c>
      <c r="G4" t="s">
        <v>124</v>
      </c>
      <c r="H4" t="s">
        <v>124</v>
      </c>
      <c r="I4" t="s">
        <v>124</v>
      </c>
      <c r="J4" t="s">
        <v>124</v>
      </c>
      <c r="K4"/>
      <c r="L4" s="30" t="s">
        <v>124</v>
      </c>
      <c r="M4" s="27" t="s">
        <v>124</v>
      </c>
      <c r="N4" s="27" t="s">
        <v>124</v>
      </c>
      <c r="O4" s="27" t="s">
        <v>124</v>
      </c>
      <c r="P4" s="27" t="s">
        <v>124</v>
      </c>
      <c r="Q4" s="27" t="s">
        <v>124</v>
      </c>
      <c r="R4" s="27" t="s">
        <v>124</v>
      </c>
      <c r="S4" s="27" t="s">
        <v>124</v>
      </c>
      <c r="T4" s="27" t="s">
        <v>124</v>
      </c>
      <c r="U4" s="27" t="s">
        <v>124</v>
      </c>
      <c r="V4" s="27" t="s">
        <v>124</v>
      </c>
      <c r="W4" s="27" t="s">
        <v>124</v>
      </c>
      <c r="X4" s="27" t="s">
        <v>124</v>
      </c>
      <c r="Y4" s="27" t="s">
        <v>124</v>
      </c>
      <c r="Z4" s="27" t="s">
        <v>124</v>
      </c>
      <c r="AA4" s="27" t="s">
        <v>124</v>
      </c>
      <c r="AB4" s="27" t="s">
        <v>124</v>
      </c>
      <c r="AC4" s="27" t="s">
        <v>124</v>
      </c>
      <c r="AD4" s="27" t="s">
        <v>124</v>
      </c>
      <c r="AE4" s="27" t="s">
        <v>124</v>
      </c>
      <c r="AF4" s="27" t="s">
        <v>124</v>
      </c>
      <c r="AG4" s="27" t="s">
        <v>124</v>
      </c>
      <c r="AH4" s="27" t="s">
        <v>124</v>
      </c>
      <c r="AI4" s="27" t="s">
        <v>124</v>
      </c>
      <c r="AJ4" s="27" t="s">
        <v>124</v>
      </c>
      <c r="AK4" s="27" t="s">
        <v>124</v>
      </c>
      <c r="AL4" s="27" t="s">
        <v>124</v>
      </c>
      <c r="AM4" s="27" t="s">
        <v>124</v>
      </c>
      <c r="AN4" s="27" t="s">
        <v>124</v>
      </c>
      <c r="AO4" s="27" t="s">
        <v>124</v>
      </c>
      <c r="AP4" s="27"/>
      <c r="AQ4" s="27"/>
    </row>
    <row r="5" spans="1:43" x14ac:dyDescent="0.25">
      <c r="A5" s="29"/>
      <c r="C5" s="7" t="s">
        <v>95</v>
      </c>
      <c r="D5" s="48" t="s">
        <v>133</v>
      </c>
      <c r="E5" s="48" t="s">
        <v>134</v>
      </c>
      <c r="F5" s="48" t="s">
        <v>135</v>
      </c>
      <c r="G5" s="48" t="s">
        <v>97</v>
      </c>
      <c r="H5" s="48" t="s">
        <v>100</v>
      </c>
      <c r="I5" s="48" t="s">
        <v>101</v>
      </c>
      <c r="J5" s="48" t="s">
        <v>102</v>
      </c>
      <c r="K5" s="48" t="s">
        <v>104</v>
      </c>
      <c r="L5" s="30" t="s">
        <v>124</v>
      </c>
      <c r="M5" s="27" t="s">
        <v>124</v>
      </c>
      <c r="N5" s="27" t="s">
        <v>124</v>
      </c>
      <c r="O5" s="27" t="s">
        <v>124</v>
      </c>
      <c r="P5" s="27" t="s">
        <v>124</v>
      </c>
      <c r="Q5" s="27" t="s">
        <v>124</v>
      </c>
      <c r="R5" s="27" t="s">
        <v>124</v>
      </c>
      <c r="S5" s="27" t="s">
        <v>124</v>
      </c>
      <c r="T5" s="27" t="s">
        <v>124</v>
      </c>
      <c r="U5" s="27" t="s">
        <v>124</v>
      </c>
      <c r="V5" s="27" t="s">
        <v>124</v>
      </c>
      <c r="W5" s="27" t="s">
        <v>124</v>
      </c>
      <c r="X5" s="27" t="s">
        <v>124</v>
      </c>
      <c r="Y5" s="27" t="s">
        <v>124</v>
      </c>
      <c r="Z5" s="27" t="s">
        <v>124</v>
      </c>
      <c r="AA5" s="27" t="s">
        <v>124</v>
      </c>
      <c r="AB5" s="27" t="s">
        <v>124</v>
      </c>
      <c r="AC5" s="27" t="s">
        <v>124</v>
      </c>
      <c r="AD5" s="27" t="s">
        <v>124</v>
      </c>
      <c r="AE5" s="27" t="s">
        <v>124</v>
      </c>
      <c r="AF5" s="27" t="s">
        <v>124</v>
      </c>
      <c r="AG5" s="27" t="s">
        <v>124</v>
      </c>
      <c r="AH5" s="27" t="s">
        <v>124</v>
      </c>
      <c r="AI5" s="27" t="s">
        <v>124</v>
      </c>
      <c r="AJ5" s="27" t="s">
        <v>124</v>
      </c>
      <c r="AK5" s="27" t="s">
        <v>124</v>
      </c>
      <c r="AL5" s="27" t="s">
        <v>124</v>
      </c>
      <c r="AM5" s="27" t="s">
        <v>124</v>
      </c>
      <c r="AN5" s="27" t="s">
        <v>124</v>
      </c>
      <c r="AO5" s="27" t="s">
        <v>124</v>
      </c>
      <c r="AP5" s="27"/>
      <c r="AQ5" s="27"/>
    </row>
    <row r="6" spans="1:43" x14ac:dyDescent="0.25">
      <c r="A6" s="29"/>
      <c r="D6" t="s">
        <v>124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/>
      <c r="L6" s="30" t="s">
        <v>124</v>
      </c>
      <c r="M6" s="27" t="s">
        <v>124</v>
      </c>
      <c r="N6" s="27" t="s">
        <v>124</v>
      </c>
      <c r="O6" s="27" t="s">
        <v>124</v>
      </c>
      <c r="P6" s="27" t="s">
        <v>124</v>
      </c>
      <c r="Q6" s="27" t="s">
        <v>124</v>
      </c>
      <c r="R6" s="27" t="s">
        <v>124</v>
      </c>
      <c r="S6" s="27" t="s">
        <v>124</v>
      </c>
      <c r="T6" s="27" t="s">
        <v>124</v>
      </c>
      <c r="U6" s="27" t="s">
        <v>124</v>
      </c>
      <c r="V6" s="27" t="s">
        <v>124</v>
      </c>
      <c r="W6" s="27" t="s">
        <v>124</v>
      </c>
      <c r="X6" s="27" t="s">
        <v>124</v>
      </c>
      <c r="Y6" s="27" t="s">
        <v>124</v>
      </c>
      <c r="Z6" s="27" t="s">
        <v>124</v>
      </c>
      <c r="AA6" s="27" t="s">
        <v>124</v>
      </c>
      <c r="AB6" s="27" t="s">
        <v>124</v>
      </c>
      <c r="AC6" s="27" t="s">
        <v>124</v>
      </c>
      <c r="AD6" s="27" t="s">
        <v>124</v>
      </c>
      <c r="AE6" s="27" t="s">
        <v>124</v>
      </c>
      <c r="AF6" s="27" t="s">
        <v>124</v>
      </c>
      <c r="AG6" s="27" t="s">
        <v>124</v>
      </c>
      <c r="AH6" s="27" t="s">
        <v>124</v>
      </c>
      <c r="AI6" s="27" t="s">
        <v>124</v>
      </c>
      <c r="AJ6" s="27" t="s">
        <v>124</v>
      </c>
      <c r="AK6" s="27" t="s">
        <v>124</v>
      </c>
      <c r="AL6" s="27" t="s">
        <v>124</v>
      </c>
      <c r="AM6" s="27" t="s">
        <v>124</v>
      </c>
      <c r="AN6" s="27" t="s">
        <v>124</v>
      </c>
      <c r="AO6" s="27" t="s">
        <v>124</v>
      </c>
      <c r="AP6" s="27"/>
      <c r="AQ6" s="27"/>
    </row>
    <row r="7" spans="1:43" ht="24" x14ac:dyDescent="0.25">
      <c r="A7" s="29"/>
      <c r="C7" s="8" t="s">
        <v>96</v>
      </c>
      <c r="D7" t="s">
        <v>124</v>
      </c>
      <c r="E7" t="s">
        <v>124</v>
      </c>
      <c r="F7" t="s">
        <v>124</v>
      </c>
      <c r="G7" t="s">
        <v>124</v>
      </c>
      <c r="H7" t="s">
        <v>124</v>
      </c>
      <c r="I7" t="s">
        <v>124</v>
      </c>
      <c r="J7" t="s">
        <v>124</v>
      </c>
      <c r="K7"/>
      <c r="L7" s="30" t="s">
        <v>124</v>
      </c>
      <c r="M7" s="27" t="s">
        <v>124</v>
      </c>
      <c r="N7" s="27" t="s">
        <v>124</v>
      </c>
      <c r="O7" s="27" t="s">
        <v>124</v>
      </c>
      <c r="P7" s="27" t="s">
        <v>124</v>
      </c>
      <c r="Q7" s="27" t="s">
        <v>124</v>
      </c>
      <c r="R7" s="27" t="s">
        <v>124</v>
      </c>
      <c r="S7" s="27" t="s">
        <v>124</v>
      </c>
      <c r="T7" s="27" t="s">
        <v>124</v>
      </c>
      <c r="U7" s="27" t="s">
        <v>124</v>
      </c>
      <c r="V7" s="27" t="s">
        <v>124</v>
      </c>
      <c r="W7" s="27" t="s">
        <v>124</v>
      </c>
      <c r="X7" s="27" t="s">
        <v>124</v>
      </c>
      <c r="Y7" s="27" t="s">
        <v>124</v>
      </c>
      <c r="Z7" s="27" t="s">
        <v>124</v>
      </c>
      <c r="AA7" s="27" t="s">
        <v>124</v>
      </c>
      <c r="AB7" s="27" t="s">
        <v>124</v>
      </c>
      <c r="AC7" s="27" t="s">
        <v>124</v>
      </c>
      <c r="AD7" s="27" t="s">
        <v>124</v>
      </c>
      <c r="AE7" s="27" t="s">
        <v>124</v>
      </c>
      <c r="AF7" s="27" t="s">
        <v>124</v>
      </c>
      <c r="AG7" s="27" t="s">
        <v>124</v>
      </c>
      <c r="AH7" s="27" t="s">
        <v>124</v>
      </c>
      <c r="AI7" s="27" t="s">
        <v>124</v>
      </c>
      <c r="AJ7" s="27" t="s">
        <v>124</v>
      </c>
      <c r="AK7" s="27" t="s">
        <v>124</v>
      </c>
      <c r="AL7" s="27" t="s">
        <v>124</v>
      </c>
      <c r="AM7" s="27" t="s">
        <v>124</v>
      </c>
      <c r="AN7" s="27" t="s">
        <v>124</v>
      </c>
      <c r="AO7" s="27" t="s">
        <v>124</v>
      </c>
      <c r="AP7" s="27"/>
      <c r="AQ7" s="27"/>
    </row>
    <row r="8" spans="1:43" x14ac:dyDescent="0.25">
      <c r="A8" s="29"/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 t="s">
        <v>124</v>
      </c>
      <c r="J8" t="s">
        <v>124</v>
      </c>
      <c r="K8"/>
      <c r="L8" s="30" t="s">
        <v>124</v>
      </c>
      <c r="M8" s="27" t="s">
        <v>124</v>
      </c>
      <c r="N8" s="27" t="s">
        <v>124</v>
      </c>
      <c r="O8" s="27" t="s">
        <v>124</v>
      </c>
      <c r="P8" s="27" t="s">
        <v>124</v>
      </c>
      <c r="Q8" s="27" t="s">
        <v>124</v>
      </c>
      <c r="R8" s="27" t="s">
        <v>124</v>
      </c>
      <c r="S8" s="27" t="s">
        <v>124</v>
      </c>
      <c r="T8" s="27" t="s">
        <v>124</v>
      </c>
      <c r="U8" s="27" t="s">
        <v>124</v>
      </c>
      <c r="V8" s="27" t="s">
        <v>124</v>
      </c>
      <c r="W8" s="27" t="s">
        <v>124</v>
      </c>
      <c r="X8" s="27" t="s">
        <v>124</v>
      </c>
      <c r="Y8" s="27" t="s">
        <v>124</v>
      </c>
      <c r="Z8" s="27" t="s">
        <v>124</v>
      </c>
      <c r="AA8" s="27" t="s">
        <v>124</v>
      </c>
      <c r="AB8" s="27" t="s">
        <v>124</v>
      </c>
      <c r="AC8" s="27" t="s">
        <v>124</v>
      </c>
      <c r="AD8" s="27" t="s">
        <v>124</v>
      </c>
      <c r="AE8" s="27" t="s">
        <v>124</v>
      </c>
      <c r="AF8" s="27" t="s">
        <v>124</v>
      </c>
      <c r="AG8" s="27" t="s">
        <v>124</v>
      </c>
      <c r="AH8" s="27" t="s">
        <v>124</v>
      </c>
      <c r="AI8" s="27" t="s">
        <v>124</v>
      </c>
      <c r="AJ8" s="27" t="s">
        <v>124</v>
      </c>
      <c r="AK8" s="27" t="s">
        <v>124</v>
      </c>
      <c r="AL8" s="27" t="s">
        <v>124</v>
      </c>
      <c r="AM8" s="27" t="s">
        <v>124</v>
      </c>
      <c r="AN8" s="27" t="s">
        <v>124</v>
      </c>
      <c r="AO8" s="27" t="s">
        <v>124</v>
      </c>
      <c r="AP8" s="27"/>
      <c r="AQ8" s="27"/>
    </row>
    <row r="9" spans="1:43" x14ac:dyDescent="0.25">
      <c r="A9" s="29"/>
      <c r="D9" s="49" t="s">
        <v>124</v>
      </c>
      <c r="E9" s="49" t="s">
        <v>124</v>
      </c>
      <c r="F9" s="49" t="s">
        <v>124</v>
      </c>
      <c r="G9" s="49" t="s">
        <v>124</v>
      </c>
      <c r="H9" s="49" t="s">
        <v>124</v>
      </c>
      <c r="I9" s="49" t="s">
        <v>124</v>
      </c>
      <c r="J9" s="49" t="s">
        <v>124</v>
      </c>
      <c r="K9" s="49" t="s">
        <v>124</v>
      </c>
      <c r="L9" s="30" t="s">
        <v>124</v>
      </c>
      <c r="M9" s="27" t="s">
        <v>124</v>
      </c>
      <c r="N9" s="27" t="s">
        <v>124</v>
      </c>
      <c r="O9" s="27" t="s">
        <v>124</v>
      </c>
      <c r="P9" s="27" t="s">
        <v>124</v>
      </c>
      <c r="Q9" s="27" t="s">
        <v>124</v>
      </c>
      <c r="R9" s="27" t="s">
        <v>124</v>
      </c>
      <c r="S9" s="27" t="s">
        <v>124</v>
      </c>
      <c r="T9" s="27" t="s">
        <v>124</v>
      </c>
      <c r="U9" s="27" t="s">
        <v>124</v>
      </c>
      <c r="V9" s="27" t="s">
        <v>124</v>
      </c>
      <c r="W9" s="27" t="s">
        <v>124</v>
      </c>
      <c r="X9" s="27" t="s">
        <v>124</v>
      </c>
      <c r="Y9" s="27" t="s">
        <v>124</v>
      </c>
      <c r="Z9" s="27" t="s">
        <v>124</v>
      </c>
      <c r="AA9" s="27" t="s">
        <v>124</v>
      </c>
      <c r="AB9" s="27" t="s">
        <v>124</v>
      </c>
      <c r="AC9" s="27" t="s">
        <v>124</v>
      </c>
      <c r="AD9" s="27" t="s">
        <v>124</v>
      </c>
      <c r="AE9" s="27" t="s">
        <v>124</v>
      </c>
      <c r="AF9" s="27" t="s">
        <v>124</v>
      </c>
      <c r="AG9" s="27" t="s">
        <v>124</v>
      </c>
      <c r="AH9" s="27" t="s">
        <v>124</v>
      </c>
      <c r="AI9" s="27" t="s">
        <v>124</v>
      </c>
      <c r="AJ9" s="27" t="s">
        <v>124</v>
      </c>
      <c r="AK9" s="27" t="s">
        <v>124</v>
      </c>
      <c r="AL9" s="27" t="s">
        <v>124</v>
      </c>
      <c r="AM9" s="27" t="s">
        <v>124</v>
      </c>
      <c r="AN9" s="27" t="s">
        <v>124</v>
      </c>
      <c r="AO9" s="27" t="s">
        <v>124</v>
      </c>
      <c r="AP9" s="27"/>
      <c r="AQ9" s="27"/>
    </row>
    <row r="10" spans="1:43" x14ac:dyDescent="0.25">
      <c r="A10" s="29"/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t="s">
        <v>124</v>
      </c>
      <c r="K10"/>
      <c r="L10" s="30" t="s">
        <v>124</v>
      </c>
      <c r="M10" s="27" t="s">
        <v>124</v>
      </c>
      <c r="N10" s="27" t="s">
        <v>124</v>
      </c>
      <c r="O10" s="27" t="s">
        <v>124</v>
      </c>
      <c r="P10" s="27" t="s">
        <v>124</v>
      </c>
      <c r="Q10" s="27" t="s">
        <v>124</v>
      </c>
      <c r="R10" s="27" t="s">
        <v>124</v>
      </c>
      <c r="S10" s="27" t="s">
        <v>124</v>
      </c>
      <c r="T10" s="27" t="s">
        <v>124</v>
      </c>
      <c r="U10" s="27" t="s">
        <v>124</v>
      </c>
      <c r="V10" s="27" t="s">
        <v>124</v>
      </c>
      <c r="W10" s="27" t="s">
        <v>124</v>
      </c>
      <c r="X10" s="27" t="s">
        <v>124</v>
      </c>
      <c r="Y10" s="27" t="s">
        <v>124</v>
      </c>
      <c r="Z10" s="27" t="s">
        <v>124</v>
      </c>
      <c r="AA10" s="27" t="s">
        <v>124</v>
      </c>
      <c r="AB10" s="27" t="s">
        <v>124</v>
      </c>
      <c r="AC10" s="27" t="s">
        <v>124</v>
      </c>
      <c r="AD10" s="27" t="s">
        <v>124</v>
      </c>
      <c r="AE10" s="27" t="s">
        <v>124</v>
      </c>
      <c r="AF10" s="27" t="s">
        <v>124</v>
      </c>
      <c r="AG10" s="27" t="s">
        <v>124</v>
      </c>
      <c r="AH10" s="27" t="s">
        <v>124</v>
      </c>
      <c r="AI10" s="27" t="s">
        <v>124</v>
      </c>
      <c r="AJ10" s="27" t="s">
        <v>124</v>
      </c>
      <c r="AK10" s="27" t="s">
        <v>124</v>
      </c>
      <c r="AL10" s="27" t="s">
        <v>124</v>
      </c>
      <c r="AM10" s="27" t="s">
        <v>124</v>
      </c>
      <c r="AN10" s="27" t="s">
        <v>124</v>
      </c>
      <c r="AO10" s="27" t="s">
        <v>124</v>
      </c>
      <c r="AP10" s="27"/>
      <c r="AQ10" s="27"/>
    </row>
    <row r="11" spans="1:43" x14ac:dyDescent="0.25">
      <c r="A11" s="29">
        <v>1</v>
      </c>
      <c r="C11" s="26" t="str">
        <f>"Total Revenue"</f>
        <v>Total Revenue</v>
      </c>
      <c r="D11" s="44" t="s">
        <v>124</v>
      </c>
      <c r="E11" s="44" t="s">
        <v>124</v>
      </c>
      <c r="F11" s="44" t="s">
        <v>124</v>
      </c>
      <c r="G11" s="44" t="s">
        <v>124</v>
      </c>
      <c r="H11" s="44" t="s">
        <v>124</v>
      </c>
      <c r="I11" s="44" t="s">
        <v>124</v>
      </c>
      <c r="J11" s="44" t="s">
        <v>124</v>
      </c>
      <c r="K11" s="44" t="s">
        <v>124</v>
      </c>
      <c r="L11" s="30" t="s">
        <v>124</v>
      </c>
      <c r="M11" s="27" t="s">
        <v>124</v>
      </c>
      <c r="N11" s="27" t="s">
        <v>124</v>
      </c>
      <c r="O11" s="27" t="s">
        <v>124</v>
      </c>
      <c r="P11" s="27" t="s">
        <v>124</v>
      </c>
      <c r="Q11" s="27" t="s">
        <v>124</v>
      </c>
      <c r="R11" s="27" t="s">
        <v>124</v>
      </c>
      <c r="S11" s="27" t="s">
        <v>124</v>
      </c>
      <c r="T11" s="27" t="s">
        <v>124</v>
      </c>
      <c r="U11" s="27" t="s">
        <v>124</v>
      </c>
      <c r="V11" s="27" t="s">
        <v>124</v>
      </c>
      <c r="W11" s="27" t="s">
        <v>124</v>
      </c>
      <c r="X11" s="27" t="s">
        <v>124</v>
      </c>
      <c r="Y11" s="27" t="s">
        <v>124</v>
      </c>
      <c r="Z11" s="27" t="s">
        <v>124</v>
      </c>
      <c r="AA11" s="27" t="s">
        <v>124</v>
      </c>
      <c r="AB11" s="27" t="s">
        <v>124</v>
      </c>
      <c r="AC11" s="27" t="s">
        <v>124</v>
      </c>
      <c r="AD11" s="27" t="s">
        <v>124</v>
      </c>
      <c r="AE11" s="27" t="s">
        <v>124</v>
      </c>
      <c r="AF11" s="27" t="s">
        <v>124</v>
      </c>
      <c r="AG11" s="27" t="s">
        <v>124</v>
      </c>
      <c r="AH11" s="27" t="s">
        <v>124</v>
      </c>
      <c r="AI11" s="27" t="s">
        <v>124</v>
      </c>
      <c r="AJ11" s="27" t="s">
        <v>124</v>
      </c>
      <c r="AK11" s="27" t="s">
        <v>124</v>
      </c>
      <c r="AL11" s="27" t="s">
        <v>124</v>
      </c>
      <c r="AM11" s="27" t="s">
        <v>124</v>
      </c>
      <c r="AN11" s="27" t="s">
        <v>124</v>
      </c>
      <c r="AO11" s="27" t="s">
        <v>124</v>
      </c>
      <c r="AP11" s="27"/>
      <c r="AQ11" s="27"/>
    </row>
    <row r="12" spans="1:43" x14ac:dyDescent="0.25">
      <c r="A12" s="29">
        <v>1</v>
      </c>
      <c r="C12" s="24" t="str">
        <f>"    Actual"</f>
        <v xml:space="preserve">    Actual</v>
      </c>
      <c r="D12" s="37" t="s">
        <v>124</v>
      </c>
      <c r="E12" s="37" t="s">
        <v>124</v>
      </c>
      <c r="F12" s="37" t="s">
        <v>124</v>
      </c>
      <c r="G12" s="37">
        <v>127004000</v>
      </c>
      <c r="H12" s="37">
        <v>122485000</v>
      </c>
      <c r="I12" s="37">
        <v>137237000</v>
      </c>
      <c r="J12" s="37">
        <v>147049000</v>
      </c>
      <c r="K12" s="37">
        <v>145588000</v>
      </c>
      <c r="L12" s="30" t="s">
        <v>124</v>
      </c>
      <c r="M12" s="27" t="s">
        <v>124</v>
      </c>
      <c r="N12" s="27" t="s">
        <v>124</v>
      </c>
      <c r="O12" s="27" t="s">
        <v>124</v>
      </c>
      <c r="P12" s="27" t="s">
        <v>124</v>
      </c>
      <c r="Q12" s="27" t="s">
        <v>124</v>
      </c>
      <c r="R12" s="27" t="s">
        <v>124</v>
      </c>
      <c r="S12" s="27" t="s">
        <v>124</v>
      </c>
      <c r="T12" s="27" t="s">
        <v>124</v>
      </c>
      <c r="U12" s="27" t="s">
        <v>124</v>
      </c>
      <c r="V12" s="27" t="s">
        <v>124</v>
      </c>
      <c r="W12" s="27" t="s">
        <v>124</v>
      </c>
      <c r="X12" s="27" t="s">
        <v>124</v>
      </c>
      <c r="Y12" s="27" t="s">
        <v>124</v>
      </c>
      <c r="Z12" s="27" t="s">
        <v>124</v>
      </c>
      <c r="AA12" s="27" t="s">
        <v>124</v>
      </c>
      <c r="AB12" s="27" t="s">
        <v>124</v>
      </c>
      <c r="AC12" s="27" t="s">
        <v>124</v>
      </c>
      <c r="AD12" s="27" t="s">
        <v>124</v>
      </c>
      <c r="AE12" s="27" t="s">
        <v>124</v>
      </c>
      <c r="AF12" s="27" t="s">
        <v>124</v>
      </c>
      <c r="AG12" s="27" t="s">
        <v>124</v>
      </c>
      <c r="AH12" s="27" t="s">
        <v>124</v>
      </c>
      <c r="AI12" s="27" t="s">
        <v>124</v>
      </c>
      <c r="AJ12" s="27" t="s">
        <v>124</v>
      </c>
      <c r="AK12" s="27" t="s">
        <v>124</v>
      </c>
      <c r="AL12" s="27" t="s">
        <v>124</v>
      </c>
      <c r="AM12" s="27" t="s">
        <v>124</v>
      </c>
      <c r="AN12" s="27" t="s">
        <v>124</v>
      </c>
      <c r="AO12" s="27" t="s">
        <v>124</v>
      </c>
      <c r="AP12" s="27"/>
      <c r="AQ12" s="27"/>
    </row>
    <row r="13" spans="1:43" x14ac:dyDescent="0.25">
      <c r="A13" s="29">
        <v>1</v>
      </c>
      <c r="C13" s="24" t="str">
        <f>"    Median"</f>
        <v xml:space="preserve">    Median</v>
      </c>
      <c r="D13" s="37">
        <v>165134000</v>
      </c>
      <c r="E13" s="37">
        <v>159282592.22999999</v>
      </c>
      <c r="F13" s="37">
        <v>153538211.5</v>
      </c>
      <c r="G13" s="37">
        <v>129166859.711</v>
      </c>
      <c r="H13" s="37">
        <v>120904000</v>
      </c>
      <c r="I13" s="37">
        <v>137592000</v>
      </c>
      <c r="J13" s="37">
        <v>145160000</v>
      </c>
      <c r="K13" s="37">
        <v>145388000</v>
      </c>
      <c r="L13" s="30" t="s">
        <v>124</v>
      </c>
      <c r="M13" s="27" t="s">
        <v>124</v>
      </c>
      <c r="N13" s="27" t="s">
        <v>124</v>
      </c>
      <c r="O13" s="27" t="s">
        <v>124</v>
      </c>
      <c r="P13" s="27" t="s">
        <v>124</v>
      </c>
      <c r="Q13" s="27" t="s">
        <v>124</v>
      </c>
      <c r="R13" s="27" t="s">
        <v>124</v>
      </c>
      <c r="S13" s="27" t="s">
        <v>124</v>
      </c>
      <c r="T13" s="27" t="s">
        <v>124</v>
      </c>
      <c r="U13" s="27" t="s">
        <v>124</v>
      </c>
      <c r="V13" s="27" t="s">
        <v>124</v>
      </c>
      <c r="W13" s="27" t="s">
        <v>124</v>
      </c>
      <c r="X13" s="27" t="s">
        <v>124</v>
      </c>
      <c r="Y13" s="27" t="s">
        <v>124</v>
      </c>
      <c r="Z13" s="27" t="s">
        <v>124</v>
      </c>
      <c r="AA13" s="27" t="s">
        <v>124</v>
      </c>
      <c r="AB13" s="27" t="s">
        <v>124</v>
      </c>
      <c r="AC13" s="27" t="s">
        <v>124</v>
      </c>
      <c r="AD13" s="27" t="s">
        <v>124</v>
      </c>
      <c r="AE13" s="27" t="s">
        <v>124</v>
      </c>
      <c r="AF13" s="27" t="s">
        <v>124</v>
      </c>
      <c r="AG13" s="27" t="s">
        <v>124</v>
      </c>
      <c r="AH13" s="27" t="s">
        <v>124</v>
      </c>
      <c r="AI13" s="27" t="s">
        <v>124</v>
      </c>
      <c r="AJ13" s="27" t="s">
        <v>124</v>
      </c>
      <c r="AK13" s="27" t="s">
        <v>124</v>
      </c>
      <c r="AL13" s="27" t="s">
        <v>124</v>
      </c>
      <c r="AM13" s="27" t="s">
        <v>124</v>
      </c>
      <c r="AN13" s="27" t="s">
        <v>124</v>
      </c>
      <c r="AO13" s="27" t="s">
        <v>124</v>
      </c>
      <c r="AP13" s="27"/>
      <c r="AQ13" s="27"/>
    </row>
    <row r="14" spans="1:43" x14ac:dyDescent="0.25">
      <c r="A14" s="29">
        <v>1</v>
      </c>
      <c r="C14" s="24" t="str">
        <f>"    High"</f>
        <v xml:space="preserve">    High</v>
      </c>
      <c r="D14" s="37">
        <v>186135000</v>
      </c>
      <c r="E14" s="37">
        <v>179294000</v>
      </c>
      <c r="F14" s="37">
        <v>162430000</v>
      </c>
      <c r="G14" s="37">
        <v>133369000</v>
      </c>
      <c r="H14" s="37">
        <v>123140623.02</v>
      </c>
      <c r="I14" s="37">
        <v>144354382.53600001</v>
      </c>
      <c r="J14" s="37">
        <v>149251000</v>
      </c>
      <c r="K14" s="37">
        <v>149385000</v>
      </c>
      <c r="L14" s="30" t="s">
        <v>124</v>
      </c>
      <c r="M14" s="27" t="s">
        <v>124</v>
      </c>
      <c r="N14" s="27" t="s">
        <v>124</v>
      </c>
      <c r="O14" s="27" t="s">
        <v>124</v>
      </c>
      <c r="P14" s="27" t="s">
        <v>124</v>
      </c>
      <c r="Q14" s="27" t="s">
        <v>124</v>
      </c>
      <c r="R14" s="27" t="s">
        <v>124</v>
      </c>
      <c r="S14" s="27" t="s">
        <v>124</v>
      </c>
      <c r="T14" s="27" t="s">
        <v>124</v>
      </c>
      <c r="U14" s="27" t="s">
        <v>124</v>
      </c>
      <c r="V14" s="27" t="s">
        <v>124</v>
      </c>
      <c r="W14" s="27" t="s">
        <v>124</v>
      </c>
      <c r="X14" s="27" t="s">
        <v>124</v>
      </c>
      <c r="Y14" s="27" t="s">
        <v>124</v>
      </c>
      <c r="Z14" s="27" t="s">
        <v>124</v>
      </c>
      <c r="AA14" s="27" t="s">
        <v>124</v>
      </c>
      <c r="AB14" s="27" t="s">
        <v>124</v>
      </c>
      <c r="AC14" s="27" t="s">
        <v>124</v>
      </c>
      <c r="AD14" s="27" t="s">
        <v>124</v>
      </c>
      <c r="AE14" s="27" t="s">
        <v>124</v>
      </c>
      <c r="AF14" s="27" t="s">
        <v>124</v>
      </c>
      <c r="AG14" s="27" t="s">
        <v>124</v>
      </c>
      <c r="AH14" s="27" t="s">
        <v>124</v>
      </c>
      <c r="AI14" s="27" t="s">
        <v>124</v>
      </c>
      <c r="AJ14" s="27" t="s">
        <v>124</v>
      </c>
      <c r="AK14" s="27" t="s">
        <v>124</v>
      </c>
      <c r="AL14" s="27" t="s">
        <v>124</v>
      </c>
      <c r="AM14" s="27" t="s">
        <v>124</v>
      </c>
      <c r="AN14" s="27" t="s">
        <v>124</v>
      </c>
      <c r="AO14" s="27" t="s">
        <v>124</v>
      </c>
      <c r="AP14" s="27"/>
      <c r="AQ14" s="27"/>
    </row>
    <row r="15" spans="1:43" x14ac:dyDescent="0.25">
      <c r="A15" s="29">
        <v>1</v>
      </c>
      <c r="C15" s="24" t="str">
        <f>"    Low"</f>
        <v xml:space="preserve">    Low</v>
      </c>
      <c r="D15" s="37">
        <v>146705469.125</v>
      </c>
      <c r="E15" s="37">
        <v>139675000</v>
      </c>
      <c r="F15" s="37">
        <v>139763383.13100001</v>
      </c>
      <c r="G15" s="37">
        <v>122481000</v>
      </c>
      <c r="H15" s="37">
        <v>117776000</v>
      </c>
      <c r="I15" s="37">
        <v>133625000</v>
      </c>
      <c r="J15" s="37">
        <v>142867000</v>
      </c>
      <c r="K15" s="37">
        <v>142535000</v>
      </c>
      <c r="L15" s="30" t="s">
        <v>124</v>
      </c>
      <c r="M15" s="27" t="s">
        <v>124</v>
      </c>
      <c r="N15" s="27" t="s">
        <v>124</v>
      </c>
      <c r="O15" s="27" t="s">
        <v>124</v>
      </c>
      <c r="P15" s="27" t="s">
        <v>124</v>
      </c>
      <c r="Q15" s="27" t="s">
        <v>124</v>
      </c>
      <c r="R15" s="27" t="s">
        <v>124</v>
      </c>
      <c r="S15" s="27" t="s">
        <v>124</v>
      </c>
      <c r="T15" s="27" t="s">
        <v>124</v>
      </c>
      <c r="U15" s="27" t="s">
        <v>124</v>
      </c>
      <c r="V15" s="27" t="s">
        <v>124</v>
      </c>
      <c r="W15" s="27" t="s">
        <v>124</v>
      </c>
      <c r="X15" s="27" t="s">
        <v>124</v>
      </c>
      <c r="Y15" s="27" t="s">
        <v>124</v>
      </c>
      <c r="Z15" s="27" t="s">
        <v>124</v>
      </c>
      <c r="AA15" s="27" t="s">
        <v>124</v>
      </c>
      <c r="AB15" s="27" t="s">
        <v>124</v>
      </c>
      <c r="AC15" s="27" t="s">
        <v>124</v>
      </c>
      <c r="AD15" s="27" t="s">
        <v>124</v>
      </c>
      <c r="AE15" s="27" t="s">
        <v>124</v>
      </c>
      <c r="AF15" s="27" t="s">
        <v>124</v>
      </c>
      <c r="AG15" s="27" t="s">
        <v>124</v>
      </c>
      <c r="AH15" s="27" t="s">
        <v>124</v>
      </c>
      <c r="AI15" s="27" t="s">
        <v>124</v>
      </c>
      <c r="AJ15" s="27" t="s">
        <v>124</v>
      </c>
      <c r="AK15" s="27" t="s">
        <v>124</v>
      </c>
      <c r="AL15" s="27" t="s">
        <v>124</v>
      </c>
      <c r="AM15" s="27" t="s">
        <v>124</v>
      </c>
      <c r="AN15" s="27" t="s">
        <v>124</v>
      </c>
      <c r="AO15" s="27" t="s">
        <v>124</v>
      </c>
      <c r="AP15" s="27"/>
      <c r="AQ15" s="27"/>
    </row>
    <row r="16" spans="1:43" x14ac:dyDescent="0.25">
      <c r="A16" s="29">
        <v>1</v>
      </c>
      <c r="C16" s="24" t="str">
        <f>"    Mean"</f>
        <v xml:space="preserve">    Mean</v>
      </c>
      <c r="D16" s="37">
        <v>164095183.14500001</v>
      </c>
      <c r="E16" s="37">
        <v>159038385.39500001</v>
      </c>
      <c r="F16" s="37">
        <v>151993760.88299999</v>
      </c>
      <c r="G16" s="37">
        <v>128696517.48100001</v>
      </c>
      <c r="H16" s="37">
        <v>120833447.154</v>
      </c>
      <c r="I16" s="37">
        <v>138595043.521</v>
      </c>
      <c r="J16" s="37">
        <v>145483785.71399999</v>
      </c>
      <c r="K16" s="37">
        <v>145677437.5</v>
      </c>
      <c r="L16" s="30" t="s">
        <v>124</v>
      </c>
      <c r="M16" s="27" t="s">
        <v>124</v>
      </c>
      <c r="N16" s="27" t="s">
        <v>124</v>
      </c>
      <c r="O16" s="27" t="s">
        <v>124</v>
      </c>
      <c r="P16" s="27" t="s">
        <v>124</v>
      </c>
      <c r="Q16" s="27" t="s">
        <v>124</v>
      </c>
      <c r="R16" s="27" t="s">
        <v>124</v>
      </c>
      <c r="S16" s="27" t="s">
        <v>124</v>
      </c>
      <c r="T16" s="27" t="s">
        <v>124</v>
      </c>
      <c r="U16" s="27" t="s">
        <v>124</v>
      </c>
      <c r="V16" s="27" t="s">
        <v>124</v>
      </c>
      <c r="W16" s="27" t="s">
        <v>124</v>
      </c>
      <c r="X16" s="27" t="s">
        <v>124</v>
      </c>
      <c r="Y16" s="27" t="s">
        <v>124</v>
      </c>
      <c r="Z16" s="27" t="s">
        <v>124</v>
      </c>
      <c r="AA16" s="27" t="s">
        <v>124</v>
      </c>
      <c r="AB16" s="27" t="s">
        <v>124</v>
      </c>
      <c r="AC16" s="27" t="s">
        <v>124</v>
      </c>
      <c r="AD16" s="27" t="s">
        <v>124</v>
      </c>
      <c r="AE16" s="27" t="s">
        <v>124</v>
      </c>
      <c r="AF16" s="27" t="s">
        <v>124</v>
      </c>
      <c r="AG16" s="27" t="s">
        <v>124</v>
      </c>
      <c r="AH16" s="27" t="s">
        <v>124</v>
      </c>
      <c r="AI16" s="27" t="s">
        <v>124</v>
      </c>
      <c r="AJ16" s="27" t="s">
        <v>124</v>
      </c>
      <c r="AK16" s="27" t="s">
        <v>124</v>
      </c>
      <c r="AL16" s="27" t="s">
        <v>124</v>
      </c>
      <c r="AM16" s="27" t="s">
        <v>124</v>
      </c>
      <c r="AN16" s="27" t="s">
        <v>124</v>
      </c>
      <c r="AO16" s="27" t="s">
        <v>124</v>
      </c>
      <c r="AP16" s="27"/>
      <c r="AQ16" s="27"/>
    </row>
    <row r="17" spans="1:43" x14ac:dyDescent="0.25">
      <c r="A17" s="29">
        <v>1</v>
      </c>
      <c r="C17" s="24" t="str">
        <f>"    Standard Deviation"</f>
        <v xml:space="preserve">    Standard Deviation</v>
      </c>
      <c r="D17" s="37">
        <v>9057282.2860000003</v>
      </c>
      <c r="E17" s="37">
        <v>8037221.4850000003</v>
      </c>
      <c r="F17" s="37">
        <v>5592873.1859999998</v>
      </c>
      <c r="G17" s="37">
        <v>3490765.9419999998</v>
      </c>
      <c r="H17" s="37">
        <v>1547090.9650000001</v>
      </c>
      <c r="I17" s="37">
        <v>3711410.8169999998</v>
      </c>
      <c r="J17" s="37">
        <v>1695425.21</v>
      </c>
      <c r="K17" s="37">
        <v>1709235.89</v>
      </c>
      <c r="L17" s="30" t="s">
        <v>124</v>
      </c>
      <c r="M17" s="27" t="s">
        <v>124</v>
      </c>
      <c r="N17" s="27" t="s">
        <v>124</v>
      </c>
      <c r="O17" s="27" t="s">
        <v>124</v>
      </c>
      <c r="P17" s="27" t="s">
        <v>124</v>
      </c>
      <c r="Q17" s="27" t="s">
        <v>124</v>
      </c>
      <c r="R17" s="27" t="s">
        <v>124</v>
      </c>
      <c r="S17" s="27" t="s">
        <v>124</v>
      </c>
      <c r="T17" s="27" t="s">
        <v>124</v>
      </c>
      <c r="U17" s="27" t="s">
        <v>124</v>
      </c>
      <c r="V17" s="27" t="s">
        <v>124</v>
      </c>
      <c r="W17" s="27" t="s">
        <v>124</v>
      </c>
      <c r="X17" s="27" t="s">
        <v>124</v>
      </c>
      <c r="Y17" s="27" t="s">
        <v>124</v>
      </c>
      <c r="Z17" s="27" t="s">
        <v>124</v>
      </c>
      <c r="AA17" s="27" t="s">
        <v>124</v>
      </c>
      <c r="AB17" s="27" t="s">
        <v>124</v>
      </c>
      <c r="AC17" s="27" t="s">
        <v>124</v>
      </c>
      <c r="AD17" s="27" t="s">
        <v>124</v>
      </c>
      <c r="AE17" s="27" t="s">
        <v>124</v>
      </c>
      <c r="AF17" s="27" t="s">
        <v>124</v>
      </c>
      <c r="AG17" s="27" t="s">
        <v>124</v>
      </c>
      <c r="AH17" s="27" t="s">
        <v>124</v>
      </c>
      <c r="AI17" s="27" t="s">
        <v>124</v>
      </c>
      <c r="AJ17" s="27" t="s">
        <v>124</v>
      </c>
      <c r="AK17" s="27" t="s">
        <v>124</v>
      </c>
      <c r="AL17" s="27" t="s">
        <v>124</v>
      </c>
      <c r="AM17" s="27" t="s">
        <v>124</v>
      </c>
      <c r="AN17" s="27" t="s">
        <v>124</v>
      </c>
      <c r="AO17" s="27" t="s">
        <v>124</v>
      </c>
      <c r="AP17" s="27"/>
      <c r="AQ17" s="27"/>
    </row>
    <row r="18" spans="1:43" x14ac:dyDescent="0.25">
      <c r="A18" s="29">
        <v>1</v>
      </c>
      <c r="C18" s="24" t="str">
        <f>"    Number of Estimates"</f>
        <v xml:space="preserve">    Number of Estimates</v>
      </c>
      <c r="D18" s="37">
        <v>15</v>
      </c>
      <c r="E18" s="37">
        <v>20</v>
      </c>
      <c r="F18" s="37">
        <v>20</v>
      </c>
      <c r="G18" s="37">
        <v>16</v>
      </c>
      <c r="H18" s="37">
        <v>13</v>
      </c>
      <c r="I18" s="37">
        <v>11</v>
      </c>
      <c r="J18" s="37">
        <v>14</v>
      </c>
      <c r="K18" s="37">
        <v>16</v>
      </c>
      <c r="L18" s="30" t="s">
        <v>124</v>
      </c>
      <c r="M18" s="27" t="s">
        <v>124</v>
      </c>
      <c r="N18" s="27" t="s">
        <v>124</v>
      </c>
      <c r="O18" s="27" t="s">
        <v>124</v>
      </c>
      <c r="P18" s="27" t="s">
        <v>124</v>
      </c>
      <c r="Q18" s="27" t="s">
        <v>124</v>
      </c>
      <c r="R18" s="27" t="s">
        <v>124</v>
      </c>
      <c r="S18" s="27" t="s">
        <v>124</v>
      </c>
      <c r="T18" s="27" t="s">
        <v>124</v>
      </c>
      <c r="U18" s="27" t="s">
        <v>124</v>
      </c>
      <c r="V18" s="27" t="s">
        <v>124</v>
      </c>
      <c r="W18" s="27" t="s">
        <v>124</v>
      </c>
      <c r="X18" s="27" t="s">
        <v>124</v>
      </c>
      <c r="Y18" s="27" t="s">
        <v>124</v>
      </c>
      <c r="Z18" s="27" t="s">
        <v>124</v>
      </c>
      <c r="AA18" s="27" t="s">
        <v>124</v>
      </c>
      <c r="AB18" s="27" t="s">
        <v>124</v>
      </c>
      <c r="AC18" s="27" t="s">
        <v>124</v>
      </c>
      <c r="AD18" s="27" t="s">
        <v>124</v>
      </c>
      <c r="AE18" s="27" t="s">
        <v>124</v>
      </c>
      <c r="AF18" s="27" t="s">
        <v>124</v>
      </c>
      <c r="AG18" s="27" t="s">
        <v>124</v>
      </c>
      <c r="AH18" s="27" t="s">
        <v>124</v>
      </c>
      <c r="AI18" s="27" t="s">
        <v>124</v>
      </c>
      <c r="AJ18" s="27" t="s">
        <v>124</v>
      </c>
      <c r="AK18" s="27" t="s">
        <v>124</v>
      </c>
      <c r="AL18" s="27" t="s">
        <v>124</v>
      </c>
      <c r="AM18" s="27" t="s">
        <v>124</v>
      </c>
      <c r="AN18" s="27" t="s">
        <v>124</v>
      </c>
      <c r="AO18" s="27" t="s">
        <v>124</v>
      </c>
      <c r="AP18" s="27"/>
      <c r="AQ18" s="27"/>
    </row>
    <row r="19" spans="1:43" x14ac:dyDescent="0.25">
      <c r="A19" s="29">
        <v>1</v>
      </c>
      <c r="C19" s="26" t="str">
        <f>"Total Gross Profit"</f>
        <v>Total Gross Profit</v>
      </c>
      <c r="D19" s="44" t="s">
        <v>124</v>
      </c>
      <c r="E19" s="44" t="s">
        <v>124</v>
      </c>
      <c r="F19" s="44" t="s">
        <v>124</v>
      </c>
      <c r="G19" s="44" t="s">
        <v>124</v>
      </c>
      <c r="H19" s="44" t="s">
        <v>124</v>
      </c>
      <c r="I19" s="44" t="s">
        <v>124</v>
      </c>
      <c r="J19" s="44" t="s">
        <v>124</v>
      </c>
      <c r="K19" s="44" t="s">
        <v>124</v>
      </c>
      <c r="L19" s="30" t="s">
        <v>124</v>
      </c>
      <c r="M19" s="27" t="s">
        <v>124</v>
      </c>
      <c r="N19" s="27" t="s">
        <v>124</v>
      </c>
      <c r="O19" s="27" t="s">
        <v>124</v>
      </c>
      <c r="P19" s="27" t="s">
        <v>124</v>
      </c>
      <c r="Q19" s="27" t="s">
        <v>124</v>
      </c>
      <c r="R19" s="27" t="s">
        <v>124</v>
      </c>
      <c r="S19" s="27" t="s">
        <v>124</v>
      </c>
      <c r="T19" s="27" t="s">
        <v>124</v>
      </c>
      <c r="U19" s="27" t="s">
        <v>124</v>
      </c>
      <c r="V19" s="27" t="s">
        <v>124</v>
      </c>
      <c r="W19" s="27" t="s">
        <v>124</v>
      </c>
      <c r="X19" s="27" t="s">
        <v>124</v>
      </c>
      <c r="Y19" s="27" t="s">
        <v>124</v>
      </c>
      <c r="Z19" s="27" t="s">
        <v>124</v>
      </c>
      <c r="AA19" s="27" t="s">
        <v>124</v>
      </c>
      <c r="AB19" s="27" t="s">
        <v>124</v>
      </c>
      <c r="AC19" s="27" t="s">
        <v>124</v>
      </c>
      <c r="AD19" s="27" t="s">
        <v>124</v>
      </c>
      <c r="AE19" s="27" t="s">
        <v>124</v>
      </c>
      <c r="AF19" s="27" t="s">
        <v>124</v>
      </c>
      <c r="AG19" s="27" t="s">
        <v>124</v>
      </c>
      <c r="AH19" s="27" t="s">
        <v>124</v>
      </c>
      <c r="AI19" s="27" t="s">
        <v>124</v>
      </c>
      <c r="AJ19" s="27" t="s">
        <v>124</v>
      </c>
      <c r="AK19" s="27" t="s">
        <v>124</v>
      </c>
      <c r="AL19" s="27" t="s">
        <v>124</v>
      </c>
      <c r="AM19" s="27" t="s">
        <v>124</v>
      </c>
      <c r="AN19" s="27" t="s">
        <v>124</v>
      </c>
      <c r="AO19" s="27" t="s">
        <v>124</v>
      </c>
      <c r="AP19" s="27"/>
      <c r="AQ19" s="27"/>
    </row>
    <row r="20" spans="1:43" x14ac:dyDescent="0.25">
      <c r="A20" s="29">
        <v>1</v>
      </c>
      <c r="C20" s="24" t="str">
        <f>"    Actual"</f>
        <v xml:space="preserve">    Actual</v>
      </c>
      <c r="D20" s="37" t="s">
        <v>124</v>
      </c>
      <c r="E20" s="37" t="s">
        <v>124</v>
      </c>
      <c r="F20" s="37" t="s">
        <v>124</v>
      </c>
      <c r="G20" s="37">
        <v>17878000</v>
      </c>
      <c r="H20" s="37">
        <v>13672000</v>
      </c>
      <c r="I20" s="37">
        <v>13972000</v>
      </c>
      <c r="J20" s="37">
        <v>14095000</v>
      </c>
      <c r="K20" s="37">
        <v>18231000</v>
      </c>
      <c r="L20" s="30" t="s">
        <v>124</v>
      </c>
      <c r="M20" s="27" t="s">
        <v>124</v>
      </c>
      <c r="N20" s="27" t="s">
        <v>124</v>
      </c>
      <c r="O20" s="27" t="s">
        <v>124</v>
      </c>
      <c r="P20" s="27" t="s">
        <v>124</v>
      </c>
      <c r="Q20" s="27" t="s">
        <v>124</v>
      </c>
      <c r="R20" s="27" t="s">
        <v>124</v>
      </c>
      <c r="S20" s="27" t="s">
        <v>124</v>
      </c>
      <c r="T20" s="27" t="s">
        <v>124</v>
      </c>
      <c r="U20" s="27" t="s">
        <v>124</v>
      </c>
      <c r="V20" s="27" t="s">
        <v>124</v>
      </c>
      <c r="W20" s="27" t="s">
        <v>124</v>
      </c>
      <c r="X20" s="27" t="s">
        <v>124</v>
      </c>
      <c r="Y20" s="27" t="s">
        <v>124</v>
      </c>
      <c r="Z20" s="27" t="s">
        <v>124</v>
      </c>
      <c r="AA20" s="27" t="s">
        <v>124</v>
      </c>
      <c r="AB20" s="27" t="s">
        <v>124</v>
      </c>
      <c r="AC20" s="27" t="s">
        <v>124</v>
      </c>
      <c r="AD20" s="27" t="s">
        <v>124</v>
      </c>
      <c r="AE20" s="27" t="s">
        <v>124</v>
      </c>
      <c r="AF20" s="27" t="s">
        <v>124</v>
      </c>
      <c r="AG20" s="27" t="s">
        <v>124</v>
      </c>
      <c r="AH20" s="27" t="s">
        <v>124</v>
      </c>
      <c r="AI20" s="27" t="s">
        <v>124</v>
      </c>
      <c r="AJ20" s="27" t="s">
        <v>124</v>
      </c>
      <c r="AK20" s="27" t="s">
        <v>124</v>
      </c>
      <c r="AL20" s="27" t="s">
        <v>124</v>
      </c>
      <c r="AM20" s="27" t="s">
        <v>124</v>
      </c>
      <c r="AN20" s="27" t="s">
        <v>124</v>
      </c>
      <c r="AO20" s="27" t="s">
        <v>124</v>
      </c>
      <c r="AP20" s="27"/>
      <c r="AQ20" s="27"/>
    </row>
    <row r="21" spans="1:43" x14ac:dyDescent="0.25">
      <c r="A21" s="29">
        <v>1</v>
      </c>
      <c r="C21" s="24" t="str">
        <f>"    Median"</f>
        <v xml:space="preserve">    Median</v>
      </c>
      <c r="D21" s="37">
        <v>20837000</v>
      </c>
      <c r="E21" s="37">
        <v>20036500</v>
      </c>
      <c r="F21" s="37">
        <v>20365500</v>
      </c>
      <c r="G21" s="37">
        <v>17745000</v>
      </c>
      <c r="H21" s="37">
        <v>14253000</v>
      </c>
      <c r="I21" s="37">
        <v>14240500</v>
      </c>
      <c r="J21" s="37">
        <v>16098500</v>
      </c>
      <c r="K21" s="37">
        <v>20555500</v>
      </c>
      <c r="L21" s="30" t="s">
        <v>124</v>
      </c>
      <c r="M21" s="27" t="s">
        <v>124</v>
      </c>
      <c r="N21" s="27" t="s">
        <v>124</v>
      </c>
      <c r="O21" s="27" t="s">
        <v>124</v>
      </c>
      <c r="P21" s="27" t="s">
        <v>124</v>
      </c>
      <c r="Q21" s="27" t="s">
        <v>124</v>
      </c>
      <c r="R21" s="27" t="s">
        <v>124</v>
      </c>
      <c r="S21" s="27" t="s">
        <v>124</v>
      </c>
      <c r="T21" s="27" t="s">
        <v>124</v>
      </c>
      <c r="U21" s="27" t="s">
        <v>124</v>
      </c>
      <c r="V21" s="27" t="s">
        <v>124</v>
      </c>
      <c r="W21" s="27" t="s">
        <v>124</v>
      </c>
      <c r="X21" s="27" t="s">
        <v>124</v>
      </c>
      <c r="Y21" s="27" t="s">
        <v>124</v>
      </c>
      <c r="Z21" s="27" t="s">
        <v>124</v>
      </c>
      <c r="AA21" s="27" t="s">
        <v>124</v>
      </c>
      <c r="AB21" s="27" t="s">
        <v>124</v>
      </c>
      <c r="AC21" s="27" t="s">
        <v>124</v>
      </c>
      <c r="AD21" s="27" t="s">
        <v>124</v>
      </c>
      <c r="AE21" s="27" t="s">
        <v>124</v>
      </c>
      <c r="AF21" s="27" t="s">
        <v>124</v>
      </c>
      <c r="AG21" s="27" t="s">
        <v>124</v>
      </c>
      <c r="AH21" s="27" t="s">
        <v>124</v>
      </c>
      <c r="AI21" s="27" t="s">
        <v>124</v>
      </c>
      <c r="AJ21" s="27" t="s">
        <v>124</v>
      </c>
      <c r="AK21" s="27" t="s">
        <v>124</v>
      </c>
      <c r="AL21" s="27" t="s">
        <v>124</v>
      </c>
      <c r="AM21" s="27" t="s">
        <v>124</v>
      </c>
      <c r="AN21" s="27" t="s">
        <v>124</v>
      </c>
      <c r="AO21" s="27" t="s">
        <v>124</v>
      </c>
      <c r="AP21" s="27"/>
      <c r="AQ21" s="27"/>
    </row>
    <row r="22" spans="1:43" x14ac:dyDescent="0.25">
      <c r="A22" s="29">
        <v>1</v>
      </c>
      <c r="C22" s="24" t="str">
        <f>"    High"</f>
        <v xml:space="preserve">    High</v>
      </c>
      <c r="D22" s="37">
        <v>36840000</v>
      </c>
      <c r="E22" s="37">
        <v>34757000</v>
      </c>
      <c r="F22" s="37">
        <v>32959000</v>
      </c>
      <c r="G22" s="37">
        <v>27000000</v>
      </c>
      <c r="H22" s="37">
        <v>24948000</v>
      </c>
      <c r="I22" s="37">
        <v>21224000</v>
      </c>
      <c r="J22" s="37">
        <v>27411000</v>
      </c>
      <c r="K22" s="37">
        <v>31635000</v>
      </c>
      <c r="L22" s="30" t="s">
        <v>124</v>
      </c>
      <c r="M22" s="27" t="s">
        <v>124</v>
      </c>
      <c r="N22" s="27" t="s">
        <v>124</v>
      </c>
      <c r="O22" s="27" t="s">
        <v>124</v>
      </c>
      <c r="P22" s="27" t="s">
        <v>124</v>
      </c>
      <c r="Q22" s="27" t="s">
        <v>124</v>
      </c>
      <c r="R22" s="27" t="s">
        <v>124</v>
      </c>
      <c r="S22" s="27" t="s">
        <v>124</v>
      </c>
      <c r="T22" s="27" t="s">
        <v>124</v>
      </c>
      <c r="U22" s="27" t="s">
        <v>124</v>
      </c>
      <c r="V22" s="27" t="s">
        <v>124</v>
      </c>
      <c r="W22" s="27" t="s">
        <v>124</v>
      </c>
      <c r="X22" s="27" t="s">
        <v>124</v>
      </c>
      <c r="Y22" s="27" t="s">
        <v>124</v>
      </c>
      <c r="Z22" s="27" t="s">
        <v>124</v>
      </c>
      <c r="AA22" s="27" t="s">
        <v>124</v>
      </c>
      <c r="AB22" s="27" t="s">
        <v>124</v>
      </c>
      <c r="AC22" s="27" t="s">
        <v>124</v>
      </c>
      <c r="AD22" s="27" t="s">
        <v>124</v>
      </c>
      <c r="AE22" s="27" t="s">
        <v>124</v>
      </c>
      <c r="AF22" s="27" t="s">
        <v>124</v>
      </c>
      <c r="AG22" s="27" t="s">
        <v>124</v>
      </c>
      <c r="AH22" s="27" t="s">
        <v>124</v>
      </c>
      <c r="AI22" s="27" t="s">
        <v>124</v>
      </c>
      <c r="AJ22" s="27" t="s">
        <v>124</v>
      </c>
      <c r="AK22" s="27" t="s">
        <v>124</v>
      </c>
      <c r="AL22" s="27" t="s">
        <v>124</v>
      </c>
      <c r="AM22" s="27" t="s">
        <v>124</v>
      </c>
      <c r="AN22" s="27" t="s">
        <v>124</v>
      </c>
      <c r="AO22" s="27" t="s">
        <v>124</v>
      </c>
      <c r="AP22" s="27"/>
      <c r="AQ22" s="27"/>
    </row>
    <row r="23" spans="1:43" x14ac:dyDescent="0.25">
      <c r="A23" s="29">
        <v>1</v>
      </c>
      <c r="C23" s="24" t="str">
        <f>"    Low"</f>
        <v xml:space="preserve">    Low</v>
      </c>
      <c r="D23" s="37">
        <v>13141000</v>
      </c>
      <c r="E23" s="37">
        <v>13409000</v>
      </c>
      <c r="F23" s="37">
        <v>17038000</v>
      </c>
      <c r="G23" s="37">
        <v>13430000</v>
      </c>
      <c r="H23" s="37">
        <v>11769000</v>
      </c>
      <c r="I23" s="37">
        <v>13297000</v>
      </c>
      <c r="J23" s="37">
        <v>14363000</v>
      </c>
      <c r="K23" s="37">
        <v>19399000</v>
      </c>
      <c r="L23" s="30" t="s">
        <v>124</v>
      </c>
      <c r="M23" s="27" t="s">
        <v>124</v>
      </c>
      <c r="N23" s="27" t="s">
        <v>124</v>
      </c>
      <c r="O23" s="27" t="s">
        <v>124</v>
      </c>
      <c r="P23" s="27" t="s">
        <v>124</v>
      </c>
      <c r="Q23" s="27" t="s">
        <v>124</v>
      </c>
      <c r="R23" s="27" t="s">
        <v>124</v>
      </c>
      <c r="S23" s="27" t="s">
        <v>124</v>
      </c>
      <c r="T23" s="27" t="s">
        <v>124</v>
      </c>
      <c r="U23" s="27" t="s">
        <v>124</v>
      </c>
      <c r="V23" s="27" t="s">
        <v>124</v>
      </c>
      <c r="W23" s="27" t="s">
        <v>124</v>
      </c>
      <c r="X23" s="27" t="s">
        <v>124</v>
      </c>
      <c r="Y23" s="27" t="s">
        <v>124</v>
      </c>
      <c r="Z23" s="27" t="s">
        <v>124</v>
      </c>
      <c r="AA23" s="27" t="s">
        <v>124</v>
      </c>
      <c r="AB23" s="27" t="s">
        <v>124</v>
      </c>
      <c r="AC23" s="27" t="s">
        <v>124</v>
      </c>
      <c r="AD23" s="27" t="s">
        <v>124</v>
      </c>
      <c r="AE23" s="27" t="s">
        <v>124</v>
      </c>
      <c r="AF23" s="27" t="s">
        <v>124</v>
      </c>
      <c r="AG23" s="27" t="s">
        <v>124</v>
      </c>
      <c r="AH23" s="27" t="s">
        <v>124</v>
      </c>
      <c r="AI23" s="27" t="s">
        <v>124</v>
      </c>
      <c r="AJ23" s="27" t="s">
        <v>124</v>
      </c>
      <c r="AK23" s="27" t="s">
        <v>124</v>
      </c>
      <c r="AL23" s="27" t="s">
        <v>124</v>
      </c>
      <c r="AM23" s="27" t="s">
        <v>124</v>
      </c>
      <c r="AN23" s="27" t="s">
        <v>124</v>
      </c>
      <c r="AO23" s="27" t="s">
        <v>124</v>
      </c>
      <c r="AP23" s="27"/>
      <c r="AQ23" s="27"/>
    </row>
    <row r="24" spans="1:43" x14ac:dyDescent="0.25">
      <c r="A24" s="29">
        <v>1</v>
      </c>
      <c r="C24" s="24" t="str">
        <f>"    Mean"</f>
        <v xml:space="preserve">    Mean</v>
      </c>
      <c r="D24" s="37">
        <v>24352666.666999999</v>
      </c>
      <c r="E24" s="37">
        <v>23250000</v>
      </c>
      <c r="F24" s="37">
        <v>22734750</v>
      </c>
      <c r="G24" s="37">
        <v>18490333.333000001</v>
      </c>
      <c r="H24" s="37">
        <v>17188500</v>
      </c>
      <c r="I24" s="37">
        <v>15750500</v>
      </c>
      <c r="J24" s="37">
        <v>17804000</v>
      </c>
      <c r="K24" s="37">
        <v>22811000</v>
      </c>
      <c r="L24" s="30" t="s">
        <v>124</v>
      </c>
      <c r="M24" s="27" t="s">
        <v>124</v>
      </c>
      <c r="N24" s="27" t="s">
        <v>124</v>
      </c>
      <c r="O24" s="27" t="s">
        <v>124</v>
      </c>
      <c r="P24" s="27" t="s">
        <v>124</v>
      </c>
      <c r="Q24" s="27" t="s">
        <v>124</v>
      </c>
      <c r="R24" s="27" t="s">
        <v>124</v>
      </c>
      <c r="S24" s="27" t="s">
        <v>124</v>
      </c>
      <c r="T24" s="27" t="s">
        <v>124</v>
      </c>
      <c r="U24" s="27" t="s">
        <v>124</v>
      </c>
      <c r="V24" s="27" t="s">
        <v>124</v>
      </c>
      <c r="W24" s="27" t="s">
        <v>124</v>
      </c>
      <c r="X24" s="27" t="s">
        <v>124</v>
      </c>
      <c r="Y24" s="27" t="s">
        <v>124</v>
      </c>
      <c r="Z24" s="27" t="s">
        <v>124</v>
      </c>
      <c r="AA24" s="27" t="s">
        <v>124</v>
      </c>
      <c r="AB24" s="27" t="s">
        <v>124</v>
      </c>
      <c r="AC24" s="27" t="s">
        <v>124</v>
      </c>
      <c r="AD24" s="27" t="s">
        <v>124</v>
      </c>
      <c r="AE24" s="27" t="s">
        <v>124</v>
      </c>
      <c r="AF24" s="27" t="s">
        <v>124</v>
      </c>
      <c r="AG24" s="27" t="s">
        <v>124</v>
      </c>
      <c r="AH24" s="27" t="s">
        <v>124</v>
      </c>
      <c r="AI24" s="27" t="s">
        <v>124</v>
      </c>
      <c r="AJ24" s="27" t="s">
        <v>124</v>
      </c>
      <c r="AK24" s="27" t="s">
        <v>124</v>
      </c>
      <c r="AL24" s="27" t="s">
        <v>124</v>
      </c>
      <c r="AM24" s="27" t="s">
        <v>124</v>
      </c>
      <c r="AN24" s="27" t="s">
        <v>124</v>
      </c>
      <c r="AO24" s="27" t="s">
        <v>124</v>
      </c>
      <c r="AP24" s="27"/>
      <c r="AQ24" s="27"/>
    </row>
    <row r="25" spans="1:43" x14ac:dyDescent="0.25">
      <c r="A25" s="29">
        <v>1</v>
      </c>
      <c r="C25" s="24" t="str">
        <f>"    Standard Deviation"</f>
        <v xml:space="preserve">    Standard Deviation</v>
      </c>
      <c r="D25" s="37">
        <v>10064284.528000001</v>
      </c>
      <c r="E25" s="37">
        <v>8094361.3880000003</v>
      </c>
      <c r="F25" s="37">
        <v>6283654.0719999997</v>
      </c>
      <c r="G25" s="37">
        <v>5088547.6780000003</v>
      </c>
      <c r="H25" s="37">
        <v>6080658.5420000004</v>
      </c>
      <c r="I25" s="37">
        <v>3682537.5759999999</v>
      </c>
      <c r="J25" s="37">
        <v>4807129.8710000003</v>
      </c>
      <c r="K25" s="37">
        <v>5064352.7580000004</v>
      </c>
      <c r="L25" s="30" t="s">
        <v>124</v>
      </c>
      <c r="M25" s="27" t="s">
        <v>124</v>
      </c>
      <c r="N25" s="27" t="s">
        <v>124</v>
      </c>
      <c r="O25" s="27" t="s">
        <v>124</v>
      </c>
      <c r="P25" s="27" t="s">
        <v>124</v>
      </c>
      <c r="Q25" s="27" t="s">
        <v>124</v>
      </c>
      <c r="R25" s="27" t="s">
        <v>124</v>
      </c>
      <c r="S25" s="27" t="s">
        <v>124</v>
      </c>
      <c r="T25" s="27" t="s">
        <v>124</v>
      </c>
      <c r="U25" s="27" t="s">
        <v>124</v>
      </c>
      <c r="V25" s="27" t="s">
        <v>124</v>
      </c>
      <c r="W25" s="27" t="s">
        <v>124</v>
      </c>
      <c r="X25" s="27" t="s">
        <v>124</v>
      </c>
      <c r="Y25" s="27" t="s">
        <v>124</v>
      </c>
      <c r="Z25" s="27" t="s">
        <v>124</v>
      </c>
      <c r="AA25" s="27" t="s">
        <v>124</v>
      </c>
      <c r="AB25" s="27" t="s">
        <v>124</v>
      </c>
      <c r="AC25" s="27" t="s">
        <v>124</v>
      </c>
      <c r="AD25" s="27" t="s">
        <v>124</v>
      </c>
      <c r="AE25" s="27" t="s">
        <v>124</v>
      </c>
      <c r="AF25" s="27" t="s">
        <v>124</v>
      </c>
      <c r="AG25" s="27" t="s">
        <v>124</v>
      </c>
      <c r="AH25" s="27" t="s">
        <v>124</v>
      </c>
      <c r="AI25" s="27" t="s">
        <v>124</v>
      </c>
      <c r="AJ25" s="27" t="s">
        <v>124</v>
      </c>
      <c r="AK25" s="27" t="s">
        <v>124</v>
      </c>
      <c r="AL25" s="27" t="s">
        <v>124</v>
      </c>
      <c r="AM25" s="27" t="s">
        <v>124</v>
      </c>
      <c r="AN25" s="27" t="s">
        <v>124</v>
      </c>
      <c r="AO25" s="27" t="s">
        <v>124</v>
      </c>
      <c r="AP25" s="27"/>
      <c r="AQ25" s="27"/>
    </row>
    <row r="26" spans="1:43" x14ac:dyDescent="0.25">
      <c r="A26" s="29">
        <v>1</v>
      </c>
      <c r="C26" s="24" t="str">
        <f>"    Number of Estimates"</f>
        <v xml:space="preserve">    Number of Estimates</v>
      </c>
      <c r="D26" s="37">
        <v>6</v>
      </c>
      <c r="E26" s="37">
        <v>8</v>
      </c>
      <c r="F26" s="37">
        <v>8</v>
      </c>
      <c r="G26" s="37">
        <v>6</v>
      </c>
      <c r="H26" s="37">
        <v>6</v>
      </c>
      <c r="I26" s="37">
        <v>4</v>
      </c>
      <c r="J26" s="37">
        <v>6</v>
      </c>
      <c r="K26" s="37">
        <v>8</v>
      </c>
      <c r="L26" s="30" t="s">
        <v>124</v>
      </c>
      <c r="M26" s="27" t="s">
        <v>124</v>
      </c>
      <c r="N26" s="27" t="s">
        <v>124</v>
      </c>
      <c r="O26" s="27" t="s">
        <v>124</v>
      </c>
      <c r="P26" s="27" t="s">
        <v>124</v>
      </c>
      <c r="Q26" s="27" t="s">
        <v>124</v>
      </c>
      <c r="R26" s="27" t="s">
        <v>124</v>
      </c>
      <c r="S26" s="27" t="s">
        <v>124</v>
      </c>
      <c r="T26" s="27" t="s">
        <v>124</v>
      </c>
      <c r="U26" s="27" t="s">
        <v>124</v>
      </c>
      <c r="V26" s="27" t="s">
        <v>124</v>
      </c>
      <c r="W26" s="27" t="s">
        <v>124</v>
      </c>
      <c r="X26" s="27" t="s">
        <v>124</v>
      </c>
      <c r="Y26" s="27" t="s">
        <v>124</v>
      </c>
      <c r="Z26" s="27" t="s">
        <v>124</v>
      </c>
      <c r="AA26" s="27" t="s">
        <v>124</v>
      </c>
      <c r="AB26" s="27" t="s">
        <v>124</v>
      </c>
      <c r="AC26" s="27" t="s">
        <v>124</v>
      </c>
      <c r="AD26" s="27" t="s">
        <v>124</v>
      </c>
      <c r="AE26" s="27" t="s">
        <v>124</v>
      </c>
      <c r="AF26" s="27" t="s">
        <v>124</v>
      </c>
      <c r="AG26" s="27" t="s">
        <v>124</v>
      </c>
      <c r="AH26" s="27" t="s">
        <v>124</v>
      </c>
      <c r="AI26" s="27" t="s">
        <v>124</v>
      </c>
      <c r="AJ26" s="27" t="s">
        <v>124</v>
      </c>
      <c r="AK26" s="27" t="s">
        <v>124</v>
      </c>
      <c r="AL26" s="27" t="s">
        <v>124</v>
      </c>
      <c r="AM26" s="27" t="s">
        <v>124</v>
      </c>
      <c r="AN26" s="27" t="s">
        <v>124</v>
      </c>
      <c r="AO26" s="27" t="s">
        <v>124</v>
      </c>
      <c r="AP26" s="27"/>
      <c r="AQ26" s="27"/>
    </row>
    <row r="27" spans="1:43" x14ac:dyDescent="0.25">
      <c r="A27" s="29">
        <v>1</v>
      </c>
      <c r="C27" s="26" t="str">
        <f>"Normalized EBITDA"</f>
        <v>Normalized EBITDA</v>
      </c>
      <c r="D27" s="44" t="s">
        <v>124</v>
      </c>
      <c r="E27" s="44" t="s">
        <v>124</v>
      </c>
      <c r="F27" s="44" t="s">
        <v>124</v>
      </c>
      <c r="G27" s="44" t="s">
        <v>124</v>
      </c>
      <c r="H27" s="44" t="s">
        <v>124</v>
      </c>
      <c r="I27" s="44" t="s">
        <v>124</v>
      </c>
      <c r="J27" s="44" t="s">
        <v>124</v>
      </c>
      <c r="K27" s="44" t="s">
        <v>124</v>
      </c>
      <c r="L27" s="30" t="s">
        <v>124</v>
      </c>
      <c r="M27" s="27" t="s">
        <v>124</v>
      </c>
      <c r="N27" s="27" t="s">
        <v>124</v>
      </c>
      <c r="O27" s="27" t="s">
        <v>124</v>
      </c>
      <c r="P27" s="27" t="s">
        <v>124</v>
      </c>
      <c r="Q27" s="27" t="s">
        <v>124</v>
      </c>
      <c r="R27" s="27" t="s">
        <v>124</v>
      </c>
      <c r="S27" s="27" t="s">
        <v>124</v>
      </c>
      <c r="T27" s="27" t="s">
        <v>124</v>
      </c>
      <c r="U27" s="27" t="s">
        <v>124</v>
      </c>
      <c r="V27" s="27" t="s">
        <v>124</v>
      </c>
      <c r="W27" s="27" t="s">
        <v>124</v>
      </c>
      <c r="X27" s="27" t="s">
        <v>124</v>
      </c>
      <c r="Y27" s="27" t="s">
        <v>124</v>
      </c>
      <c r="Z27" s="27" t="s">
        <v>124</v>
      </c>
      <c r="AA27" s="27" t="s">
        <v>124</v>
      </c>
      <c r="AB27" s="27" t="s">
        <v>124</v>
      </c>
      <c r="AC27" s="27" t="s">
        <v>124</v>
      </c>
      <c r="AD27" s="27" t="s">
        <v>124</v>
      </c>
      <c r="AE27" s="27" t="s">
        <v>124</v>
      </c>
      <c r="AF27" s="27" t="s">
        <v>124</v>
      </c>
      <c r="AG27" s="27" t="s">
        <v>124</v>
      </c>
      <c r="AH27" s="27" t="s">
        <v>124</v>
      </c>
      <c r="AI27" s="27" t="s">
        <v>124</v>
      </c>
      <c r="AJ27" s="27" t="s">
        <v>124</v>
      </c>
      <c r="AK27" s="27" t="s">
        <v>124</v>
      </c>
      <c r="AL27" s="27" t="s">
        <v>124</v>
      </c>
      <c r="AM27" s="27" t="s">
        <v>124</v>
      </c>
      <c r="AN27" s="27" t="s">
        <v>124</v>
      </c>
      <c r="AO27" s="27" t="s">
        <v>124</v>
      </c>
      <c r="AP27" s="27"/>
      <c r="AQ27" s="27"/>
    </row>
    <row r="28" spans="1:43" x14ac:dyDescent="0.25">
      <c r="A28" s="29">
        <v>1</v>
      </c>
      <c r="C28" s="24" t="str">
        <f>"    Actual"</f>
        <v xml:space="preserve">    Actual</v>
      </c>
      <c r="D28" s="37" t="s">
        <v>124</v>
      </c>
      <c r="E28" s="37" t="s">
        <v>124</v>
      </c>
      <c r="F28" s="37" t="s">
        <v>124</v>
      </c>
      <c r="G28" s="37">
        <v>25002000</v>
      </c>
      <c r="H28" s="37">
        <v>21588000</v>
      </c>
      <c r="I28" s="37">
        <v>21667000</v>
      </c>
      <c r="J28" s="37">
        <v>14380500</v>
      </c>
      <c r="K28" s="37">
        <v>24541000</v>
      </c>
      <c r="L28" s="30" t="s">
        <v>124</v>
      </c>
      <c r="M28" s="27" t="s">
        <v>124</v>
      </c>
      <c r="N28" s="27" t="s">
        <v>124</v>
      </c>
      <c r="O28" s="27" t="s">
        <v>124</v>
      </c>
      <c r="P28" s="27" t="s">
        <v>124</v>
      </c>
      <c r="Q28" s="27" t="s">
        <v>124</v>
      </c>
      <c r="R28" s="27" t="s">
        <v>124</v>
      </c>
      <c r="S28" s="27" t="s">
        <v>124</v>
      </c>
      <c r="T28" s="27" t="s">
        <v>124</v>
      </c>
      <c r="U28" s="27" t="s">
        <v>124</v>
      </c>
      <c r="V28" s="27" t="s">
        <v>124</v>
      </c>
      <c r="W28" s="27" t="s">
        <v>124</v>
      </c>
      <c r="X28" s="27" t="s">
        <v>124</v>
      </c>
      <c r="Y28" s="27" t="s">
        <v>124</v>
      </c>
      <c r="Z28" s="27" t="s">
        <v>124</v>
      </c>
      <c r="AA28" s="27" t="s">
        <v>124</v>
      </c>
      <c r="AB28" s="27" t="s">
        <v>124</v>
      </c>
      <c r="AC28" s="27" t="s">
        <v>124</v>
      </c>
      <c r="AD28" s="27" t="s">
        <v>124</v>
      </c>
      <c r="AE28" s="27" t="s">
        <v>124</v>
      </c>
      <c r="AF28" s="27" t="s">
        <v>124</v>
      </c>
      <c r="AG28" s="27" t="s">
        <v>124</v>
      </c>
      <c r="AH28" s="27" t="s">
        <v>124</v>
      </c>
      <c r="AI28" s="27" t="s">
        <v>124</v>
      </c>
      <c r="AJ28" s="27" t="s">
        <v>124</v>
      </c>
      <c r="AK28" s="27" t="s">
        <v>124</v>
      </c>
      <c r="AL28" s="27" t="s">
        <v>124</v>
      </c>
      <c r="AM28" s="27" t="s">
        <v>124</v>
      </c>
      <c r="AN28" s="27" t="s">
        <v>124</v>
      </c>
      <c r="AO28" s="27" t="s">
        <v>124</v>
      </c>
      <c r="AP28" s="27"/>
      <c r="AQ28" s="27"/>
    </row>
    <row r="29" spans="1:43" x14ac:dyDescent="0.25">
      <c r="A29" s="29">
        <v>1</v>
      </c>
      <c r="C29" s="24" t="str">
        <f>"    Median"</f>
        <v xml:space="preserve">    Median</v>
      </c>
      <c r="D29" s="37">
        <v>16699000</v>
      </c>
      <c r="E29" s="37">
        <v>16132000</v>
      </c>
      <c r="F29" s="37">
        <v>16005000</v>
      </c>
      <c r="G29" s="37">
        <v>14896000</v>
      </c>
      <c r="H29" s="37">
        <v>11943693.869999999</v>
      </c>
      <c r="I29" s="37">
        <v>11909000</v>
      </c>
      <c r="J29" s="37">
        <v>13824250</v>
      </c>
      <c r="K29" s="37">
        <v>16860700</v>
      </c>
      <c r="L29" s="30" t="s">
        <v>124</v>
      </c>
      <c r="M29" s="27" t="s">
        <v>124</v>
      </c>
      <c r="N29" s="27" t="s">
        <v>124</v>
      </c>
      <c r="O29" s="27" t="s">
        <v>124</v>
      </c>
      <c r="P29" s="27" t="s">
        <v>124</v>
      </c>
      <c r="Q29" s="27" t="s">
        <v>124</v>
      </c>
      <c r="R29" s="27" t="s">
        <v>124</v>
      </c>
      <c r="S29" s="27" t="s">
        <v>124</v>
      </c>
      <c r="T29" s="27" t="s">
        <v>124</v>
      </c>
      <c r="U29" s="27" t="s">
        <v>124</v>
      </c>
      <c r="V29" s="27" t="s">
        <v>124</v>
      </c>
      <c r="W29" s="27" t="s">
        <v>124</v>
      </c>
      <c r="X29" s="27" t="s">
        <v>124</v>
      </c>
      <c r="Y29" s="27" t="s">
        <v>124</v>
      </c>
      <c r="Z29" s="27" t="s">
        <v>124</v>
      </c>
      <c r="AA29" s="27" t="s">
        <v>124</v>
      </c>
      <c r="AB29" s="27" t="s">
        <v>124</v>
      </c>
      <c r="AC29" s="27" t="s">
        <v>124</v>
      </c>
      <c r="AD29" s="27" t="s">
        <v>124</v>
      </c>
      <c r="AE29" s="27" t="s">
        <v>124</v>
      </c>
      <c r="AF29" s="27" t="s">
        <v>124</v>
      </c>
      <c r="AG29" s="27" t="s">
        <v>124</v>
      </c>
      <c r="AH29" s="27" t="s">
        <v>124</v>
      </c>
      <c r="AI29" s="27" t="s">
        <v>124</v>
      </c>
      <c r="AJ29" s="27" t="s">
        <v>124</v>
      </c>
      <c r="AK29" s="27" t="s">
        <v>124</v>
      </c>
      <c r="AL29" s="27" t="s">
        <v>124</v>
      </c>
      <c r="AM29" s="27" t="s">
        <v>124</v>
      </c>
      <c r="AN29" s="27" t="s">
        <v>124</v>
      </c>
      <c r="AO29" s="27" t="s">
        <v>124</v>
      </c>
      <c r="AP29" s="27"/>
      <c r="AQ29" s="27"/>
    </row>
    <row r="30" spans="1:43" x14ac:dyDescent="0.25">
      <c r="A30" s="29">
        <v>1</v>
      </c>
      <c r="C30" s="24" t="str">
        <f>"    High"</f>
        <v xml:space="preserve">    High</v>
      </c>
      <c r="D30" s="37">
        <v>17838000</v>
      </c>
      <c r="E30" s="37">
        <v>16840000</v>
      </c>
      <c r="F30" s="37">
        <v>16610000</v>
      </c>
      <c r="G30" s="37">
        <v>15176000</v>
      </c>
      <c r="H30" s="37">
        <v>12578000</v>
      </c>
      <c r="I30" s="37">
        <v>11955000</v>
      </c>
      <c r="J30" s="37">
        <v>16887000</v>
      </c>
      <c r="K30" s="37">
        <v>24416000</v>
      </c>
      <c r="L30" s="30" t="s">
        <v>124</v>
      </c>
      <c r="M30" s="27" t="s">
        <v>124</v>
      </c>
      <c r="N30" s="27" t="s">
        <v>124</v>
      </c>
      <c r="O30" s="27" t="s">
        <v>124</v>
      </c>
      <c r="P30" s="27" t="s">
        <v>124</v>
      </c>
      <c r="Q30" s="27" t="s">
        <v>124</v>
      </c>
      <c r="R30" s="27" t="s">
        <v>124</v>
      </c>
      <c r="S30" s="27" t="s">
        <v>124</v>
      </c>
      <c r="T30" s="27" t="s">
        <v>124</v>
      </c>
      <c r="U30" s="27" t="s">
        <v>124</v>
      </c>
      <c r="V30" s="27" t="s">
        <v>124</v>
      </c>
      <c r="W30" s="27" t="s">
        <v>124</v>
      </c>
      <c r="X30" s="27" t="s">
        <v>124</v>
      </c>
      <c r="Y30" s="27" t="s">
        <v>124</v>
      </c>
      <c r="Z30" s="27" t="s">
        <v>124</v>
      </c>
      <c r="AA30" s="27" t="s">
        <v>124</v>
      </c>
      <c r="AB30" s="27" t="s">
        <v>124</v>
      </c>
      <c r="AC30" s="27" t="s">
        <v>124</v>
      </c>
      <c r="AD30" s="27" t="s">
        <v>124</v>
      </c>
      <c r="AE30" s="27" t="s">
        <v>124</v>
      </c>
      <c r="AF30" s="27" t="s">
        <v>124</v>
      </c>
      <c r="AG30" s="27" t="s">
        <v>124</v>
      </c>
      <c r="AH30" s="27" t="s">
        <v>124</v>
      </c>
      <c r="AI30" s="27" t="s">
        <v>124</v>
      </c>
      <c r="AJ30" s="27" t="s">
        <v>124</v>
      </c>
      <c r="AK30" s="27" t="s">
        <v>124</v>
      </c>
      <c r="AL30" s="27" t="s">
        <v>124</v>
      </c>
      <c r="AM30" s="27" t="s">
        <v>124</v>
      </c>
      <c r="AN30" s="27" t="s">
        <v>124</v>
      </c>
      <c r="AO30" s="27" t="s">
        <v>124</v>
      </c>
      <c r="AP30" s="27"/>
      <c r="AQ30" s="27"/>
    </row>
    <row r="31" spans="1:43" x14ac:dyDescent="0.25">
      <c r="A31" s="29">
        <v>1</v>
      </c>
      <c r="C31" s="24" t="str">
        <f>"    Low"</f>
        <v xml:space="preserve">    Low</v>
      </c>
      <c r="D31" s="37">
        <v>15419888.859999999</v>
      </c>
      <c r="E31" s="37">
        <v>14749454.699999999</v>
      </c>
      <c r="F31" s="37">
        <v>15543589.93</v>
      </c>
      <c r="G31" s="37">
        <v>13957680.58</v>
      </c>
      <c r="H31" s="37">
        <v>11448000</v>
      </c>
      <c r="I31" s="37">
        <v>11899000</v>
      </c>
      <c r="J31" s="37">
        <v>10800000</v>
      </c>
      <c r="K31" s="37">
        <v>14755000</v>
      </c>
      <c r="L31" s="30" t="s">
        <v>124</v>
      </c>
      <c r="M31" s="27" t="s">
        <v>124</v>
      </c>
      <c r="N31" s="27" t="s">
        <v>124</v>
      </c>
      <c r="O31" s="27" t="s">
        <v>124</v>
      </c>
      <c r="P31" s="27" t="s">
        <v>124</v>
      </c>
      <c r="Q31" s="27" t="s">
        <v>124</v>
      </c>
      <c r="R31" s="27" t="s">
        <v>124</v>
      </c>
      <c r="S31" s="27" t="s">
        <v>124</v>
      </c>
      <c r="T31" s="27" t="s">
        <v>124</v>
      </c>
      <c r="U31" s="27" t="s">
        <v>124</v>
      </c>
      <c r="V31" s="27" t="s">
        <v>124</v>
      </c>
      <c r="W31" s="27" t="s">
        <v>124</v>
      </c>
      <c r="X31" s="27" t="s">
        <v>124</v>
      </c>
      <c r="Y31" s="27" t="s">
        <v>124</v>
      </c>
      <c r="Z31" s="27" t="s">
        <v>124</v>
      </c>
      <c r="AA31" s="27" t="s">
        <v>124</v>
      </c>
      <c r="AB31" s="27" t="s">
        <v>124</v>
      </c>
      <c r="AC31" s="27" t="s">
        <v>124</v>
      </c>
      <c r="AD31" s="27" t="s">
        <v>124</v>
      </c>
      <c r="AE31" s="27" t="s">
        <v>124</v>
      </c>
      <c r="AF31" s="27" t="s">
        <v>124</v>
      </c>
      <c r="AG31" s="27" t="s">
        <v>124</v>
      </c>
      <c r="AH31" s="27" t="s">
        <v>124</v>
      </c>
      <c r="AI31" s="27" t="s">
        <v>124</v>
      </c>
      <c r="AJ31" s="27" t="s">
        <v>124</v>
      </c>
      <c r="AK31" s="27" t="s">
        <v>124</v>
      </c>
      <c r="AL31" s="27" t="s">
        <v>124</v>
      </c>
      <c r="AM31" s="27" t="s">
        <v>124</v>
      </c>
      <c r="AN31" s="27" t="s">
        <v>124</v>
      </c>
      <c r="AO31" s="27" t="s">
        <v>124</v>
      </c>
      <c r="AP31" s="27"/>
      <c r="AQ31" s="27"/>
    </row>
    <row r="32" spans="1:43" x14ac:dyDescent="0.25">
      <c r="A32" s="29">
        <v>1</v>
      </c>
      <c r="C32" s="24" t="str">
        <f>"    Mean"</f>
        <v xml:space="preserve">    Mean</v>
      </c>
      <c r="D32" s="37">
        <v>16652296.287000002</v>
      </c>
      <c r="E32" s="37">
        <v>15907151.567</v>
      </c>
      <c r="F32" s="37">
        <v>16052863.310000001</v>
      </c>
      <c r="G32" s="37">
        <v>14676560.193</v>
      </c>
      <c r="H32" s="37">
        <v>11978346.935000001</v>
      </c>
      <c r="I32" s="37">
        <v>11921000</v>
      </c>
      <c r="J32" s="37">
        <v>13684850</v>
      </c>
      <c r="K32" s="37">
        <v>19238940</v>
      </c>
      <c r="L32" s="30" t="s">
        <v>124</v>
      </c>
      <c r="M32" s="27" t="s">
        <v>124</v>
      </c>
      <c r="N32" s="27" t="s">
        <v>124</v>
      </c>
      <c r="O32" s="27" t="s">
        <v>124</v>
      </c>
      <c r="P32" s="27" t="s">
        <v>124</v>
      </c>
      <c r="Q32" s="27" t="s">
        <v>124</v>
      </c>
      <c r="R32" s="27" t="s">
        <v>124</v>
      </c>
      <c r="S32" s="27" t="s">
        <v>124</v>
      </c>
      <c r="T32" s="27" t="s">
        <v>124</v>
      </c>
      <c r="U32" s="27" t="s">
        <v>124</v>
      </c>
      <c r="V32" s="27" t="s">
        <v>124</v>
      </c>
      <c r="W32" s="27" t="s">
        <v>124</v>
      </c>
      <c r="X32" s="27" t="s">
        <v>124</v>
      </c>
      <c r="Y32" s="27" t="s">
        <v>124</v>
      </c>
      <c r="Z32" s="27" t="s">
        <v>124</v>
      </c>
      <c r="AA32" s="27" t="s">
        <v>124</v>
      </c>
      <c r="AB32" s="27" t="s">
        <v>124</v>
      </c>
      <c r="AC32" s="27" t="s">
        <v>124</v>
      </c>
      <c r="AD32" s="27" t="s">
        <v>124</v>
      </c>
      <c r="AE32" s="27" t="s">
        <v>124</v>
      </c>
      <c r="AF32" s="27" t="s">
        <v>124</v>
      </c>
      <c r="AG32" s="27" t="s">
        <v>124</v>
      </c>
      <c r="AH32" s="27" t="s">
        <v>124</v>
      </c>
      <c r="AI32" s="27" t="s">
        <v>124</v>
      </c>
      <c r="AJ32" s="27" t="s">
        <v>124</v>
      </c>
      <c r="AK32" s="27" t="s">
        <v>124</v>
      </c>
      <c r="AL32" s="27" t="s">
        <v>124</v>
      </c>
      <c r="AM32" s="27" t="s">
        <v>124</v>
      </c>
      <c r="AN32" s="27" t="s">
        <v>124</v>
      </c>
      <c r="AO32" s="27" t="s">
        <v>124</v>
      </c>
      <c r="AP32" s="27"/>
      <c r="AQ32" s="27"/>
    </row>
    <row r="33" spans="1:43" x14ac:dyDescent="0.25">
      <c r="A33" s="29">
        <v>1</v>
      </c>
      <c r="C33" s="24" t="str">
        <f>"    Standard Deviation"</f>
        <v xml:space="preserve">    Standard Deviation</v>
      </c>
      <c r="D33" s="37">
        <v>1209731.912</v>
      </c>
      <c r="E33" s="37">
        <v>1063255.6259999999</v>
      </c>
      <c r="F33" s="37">
        <v>534813.78199999989</v>
      </c>
      <c r="G33" s="37">
        <v>638115.13399999996</v>
      </c>
      <c r="H33" s="37">
        <v>496763.83399999997</v>
      </c>
      <c r="I33" s="37">
        <v>29866.368999999999</v>
      </c>
      <c r="J33" s="37">
        <v>2448473.0950000002</v>
      </c>
      <c r="K33" s="37">
        <v>4431324.5439999998</v>
      </c>
      <c r="L33" s="30" t="s">
        <v>124</v>
      </c>
      <c r="M33" s="27" t="s">
        <v>124</v>
      </c>
      <c r="N33" s="27" t="s">
        <v>124</v>
      </c>
      <c r="O33" s="27" t="s">
        <v>124</v>
      </c>
      <c r="P33" s="27" t="s">
        <v>124</v>
      </c>
      <c r="Q33" s="27" t="s">
        <v>124</v>
      </c>
      <c r="R33" s="27" t="s">
        <v>124</v>
      </c>
      <c r="S33" s="27" t="s">
        <v>124</v>
      </c>
      <c r="T33" s="27" t="s">
        <v>124</v>
      </c>
      <c r="U33" s="27" t="s">
        <v>124</v>
      </c>
      <c r="V33" s="27" t="s">
        <v>124</v>
      </c>
      <c r="W33" s="27" t="s">
        <v>124</v>
      </c>
      <c r="X33" s="27" t="s">
        <v>124</v>
      </c>
      <c r="Y33" s="27" t="s">
        <v>124</v>
      </c>
      <c r="Z33" s="27" t="s">
        <v>124</v>
      </c>
      <c r="AA33" s="27" t="s">
        <v>124</v>
      </c>
      <c r="AB33" s="27" t="s">
        <v>124</v>
      </c>
      <c r="AC33" s="27" t="s">
        <v>124</v>
      </c>
      <c r="AD33" s="27" t="s">
        <v>124</v>
      </c>
      <c r="AE33" s="27" t="s">
        <v>124</v>
      </c>
      <c r="AF33" s="27" t="s">
        <v>124</v>
      </c>
      <c r="AG33" s="27" t="s">
        <v>124</v>
      </c>
      <c r="AH33" s="27" t="s">
        <v>124</v>
      </c>
      <c r="AI33" s="27" t="s">
        <v>124</v>
      </c>
      <c r="AJ33" s="27" t="s">
        <v>124</v>
      </c>
      <c r="AK33" s="27" t="s">
        <v>124</v>
      </c>
      <c r="AL33" s="27" t="s">
        <v>124</v>
      </c>
      <c r="AM33" s="27" t="s">
        <v>124</v>
      </c>
      <c r="AN33" s="27" t="s">
        <v>124</v>
      </c>
      <c r="AO33" s="27" t="s">
        <v>124</v>
      </c>
      <c r="AP33" s="27"/>
      <c r="AQ33" s="27"/>
    </row>
    <row r="34" spans="1:43" x14ac:dyDescent="0.25">
      <c r="A34" s="29">
        <v>1</v>
      </c>
      <c r="C34" s="24" t="str">
        <f>"    Number of Estimates"</f>
        <v xml:space="preserve">    Number of Estimates</v>
      </c>
      <c r="D34" s="37">
        <v>3</v>
      </c>
      <c r="E34" s="37">
        <v>3</v>
      </c>
      <c r="F34" s="37">
        <v>3</v>
      </c>
      <c r="G34" s="37">
        <v>3</v>
      </c>
      <c r="H34" s="37">
        <v>4</v>
      </c>
      <c r="I34" s="37">
        <v>3</v>
      </c>
      <c r="J34" s="37">
        <v>6</v>
      </c>
      <c r="K34" s="37">
        <v>5</v>
      </c>
      <c r="L34" s="30" t="s">
        <v>124</v>
      </c>
      <c r="M34" s="27" t="s">
        <v>124</v>
      </c>
      <c r="N34" s="27" t="s">
        <v>124</v>
      </c>
      <c r="O34" s="27" t="s">
        <v>124</v>
      </c>
      <c r="P34" s="27" t="s">
        <v>124</v>
      </c>
      <c r="Q34" s="27" t="s">
        <v>124</v>
      </c>
      <c r="R34" s="27" t="s">
        <v>124</v>
      </c>
      <c r="S34" s="27" t="s">
        <v>124</v>
      </c>
      <c r="T34" s="27" t="s">
        <v>124</v>
      </c>
      <c r="U34" s="27" t="s">
        <v>124</v>
      </c>
      <c r="V34" s="27" t="s">
        <v>124</v>
      </c>
      <c r="W34" s="27" t="s">
        <v>124</v>
      </c>
      <c r="X34" s="27" t="s">
        <v>124</v>
      </c>
      <c r="Y34" s="27" t="s">
        <v>124</v>
      </c>
      <c r="Z34" s="27" t="s">
        <v>124</v>
      </c>
      <c r="AA34" s="27" t="s">
        <v>124</v>
      </c>
      <c r="AB34" s="27" t="s">
        <v>124</v>
      </c>
      <c r="AC34" s="27" t="s">
        <v>124</v>
      </c>
      <c r="AD34" s="27" t="s">
        <v>124</v>
      </c>
      <c r="AE34" s="27" t="s">
        <v>124</v>
      </c>
      <c r="AF34" s="27" t="s">
        <v>124</v>
      </c>
      <c r="AG34" s="27" t="s">
        <v>124</v>
      </c>
      <c r="AH34" s="27" t="s">
        <v>124</v>
      </c>
      <c r="AI34" s="27" t="s">
        <v>124</v>
      </c>
      <c r="AJ34" s="27" t="s">
        <v>124</v>
      </c>
      <c r="AK34" s="27" t="s">
        <v>124</v>
      </c>
      <c r="AL34" s="27" t="s">
        <v>124</v>
      </c>
      <c r="AM34" s="27" t="s">
        <v>124</v>
      </c>
      <c r="AN34" s="27" t="s">
        <v>124</v>
      </c>
      <c r="AO34" s="27" t="s">
        <v>124</v>
      </c>
      <c r="AP34" s="27"/>
      <c r="AQ34" s="27"/>
    </row>
    <row r="35" spans="1:43" x14ac:dyDescent="0.25">
      <c r="A35" s="29">
        <v>1</v>
      </c>
      <c r="C35" s="26" t="str">
        <f>"EBITDA"</f>
        <v>EBITDA</v>
      </c>
      <c r="D35" s="44" t="s">
        <v>124</v>
      </c>
      <c r="E35" s="44" t="s">
        <v>124</v>
      </c>
      <c r="F35" s="44" t="s">
        <v>124</v>
      </c>
      <c r="G35" s="44" t="s">
        <v>124</v>
      </c>
      <c r="H35" s="44" t="s">
        <v>124</v>
      </c>
      <c r="I35" s="44" t="s">
        <v>124</v>
      </c>
      <c r="J35" s="44" t="s">
        <v>124</v>
      </c>
      <c r="K35" s="44" t="s">
        <v>124</v>
      </c>
      <c r="L35" s="30" t="s">
        <v>124</v>
      </c>
      <c r="M35" s="27" t="s">
        <v>124</v>
      </c>
      <c r="N35" s="27" t="s">
        <v>124</v>
      </c>
      <c r="O35" s="27" t="s">
        <v>124</v>
      </c>
      <c r="P35" s="27" t="s">
        <v>124</v>
      </c>
      <c r="Q35" s="27" t="s">
        <v>124</v>
      </c>
      <c r="R35" s="27" t="s">
        <v>124</v>
      </c>
      <c r="S35" s="27" t="s">
        <v>124</v>
      </c>
      <c r="T35" s="27" t="s">
        <v>124</v>
      </c>
      <c r="U35" s="27" t="s">
        <v>124</v>
      </c>
      <c r="V35" s="27" t="s">
        <v>124</v>
      </c>
      <c r="W35" s="27" t="s">
        <v>124</v>
      </c>
      <c r="X35" s="27" t="s">
        <v>124</v>
      </c>
      <c r="Y35" s="27" t="s">
        <v>124</v>
      </c>
      <c r="Z35" s="27" t="s">
        <v>124</v>
      </c>
      <c r="AA35" s="27" t="s">
        <v>124</v>
      </c>
      <c r="AB35" s="27" t="s">
        <v>124</v>
      </c>
      <c r="AC35" s="27" t="s">
        <v>124</v>
      </c>
      <c r="AD35" s="27" t="s">
        <v>124</v>
      </c>
      <c r="AE35" s="27" t="s">
        <v>124</v>
      </c>
      <c r="AF35" s="27" t="s">
        <v>124</v>
      </c>
      <c r="AG35" s="27" t="s">
        <v>124</v>
      </c>
      <c r="AH35" s="27" t="s">
        <v>124</v>
      </c>
      <c r="AI35" s="27" t="s">
        <v>124</v>
      </c>
      <c r="AJ35" s="27" t="s">
        <v>124</v>
      </c>
      <c r="AK35" s="27" t="s">
        <v>124</v>
      </c>
      <c r="AL35" s="27" t="s">
        <v>124</v>
      </c>
      <c r="AM35" s="27" t="s">
        <v>124</v>
      </c>
      <c r="AN35" s="27" t="s">
        <v>124</v>
      </c>
      <c r="AO35" s="27" t="s">
        <v>124</v>
      </c>
      <c r="AP35" s="27"/>
      <c r="AQ35" s="27"/>
    </row>
    <row r="36" spans="1:43" x14ac:dyDescent="0.25">
      <c r="A36" s="29">
        <v>1</v>
      </c>
      <c r="C36" s="24" t="str">
        <f>"    Actual"</f>
        <v xml:space="preserve">    Actual</v>
      </c>
      <c r="D36" s="37" t="s">
        <v>124</v>
      </c>
      <c r="E36" s="37" t="s">
        <v>124</v>
      </c>
      <c r="F36" s="37" t="s">
        <v>124</v>
      </c>
      <c r="G36" s="37">
        <v>25590000</v>
      </c>
      <c r="H36" s="37">
        <v>21650000</v>
      </c>
      <c r="I36" s="37">
        <v>21832000</v>
      </c>
      <c r="J36" s="37">
        <v>14470500</v>
      </c>
      <c r="K36" s="37">
        <v>24433000</v>
      </c>
      <c r="L36" s="30" t="s">
        <v>124</v>
      </c>
      <c r="M36" s="27" t="s">
        <v>124</v>
      </c>
      <c r="N36" s="27" t="s">
        <v>124</v>
      </c>
      <c r="O36" s="27" t="s">
        <v>124</v>
      </c>
      <c r="P36" s="27" t="s">
        <v>124</v>
      </c>
      <c r="Q36" s="27" t="s">
        <v>124</v>
      </c>
      <c r="R36" s="27" t="s">
        <v>124</v>
      </c>
      <c r="S36" s="27" t="s">
        <v>124</v>
      </c>
      <c r="T36" s="27" t="s">
        <v>124</v>
      </c>
      <c r="U36" s="27" t="s">
        <v>124</v>
      </c>
      <c r="V36" s="27" t="s">
        <v>124</v>
      </c>
      <c r="W36" s="27" t="s">
        <v>124</v>
      </c>
      <c r="X36" s="27" t="s">
        <v>124</v>
      </c>
      <c r="Y36" s="27" t="s">
        <v>124</v>
      </c>
      <c r="Z36" s="27" t="s">
        <v>124</v>
      </c>
      <c r="AA36" s="27" t="s">
        <v>124</v>
      </c>
      <c r="AB36" s="27" t="s">
        <v>124</v>
      </c>
      <c r="AC36" s="27" t="s">
        <v>124</v>
      </c>
      <c r="AD36" s="27" t="s">
        <v>124</v>
      </c>
      <c r="AE36" s="27" t="s">
        <v>124</v>
      </c>
      <c r="AF36" s="27" t="s">
        <v>124</v>
      </c>
      <c r="AG36" s="27" t="s">
        <v>124</v>
      </c>
      <c r="AH36" s="27" t="s">
        <v>124</v>
      </c>
      <c r="AI36" s="27" t="s">
        <v>124</v>
      </c>
      <c r="AJ36" s="27" t="s">
        <v>124</v>
      </c>
      <c r="AK36" s="27" t="s">
        <v>124</v>
      </c>
      <c r="AL36" s="27" t="s">
        <v>124</v>
      </c>
      <c r="AM36" s="27" t="s">
        <v>124</v>
      </c>
      <c r="AN36" s="27" t="s">
        <v>124</v>
      </c>
      <c r="AO36" s="27" t="s">
        <v>124</v>
      </c>
      <c r="AP36" s="27"/>
      <c r="AQ36" s="27"/>
    </row>
    <row r="37" spans="1:43" x14ac:dyDescent="0.25">
      <c r="A37" s="29">
        <v>1</v>
      </c>
      <c r="C37" s="24" t="str">
        <f>"    Median"</f>
        <v xml:space="preserve">    Median</v>
      </c>
      <c r="D37" s="37">
        <v>16699000</v>
      </c>
      <c r="E37" s="37">
        <v>15133043.191</v>
      </c>
      <c r="F37" s="37">
        <v>16005000</v>
      </c>
      <c r="G37" s="37">
        <v>15008000</v>
      </c>
      <c r="H37" s="37">
        <v>12164000</v>
      </c>
      <c r="I37" s="37">
        <v>11909000</v>
      </c>
      <c r="J37" s="37">
        <v>14953150</v>
      </c>
      <c r="K37" s="37">
        <v>17024000</v>
      </c>
      <c r="L37" s="30" t="s">
        <v>124</v>
      </c>
      <c r="M37" s="27" t="s">
        <v>124</v>
      </c>
      <c r="N37" s="27" t="s">
        <v>124</v>
      </c>
      <c r="O37" s="27" t="s">
        <v>124</v>
      </c>
      <c r="P37" s="27" t="s">
        <v>124</v>
      </c>
      <c r="Q37" s="27" t="s">
        <v>124</v>
      </c>
      <c r="R37" s="27" t="s">
        <v>124</v>
      </c>
      <c r="S37" s="27" t="s">
        <v>124</v>
      </c>
      <c r="T37" s="27" t="s">
        <v>124</v>
      </c>
      <c r="U37" s="27" t="s">
        <v>124</v>
      </c>
      <c r="V37" s="27" t="s">
        <v>124</v>
      </c>
      <c r="W37" s="27" t="s">
        <v>124</v>
      </c>
      <c r="X37" s="27" t="s">
        <v>124</v>
      </c>
      <c r="Y37" s="27" t="s">
        <v>124</v>
      </c>
      <c r="Z37" s="27" t="s">
        <v>124</v>
      </c>
      <c r="AA37" s="27" t="s">
        <v>124</v>
      </c>
      <c r="AB37" s="27" t="s">
        <v>124</v>
      </c>
      <c r="AC37" s="27" t="s">
        <v>124</v>
      </c>
      <c r="AD37" s="27" t="s">
        <v>124</v>
      </c>
      <c r="AE37" s="27" t="s">
        <v>124</v>
      </c>
      <c r="AF37" s="27" t="s">
        <v>124</v>
      </c>
      <c r="AG37" s="27" t="s">
        <v>124</v>
      </c>
      <c r="AH37" s="27" t="s">
        <v>124</v>
      </c>
      <c r="AI37" s="27" t="s">
        <v>124</v>
      </c>
      <c r="AJ37" s="27" t="s">
        <v>124</v>
      </c>
      <c r="AK37" s="27" t="s">
        <v>124</v>
      </c>
      <c r="AL37" s="27" t="s">
        <v>124</v>
      </c>
      <c r="AM37" s="27" t="s">
        <v>124</v>
      </c>
      <c r="AN37" s="27" t="s">
        <v>124</v>
      </c>
      <c r="AO37" s="27" t="s">
        <v>124</v>
      </c>
      <c r="AP37" s="27"/>
      <c r="AQ37" s="27"/>
    </row>
    <row r="38" spans="1:43" x14ac:dyDescent="0.25">
      <c r="A38" s="29">
        <v>1</v>
      </c>
      <c r="C38" s="24" t="str">
        <f>"    High"</f>
        <v xml:space="preserve">    High</v>
      </c>
      <c r="D38" s="37">
        <v>21039000</v>
      </c>
      <c r="E38" s="37">
        <v>16840000</v>
      </c>
      <c r="F38" s="37">
        <v>20101762.5</v>
      </c>
      <c r="G38" s="37">
        <v>18985000</v>
      </c>
      <c r="H38" s="37">
        <v>14712000</v>
      </c>
      <c r="I38" s="37">
        <v>14025000</v>
      </c>
      <c r="J38" s="37">
        <v>17910000</v>
      </c>
      <c r="K38" s="37">
        <v>24416000</v>
      </c>
      <c r="L38" s="30" t="s">
        <v>124</v>
      </c>
      <c r="M38" s="27" t="s">
        <v>124</v>
      </c>
      <c r="N38" s="27" t="s">
        <v>124</v>
      </c>
      <c r="O38" s="27" t="s">
        <v>124</v>
      </c>
      <c r="P38" s="27" t="s">
        <v>124</v>
      </c>
      <c r="Q38" s="27" t="s">
        <v>124</v>
      </c>
      <c r="R38" s="27" t="s">
        <v>124</v>
      </c>
      <c r="S38" s="27" t="s">
        <v>124</v>
      </c>
      <c r="T38" s="27" t="s">
        <v>124</v>
      </c>
      <c r="U38" s="27" t="s">
        <v>124</v>
      </c>
      <c r="V38" s="27" t="s">
        <v>124</v>
      </c>
      <c r="W38" s="27" t="s">
        <v>124</v>
      </c>
      <c r="X38" s="27" t="s">
        <v>124</v>
      </c>
      <c r="Y38" s="27" t="s">
        <v>124</v>
      </c>
      <c r="Z38" s="27" t="s">
        <v>124</v>
      </c>
      <c r="AA38" s="27" t="s">
        <v>124</v>
      </c>
      <c r="AB38" s="27" t="s">
        <v>124</v>
      </c>
      <c r="AC38" s="27" t="s">
        <v>124</v>
      </c>
      <c r="AD38" s="27" t="s">
        <v>124</v>
      </c>
      <c r="AE38" s="27" t="s">
        <v>124</v>
      </c>
      <c r="AF38" s="27" t="s">
        <v>124</v>
      </c>
      <c r="AG38" s="27" t="s">
        <v>124</v>
      </c>
      <c r="AH38" s="27" t="s">
        <v>124</v>
      </c>
      <c r="AI38" s="27" t="s">
        <v>124</v>
      </c>
      <c r="AJ38" s="27" t="s">
        <v>124</v>
      </c>
      <c r="AK38" s="27" t="s">
        <v>124</v>
      </c>
      <c r="AL38" s="27" t="s">
        <v>124</v>
      </c>
      <c r="AM38" s="27" t="s">
        <v>124</v>
      </c>
      <c r="AN38" s="27" t="s">
        <v>124</v>
      </c>
      <c r="AO38" s="27" t="s">
        <v>124</v>
      </c>
      <c r="AP38" s="27"/>
      <c r="AQ38" s="27"/>
    </row>
    <row r="39" spans="1:43" x14ac:dyDescent="0.25">
      <c r="A39" s="29">
        <v>1</v>
      </c>
      <c r="C39" s="24" t="str">
        <f>"    Low"</f>
        <v xml:space="preserve">    Low</v>
      </c>
      <c r="D39" s="37">
        <v>14421671.177999999</v>
      </c>
      <c r="E39" s="37">
        <v>11179149.085999999</v>
      </c>
      <c r="F39" s="37">
        <v>13691748.398</v>
      </c>
      <c r="G39" s="37">
        <v>10036000</v>
      </c>
      <c r="H39" s="37">
        <v>11448000</v>
      </c>
      <c r="I39" s="37">
        <v>9399108.9269999992</v>
      </c>
      <c r="J39" s="37">
        <v>9132170</v>
      </c>
      <c r="K39" s="37">
        <v>11931000</v>
      </c>
      <c r="L39" s="30" t="s">
        <v>124</v>
      </c>
      <c r="M39" s="27" t="s">
        <v>124</v>
      </c>
      <c r="N39" s="27" t="s">
        <v>124</v>
      </c>
      <c r="O39" s="27" t="s">
        <v>124</v>
      </c>
      <c r="P39" s="27" t="s">
        <v>124</v>
      </c>
      <c r="Q39" s="27" t="s">
        <v>124</v>
      </c>
      <c r="R39" s="27" t="s">
        <v>124</v>
      </c>
      <c r="S39" s="27" t="s">
        <v>124</v>
      </c>
      <c r="T39" s="27" t="s">
        <v>124</v>
      </c>
      <c r="U39" s="27" t="s">
        <v>124</v>
      </c>
      <c r="V39" s="27" t="s">
        <v>124</v>
      </c>
      <c r="W39" s="27" t="s">
        <v>124</v>
      </c>
      <c r="X39" s="27" t="s">
        <v>124</v>
      </c>
      <c r="Y39" s="27" t="s">
        <v>124</v>
      </c>
      <c r="Z39" s="27" t="s">
        <v>124</v>
      </c>
      <c r="AA39" s="27" t="s">
        <v>124</v>
      </c>
      <c r="AB39" s="27" t="s">
        <v>124</v>
      </c>
      <c r="AC39" s="27" t="s">
        <v>124</v>
      </c>
      <c r="AD39" s="27" t="s">
        <v>124</v>
      </c>
      <c r="AE39" s="27" t="s">
        <v>124</v>
      </c>
      <c r="AF39" s="27" t="s">
        <v>124</v>
      </c>
      <c r="AG39" s="27" t="s">
        <v>124</v>
      </c>
      <c r="AH39" s="27" t="s">
        <v>124</v>
      </c>
      <c r="AI39" s="27" t="s">
        <v>124</v>
      </c>
      <c r="AJ39" s="27" t="s">
        <v>124</v>
      </c>
      <c r="AK39" s="27" t="s">
        <v>124</v>
      </c>
      <c r="AL39" s="27" t="s">
        <v>124</v>
      </c>
      <c r="AM39" s="27" t="s">
        <v>124</v>
      </c>
      <c r="AN39" s="27" t="s">
        <v>124</v>
      </c>
      <c r="AO39" s="27" t="s">
        <v>124</v>
      </c>
      <c r="AP39" s="27"/>
      <c r="AQ39" s="27"/>
    </row>
    <row r="40" spans="1:43" x14ac:dyDescent="0.25">
      <c r="A40" s="29">
        <v>1</v>
      </c>
      <c r="C40" s="24" t="str">
        <f>"    Mean"</f>
        <v xml:space="preserve">    Mean</v>
      </c>
      <c r="D40" s="37">
        <v>17227499.645</v>
      </c>
      <c r="E40" s="37">
        <v>14543006.495999999</v>
      </c>
      <c r="F40" s="37">
        <v>16308571.98</v>
      </c>
      <c r="G40" s="37">
        <v>14335585.073000001</v>
      </c>
      <c r="H40" s="37">
        <v>12439198.249</v>
      </c>
      <c r="I40" s="37">
        <v>12133345.436000001</v>
      </c>
      <c r="J40" s="37">
        <v>13952140.714</v>
      </c>
      <c r="K40" s="37">
        <v>18473084.614999998</v>
      </c>
      <c r="L40" s="30" t="s">
        <v>124</v>
      </c>
      <c r="M40" s="27" t="s">
        <v>124</v>
      </c>
      <c r="N40" s="27" t="s">
        <v>124</v>
      </c>
      <c r="O40" s="27" t="s">
        <v>124</v>
      </c>
      <c r="P40" s="27" t="s">
        <v>124</v>
      </c>
      <c r="Q40" s="27" t="s">
        <v>124</v>
      </c>
      <c r="R40" s="27" t="s">
        <v>124</v>
      </c>
      <c r="S40" s="27" t="s">
        <v>124</v>
      </c>
      <c r="T40" s="27" t="s">
        <v>124</v>
      </c>
      <c r="U40" s="27" t="s">
        <v>124</v>
      </c>
      <c r="V40" s="27" t="s">
        <v>124</v>
      </c>
      <c r="W40" s="27" t="s">
        <v>124</v>
      </c>
      <c r="X40" s="27" t="s">
        <v>124</v>
      </c>
      <c r="Y40" s="27" t="s">
        <v>124</v>
      </c>
      <c r="Z40" s="27" t="s">
        <v>124</v>
      </c>
      <c r="AA40" s="27" t="s">
        <v>124</v>
      </c>
      <c r="AB40" s="27" t="s">
        <v>124</v>
      </c>
      <c r="AC40" s="27" t="s">
        <v>124</v>
      </c>
      <c r="AD40" s="27" t="s">
        <v>124</v>
      </c>
      <c r="AE40" s="27" t="s">
        <v>124</v>
      </c>
      <c r="AF40" s="27" t="s">
        <v>124</v>
      </c>
      <c r="AG40" s="27" t="s">
        <v>124</v>
      </c>
      <c r="AH40" s="27" t="s">
        <v>124</v>
      </c>
      <c r="AI40" s="27" t="s">
        <v>124</v>
      </c>
      <c r="AJ40" s="27" t="s">
        <v>124</v>
      </c>
      <c r="AK40" s="27" t="s">
        <v>124</v>
      </c>
      <c r="AL40" s="27" t="s">
        <v>124</v>
      </c>
      <c r="AM40" s="27" t="s">
        <v>124</v>
      </c>
      <c r="AN40" s="27" t="s">
        <v>124</v>
      </c>
      <c r="AO40" s="27" t="s">
        <v>124</v>
      </c>
      <c r="AP40" s="27"/>
      <c r="AQ40" s="27"/>
    </row>
    <row r="41" spans="1:43" x14ac:dyDescent="0.25">
      <c r="A41" s="29">
        <v>1</v>
      </c>
      <c r="C41" s="24" t="str">
        <f>"    Standard Deviation"</f>
        <v xml:space="preserve">    Standard Deviation</v>
      </c>
      <c r="D41" s="37">
        <v>2455797.7629999998</v>
      </c>
      <c r="E41" s="37">
        <v>1850860.193</v>
      </c>
      <c r="F41" s="37">
        <v>2126069.5049999999</v>
      </c>
      <c r="G41" s="37">
        <v>2724147.08</v>
      </c>
      <c r="H41" s="37">
        <v>1081392.4380000001</v>
      </c>
      <c r="I41" s="37">
        <v>1502658.824</v>
      </c>
      <c r="J41" s="37">
        <v>2773207.415</v>
      </c>
      <c r="K41" s="37">
        <v>3612888.6349999998</v>
      </c>
      <c r="L41" s="30" t="s">
        <v>124</v>
      </c>
      <c r="M41" s="27" t="s">
        <v>124</v>
      </c>
      <c r="N41" s="27" t="s">
        <v>124</v>
      </c>
      <c r="O41" s="27" t="s">
        <v>124</v>
      </c>
      <c r="P41" s="27" t="s">
        <v>124</v>
      </c>
      <c r="Q41" s="27" t="s">
        <v>124</v>
      </c>
      <c r="R41" s="27" t="s">
        <v>124</v>
      </c>
      <c r="S41" s="27" t="s">
        <v>124</v>
      </c>
      <c r="T41" s="27" t="s">
        <v>124</v>
      </c>
      <c r="U41" s="27" t="s">
        <v>124</v>
      </c>
      <c r="V41" s="27" t="s">
        <v>124</v>
      </c>
      <c r="W41" s="27" t="s">
        <v>124</v>
      </c>
      <c r="X41" s="27" t="s">
        <v>124</v>
      </c>
      <c r="Y41" s="27" t="s">
        <v>124</v>
      </c>
      <c r="Z41" s="27" t="s">
        <v>124</v>
      </c>
      <c r="AA41" s="27" t="s">
        <v>124</v>
      </c>
      <c r="AB41" s="27" t="s">
        <v>124</v>
      </c>
      <c r="AC41" s="27" t="s">
        <v>124</v>
      </c>
      <c r="AD41" s="27" t="s">
        <v>124</v>
      </c>
      <c r="AE41" s="27" t="s">
        <v>124</v>
      </c>
      <c r="AF41" s="27" t="s">
        <v>124</v>
      </c>
      <c r="AG41" s="27" t="s">
        <v>124</v>
      </c>
      <c r="AH41" s="27" t="s">
        <v>124</v>
      </c>
      <c r="AI41" s="27" t="s">
        <v>124</v>
      </c>
      <c r="AJ41" s="27" t="s">
        <v>124</v>
      </c>
      <c r="AK41" s="27" t="s">
        <v>124</v>
      </c>
      <c r="AL41" s="27" t="s">
        <v>124</v>
      </c>
      <c r="AM41" s="27" t="s">
        <v>124</v>
      </c>
      <c r="AN41" s="27" t="s">
        <v>124</v>
      </c>
      <c r="AO41" s="27" t="s">
        <v>124</v>
      </c>
      <c r="AP41" s="27"/>
      <c r="AQ41" s="27"/>
    </row>
    <row r="42" spans="1:43" x14ac:dyDescent="0.25">
      <c r="A42" s="29">
        <v>1</v>
      </c>
      <c r="C42" s="24" t="str">
        <f>"    Number of Estimates"</f>
        <v xml:space="preserve">    Number of Estimates</v>
      </c>
      <c r="D42" s="37">
        <v>7</v>
      </c>
      <c r="E42" s="37">
        <v>9</v>
      </c>
      <c r="F42" s="37">
        <v>9</v>
      </c>
      <c r="G42" s="37">
        <v>8</v>
      </c>
      <c r="H42" s="37">
        <v>7</v>
      </c>
      <c r="I42" s="37">
        <v>9</v>
      </c>
      <c r="J42" s="37">
        <v>14</v>
      </c>
      <c r="K42" s="37">
        <v>13</v>
      </c>
      <c r="L42" s="30" t="s">
        <v>124</v>
      </c>
      <c r="M42" s="27" t="s">
        <v>124</v>
      </c>
      <c r="N42" s="27" t="s">
        <v>124</v>
      </c>
      <c r="O42" s="27" t="s">
        <v>124</v>
      </c>
      <c r="P42" s="27" t="s">
        <v>124</v>
      </c>
      <c r="Q42" s="27" t="s">
        <v>124</v>
      </c>
      <c r="R42" s="27" t="s">
        <v>124</v>
      </c>
      <c r="S42" s="27" t="s">
        <v>124</v>
      </c>
      <c r="T42" s="27" t="s">
        <v>124</v>
      </c>
      <c r="U42" s="27" t="s">
        <v>124</v>
      </c>
      <c r="V42" s="27" t="s">
        <v>124</v>
      </c>
      <c r="W42" s="27" t="s">
        <v>124</v>
      </c>
      <c r="X42" s="27" t="s">
        <v>124</v>
      </c>
      <c r="Y42" s="27" t="s">
        <v>124</v>
      </c>
      <c r="Z42" s="27" t="s">
        <v>124</v>
      </c>
      <c r="AA42" s="27" t="s">
        <v>124</v>
      </c>
      <c r="AB42" s="27" t="s">
        <v>124</v>
      </c>
      <c r="AC42" s="27" t="s">
        <v>124</v>
      </c>
      <c r="AD42" s="27" t="s">
        <v>124</v>
      </c>
      <c r="AE42" s="27" t="s">
        <v>124</v>
      </c>
      <c r="AF42" s="27" t="s">
        <v>124</v>
      </c>
      <c r="AG42" s="27" t="s">
        <v>124</v>
      </c>
      <c r="AH42" s="27" t="s">
        <v>124</v>
      </c>
      <c r="AI42" s="27" t="s">
        <v>124</v>
      </c>
      <c r="AJ42" s="27" t="s">
        <v>124</v>
      </c>
      <c r="AK42" s="27" t="s">
        <v>124</v>
      </c>
      <c r="AL42" s="27" t="s">
        <v>124</v>
      </c>
      <c r="AM42" s="27" t="s">
        <v>124</v>
      </c>
      <c r="AN42" s="27" t="s">
        <v>124</v>
      </c>
      <c r="AO42" s="27" t="s">
        <v>124</v>
      </c>
      <c r="AP42" s="27"/>
      <c r="AQ42" s="27"/>
    </row>
    <row r="43" spans="1:43" x14ac:dyDescent="0.25">
      <c r="A43" s="29">
        <v>1</v>
      </c>
      <c r="C43" s="26" t="str">
        <f>"EBIT"</f>
        <v>EBIT</v>
      </c>
      <c r="D43" s="44" t="s">
        <v>124</v>
      </c>
      <c r="E43" s="44" t="s">
        <v>124</v>
      </c>
      <c r="F43" s="44" t="s">
        <v>124</v>
      </c>
      <c r="G43" s="44" t="s">
        <v>124</v>
      </c>
      <c r="H43" s="44" t="s">
        <v>124</v>
      </c>
      <c r="I43" s="44" t="s">
        <v>124</v>
      </c>
      <c r="J43" s="44" t="s">
        <v>124</v>
      </c>
      <c r="K43" s="44" t="s">
        <v>124</v>
      </c>
      <c r="L43" s="30" t="s">
        <v>124</v>
      </c>
      <c r="M43" s="27" t="s">
        <v>124</v>
      </c>
      <c r="N43" s="27" t="s">
        <v>124</v>
      </c>
      <c r="O43" s="27" t="s">
        <v>124</v>
      </c>
      <c r="P43" s="27" t="s">
        <v>124</v>
      </c>
      <c r="Q43" s="27" t="s">
        <v>124</v>
      </c>
      <c r="R43" s="27" t="s">
        <v>124</v>
      </c>
      <c r="S43" s="27" t="s">
        <v>124</v>
      </c>
      <c r="T43" s="27" t="s">
        <v>124</v>
      </c>
      <c r="U43" s="27" t="s">
        <v>124</v>
      </c>
      <c r="V43" s="27" t="s">
        <v>124</v>
      </c>
      <c r="W43" s="27" t="s">
        <v>124</v>
      </c>
      <c r="X43" s="27" t="s">
        <v>124</v>
      </c>
      <c r="Y43" s="27" t="s">
        <v>124</v>
      </c>
      <c r="Z43" s="27" t="s">
        <v>124</v>
      </c>
      <c r="AA43" s="27" t="s">
        <v>124</v>
      </c>
      <c r="AB43" s="27" t="s">
        <v>124</v>
      </c>
      <c r="AC43" s="27" t="s">
        <v>124</v>
      </c>
      <c r="AD43" s="27" t="s">
        <v>124</v>
      </c>
      <c r="AE43" s="27" t="s">
        <v>124</v>
      </c>
      <c r="AF43" s="27" t="s">
        <v>124</v>
      </c>
      <c r="AG43" s="27" t="s">
        <v>124</v>
      </c>
      <c r="AH43" s="27" t="s">
        <v>124</v>
      </c>
      <c r="AI43" s="27" t="s">
        <v>124</v>
      </c>
      <c r="AJ43" s="27" t="s">
        <v>124</v>
      </c>
      <c r="AK43" s="27" t="s">
        <v>124</v>
      </c>
      <c r="AL43" s="27" t="s">
        <v>124</v>
      </c>
      <c r="AM43" s="27" t="s">
        <v>124</v>
      </c>
      <c r="AN43" s="27" t="s">
        <v>124</v>
      </c>
      <c r="AO43" s="27" t="s">
        <v>124</v>
      </c>
      <c r="AP43" s="27"/>
      <c r="AQ43" s="27"/>
    </row>
    <row r="44" spans="1:43" x14ac:dyDescent="0.25">
      <c r="A44" s="29">
        <v>1</v>
      </c>
      <c r="C44" s="24" t="str">
        <f>"    Actual"</f>
        <v xml:space="preserve">    Actual</v>
      </c>
      <c r="D44" s="37" t="s">
        <v>124</v>
      </c>
      <c r="E44" s="37" t="s">
        <v>124</v>
      </c>
      <c r="F44" s="37" t="s">
        <v>124</v>
      </c>
      <c r="G44" s="37">
        <v>13520000</v>
      </c>
      <c r="H44" s="37">
        <v>8952000</v>
      </c>
      <c r="I44" s="37">
        <v>7789000</v>
      </c>
      <c r="J44" s="37">
        <v>8869000</v>
      </c>
      <c r="K44" s="37">
        <v>12172000</v>
      </c>
      <c r="L44" s="30" t="s">
        <v>124</v>
      </c>
      <c r="M44" s="27" t="s">
        <v>124</v>
      </c>
      <c r="N44" s="27" t="s">
        <v>124</v>
      </c>
      <c r="O44" s="27" t="s">
        <v>124</v>
      </c>
      <c r="P44" s="27" t="s">
        <v>124</v>
      </c>
      <c r="Q44" s="27" t="s">
        <v>124</v>
      </c>
      <c r="R44" s="27" t="s">
        <v>124</v>
      </c>
      <c r="S44" s="27" t="s">
        <v>124</v>
      </c>
      <c r="T44" s="27" t="s">
        <v>124</v>
      </c>
      <c r="U44" s="27" t="s">
        <v>124</v>
      </c>
      <c r="V44" s="27" t="s">
        <v>124</v>
      </c>
      <c r="W44" s="27" t="s">
        <v>124</v>
      </c>
      <c r="X44" s="27" t="s">
        <v>124</v>
      </c>
      <c r="Y44" s="27" t="s">
        <v>124</v>
      </c>
      <c r="Z44" s="27" t="s">
        <v>124</v>
      </c>
      <c r="AA44" s="27" t="s">
        <v>124</v>
      </c>
      <c r="AB44" s="27" t="s">
        <v>124</v>
      </c>
      <c r="AC44" s="27" t="s">
        <v>124</v>
      </c>
      <c r="AD44" s="27" t="s">
        <v>124</v>
      </c>
      <c r="AE44" s="27" t="s">
        <v>124</v>
      </c>
      <c r="AF44" s="27" t="s">
        <v>124</v>
      </c>
      <c r="AG44" s="27" t="s">
        <v>124</v>
      </c>
      <c r="AH44" s="27" t="s">
        <v>124</v>
      </c>
      <c r="AI44" s="27" t="s">
        <v>124</v>
      </c>
      <c r="AJ44" s="27" t="s">
        <v>124</v>
      </c>
      <c r="AK44" s="27" t="s">
        <v>124</v>
      </c>
      <c r="AL44" s="27" t="s">
        <v>124</v>
      </c>
      <c r="AM44" s="27" t="s">
        <v>124</v>
      </c>
      <c r="AN44" s="27" t="s">
        <v>124</v>
      </c>
      <c r="AO44" s="27" t="s">
        <v>124</v>
      </c>
      <c r="AP44" s="27"/>
      <c r="AQ44" s="27"/>
    </row>
    <row r="45" spans="1:43" x14ac:dyDescent="0.25">
      <c r="A45" s="29">
        <v>1</v>
      </c>
      <c r="C45" s="24" t="str">
        <f>"    Median"</f>
        <v xml:space="preserve">    Median</v>
      </c>
      <c r="D45" s="37">
        <v>12174000</v>
      </c>
      <c r="E45" s="37">
        <v>11366866.761</v>
      </c>
      <c r="F45" s="37">
        <v>13993036</v>
      </c>
      <c r="G45" s="37">
        <v>13603000</v>
      </c>
      <c r="H45" s="37">
        <v>8352746.9660000009</v>
      </c>
      <c r="I45" s="37">
        <v>8393000</v>
      </c>
      <c r="J45" s="37">
        <v>10974000</v>
      </c>
      <c r="K45" s="37">
        <v>12280000</v>
      </c>
      <c r="L45" s="30" t="s">
        <v>124</v>
      </c>
      <c r="M45" s="27" t="s">
        <v>124</v>
      </c>
      <c r="N45" s="27" t="s">
        <v>124</v>
      </c>
      <c r="O45" s="27" t="s">
        <v>124</v>
      </c>
      <c r="P45" s="27" t="s">
        <v>124</v>
      </c>
      <c r="Q45" s="27" t="s">
        <v>124</v>
      </c>
      <c r="R45" s="27" t="s">
        <v>124</v>
      </c>
      <c r="S45" s="27" t="s">
        <v>124</v>
      </c>
      <c r="T45" s="27" t="s">
        <v>124</v>
      </c>
      <c r="U45" s="27" t="s">
        <v>124</v>
      </c>
      <c r="V45" s="27" t="s">
        <v>124</v>
      </c>
      <c r="W45" s="27" t="s">
        <v>124</v>
      </c>
      <c r="X45" s="27" t="s">
        <v>124</v>
      </c>
      <c r="Y45" s="27" t="s">
        <v>124</v>
      </c>
      <c r="Z45" s="27" t="s">
        <v>124</v>
      </c>
      <c r="AA45" s="27" t="s">
        <v>124</v>
      </c>
      <c r="AB45" s="27" t="s">
        <v>124</v>
      </c>
      <c r="AC45" s="27" t="s">
        <v>124</v>
      </c>
      <c r="AD45" s="27" t="s">
        <v>124</v>
      </c>
      <c r="AE45" s="27" t="s">
        <v>124</v>
      </c>
      <c r="AF45" s="27" t="s">
        <v>124</v>
      </c>
      <c r="AG45" s="27" t="s">
        <v>124</v>
      </c>
      <c r="AH45" s="27" t="s">
        <v>124</v>
      </c>
      <c r="AI45" s="27" t="s">
        <v>124</v>
      </c>
      <c r="AJ45" s="27" t="s">
        <v>124</v>
      </c>
      <c r="AK45" s="27" t="s">
        <v>124</v>
      </c>
      <c r="AL45" s="27" t="s">
        <v>124</v>
      </c>
      <c r="AM45" s="27" t="s">
        <v>124</v>
      </c>
      <c r="AN45" s="27" t="s">
        <v>124</v>
      </c>
      <c r="AO45" s="27" t="s">
        <v>124</v>
      </c>
      <c r="AP45" s="27"/>
      <c r="AQ45" s="27"/>
    </row>
    <row r="46" spans="1:43" x14ac:dyDescent="0.25">
      <c r="A46" s="29">
        <v>1</v>
      </c>
      <c r="C46" s="24" t="str">
        <f>"    High"</f>
        <v xml:space="preserve">    High</v>
      </c>
      <c r="D46" s="37">
        <v>18900000</v>
      </c>
      <c r="E46" s="37">
        <v>17200000</v>
      </c>
      <c r="F46" s="37">
        <v>14481000</v>
      </c>
      <c r="G46" s="37">
        <v>14590000</v>
      </c>
      <c r="H46" s="37">
        <v>9999000</v>
      </c>
      <c r="I46" s="37">
        <v>9397000</v>
      </c>
      <c r="J46" s="37">
        <v>12066400</v>
      </c>
      <c r="K46" s="37">
        <v>12539000</v>
      </c>
      <c r="L46" s="30" t="s">
        <v>124</v>
      </c>
      <c r="M46" s="27" t="s">
        <v>124</v>
      </c>
      <c r="N46" s="27" t="s">
        <v>124</v>
      </c>
      <c r="O46" s="27" t="s">
        <v>124</v>
      </c>
      <c r="P46" s="27" t="s">
        <v>124</v>
      </c>
      <c r="Q46" s="27" t="s">
        <v>124</v>
      </c>
      <c r="R46" s="27" t="s">
        <v>124</v>
      </c>
      <c r="S46" s="27" t="s">
        <v>124</v>
      </c>
      <c r="T46" s="27" t="s">
        <v>124</v>
      </c>
      <c r="U46" s="27" t="s">
        <v>124</v>
      </c>
      <c r="V46" s="27" t="s">
        <v>124</v>
      </c>
      <c r="W46" s="27" t="s">
        <v>124</v>
      </c>
      <c r="X46" s="27" t="s">
        <v>124</v>
      </c>
      <c r="Y46" s="27" t="s">
        <v>124</v>
      </c>
      <c r="Z46" s="27" t="s">
        <v>124</v>
      </c>
      <c r="AA46" s="27" t="s">
        <v>124</v>
      </c>
      <c r="AB46" s="27" t="s">
        <v>124</v>
      </c>
      <c r="AC46" s="27" t="s">
        <v>124</v>
      </c>
      <c r="AD46" s="27" t="s">
        <v>124</v>
      </c>
      <c r="AE46" s="27" t="s">
        <v>124</v>
      </c>
      <c r="AF46" s="27" t="s">
        <v>124</v>
      </c>
      <c r="AG46" s="27" t="s">
        <v>124</v>
      </c>
      <c r="AH46" s="27" t="s">
        <v>124</v>
      </c>
      <c r="AI46" s="27" t="s">
        <v>124</v>
      </c>
      <c r="AJ46" s="27" t="s">
        <v>124</v>
      </c>
      <c r="AK46" s="27" t="s">
        <v>124</v>
      </c>
      <c r="AL46" s="27" t="s">
        <v>124</v>
      </c>
      <c r="AM46" s="27" t="s">
        <v>124</v>
      </c>
      <c r="AN46" s="27" t="s">
        <v>124</v>
      </c>
      <c r="AO46" s="27" t="s">
        <v>124</v>
      </c>
      <c r="AP46" s="27"/>
      <c r="AQ46" s="27"/>
    </row>
    <row r="47" spans="1:43" x14ac:dyDescent="0.25">
      <c r="A47" s="29">
        <v>1</v>
      </c>
      <c r="C47" s="24" t="str">
        <f>"    Low"</f>
        <v xml:space="preserve">    Low</v>
      </c>
      <c r="D47" s="37">
        <v>6957258.3849999998</v>
      </c>
      <c r="E47" s="37">
        <v>5534759.9560000002</v>
      </c>
      <c r="F47" s="37">
        <v>11453469.392000001</v>
      </c>
      <c r="G47" s="37">
        <v>11152824.34</v>
      </c>
      <c r="H47" s="37">
        <v>4707000</v>
      </c>
      <c r="I47" s="37">
        <v>6020000</v>
      </c>
      <c r="J47" s="37">
        <v>7549780</v>
      </c>
      <c r="K47" s="37">
        <v>10927000</v>
      </c>
      <c r="L47" s="30" t="s">
        <v>124</v>
      </c>
      <c r="M47" s="27" t="s">
        <v>124</v>
      </c>
      <c r="N47" s="27" t="s">
        <v>124</v>
      </c>
      <c r="O47" s="27" t="s">
        <v>124</v>
      </c>
      <c r="P47" s="27" t="s">
        <v>124</v>
      </c>
      <c r="Q47" s="27" t="s">
        <v>124</v>
      </c>
      <c r="R47" s="27" t="s">
        <v>124</v>
      </c>
      <c r="S47" s="27" t="s">
        <v>124</v>
      </c>
      <c r="T47" s="27" t="s">
        <v>124</v>
      </c>
      <c r="U47" s="27" t="s">
        <v>124</v>
      </c>
      <c r="V47" s="27" t="s">
        <v>124</v>
      </c>
      <c r="W47" s="27" t="s">
        <v>124</v>
      </c>
      <c r="X47" s="27" t="s">
        <v>124</v>
      </c>
      <c r="Y47" s="27" t="s">
        <v>124</v>
      </c>
      <c r="Z47" s="27" t="s">
        <v>124</v>
      </c>
      <c r="AA47" s="27" t="s">
        <v>124</v>
      </c>
      <c r="AB47" s="27" t="s">
        <v>124</v>
      </c>
      <c r="AC47" s="27" t="s">
        <v>124</v>
      </c>
      <c r="AD47" s="27" t="s">
        <v>124</v>
      </c>
      <c r="AE47" s="27" t="s">
        <v>124</v>
      </c>
      <c r="AF47" s="27" t="s">
        <v>124</v>
      </c>
      <c r="AG47" s="27" t="s">
        <v>124</v>
      </c>
      <c r="AH47" s="27" t="s">
        <v>124</v>
      </c>
      <c r="AI47" s="27" t="s">
        <v>124</v>
      </c>
      <c r="AJ47" s="27" t="s">
        <v>124</v>
      </c>
      <c r="AK47" s="27" t="s">
        <v>124</v>
      </c>
      <c r="AL47" s="27" t="s">
        <v>124</v>
      </c>
      <c r="AM47" s="27" t="s">
        <v>124</v>
      </c>
      <c r="AN47" s="27" t="s">
        <v>124</v>
      </c>
      <c r="AO47" s="27" t="s">
        <v>124</v>
      </c>
      <c r="AP47" s="27"/>
      <c r="AQ47" s="27"/>
    </row>
    <row r="48" spans="1:43" x14ac:dyDescent="0.25">
      <c r="A48" s="29">
        <v>1</v>
      </c>
      <c r="C48" s="24" t="str">
        <f>"    Mean"</f>
        <v xml:space="preserve">    Mean</v>
      </c>
      <c r="D48" s="37">
        <v>11927034.865</v>
      </c>
      <c r="E48" s="37">
        <v>11138095.429</v>
      </c>
      <c r="F48" s="37">
        <v>13658763.578</v>
      </c>
      <c r="G48" s="37">
        <v>13367349.447000001</v>
      </c>
      <c r="H48" s="37">
        <v>7952350.7439999999</v>
      </c>
      <c r="I48" s="37">
        <v>8160641.9079999998</v>
      </c>
      <c r="J48" s="37">
        <v>10262829.444</v>
      </c>
      <c r="K48" s="37">
        <v>12132991.666999999</v>
      </c>
      <c r="L48" s="30" t="s">
        <v>124</v>
      </c>
      <c r="M48" s="27" t="s">
        <v>124</v>
      </c>
      <c r="N48" s="27" t="s">
        <v>124</v>
      </c>
      <c r="O48" s="27" t="s">
        <v>124</v>
      </c>
      <c r="P48" s="27" t="s">
        <v>124</v>
      </c>
      <c r="Q48" s="27" t="s">
        <v>124</v>
      </c>
      <c r="R48" s="27" t="s">
        <v>124</v>
      </c>
      <c r="S48" s="27" t="s">
        <v>124</v>
      </c>
      <c r="T48" s="27" t="s">
        <v>124</v>
      </c>
      <c r="U48" s="27" t="s">
        <v>124</v>
      </c>
      <c r="V48" s="27" t="s">
        <v>124</v>
      </c>
      <c r="W48" s="27" t="s">
        <v>124</v>
      </c>
      <c r="X48" s="27" t="s">
        <v>124</v>
      </c>
      <c r="Y48" s="27" t="s">
        <v>124</v>
      </c>
      <c r="Z48" s="27" t="s">
        <v>124</v>
      </c>
      <c r="AA48" s="27" t="s">
        <v>124</v>
      </c>
      <c r="AB48" s="27" t="s">
        <v>124</v>
      </c>
      <c r="AC48" s="27" t="s">
        <v>124</v>
      </c>
      <c r="AD48" s="27" t="s">
        <v>124</v>
      </c>
      <c r="AE48" s="27" t="s">
        <v>124</v>
      </c>
      <c r="AF48" s="27" t="s">
        <v>124</v>
      </c>
      <c r="AG48" s="27" t="s">
        <v>124</v>
      </c>
      <c r="AH48" s="27" t="s">
        <v>124</v>
      </c>
      <c r="AI48" s="27" t="s">
        <v>124</v>
      </c>
      <c r="AJ48" s="27" t="s">
        <v>124</v>
      </c>
      <c r="AK48" s="27" t="s">
        <v>124</v>
      </c>
      <c r="AL48" s="27" t="s">
        <v>124</v>
      </c>
      <c r="AM48" s="27" t="s">
        <v>124</v>
      </c>
      <c r="AN48" s="27" t="s">
        <v>124</v>
      </c>
      <c r="AO48" s="27" t="s">
        <v>124</v>
      </c>
      <c r="AP48" s="27"/>
      <c r="AQ48" s="27"/>
    </row>
    <row r="49" spans="1:43" x14ac:dyDescent="0.25">
      <c r="A49" s="29">
        <v>1</v>
      </c>
      <c r="C49" s="24" t="str">
        <f>"    Standard Deviation"</f>
        <v xml:space="preserve">    Standard Deviation</v>
      </c>
      <c r="D49" s="37">
        <v>2914150.34</v>
      </c>
      <c r="E49" s="37">
        <v>2503763.5989999999</v>
      </c>
      <c r="F49" s="37">
        <v>766735.35100000002</v>
      </c>
      <c r="G49" s="37">
        <v>972752.99399999995</v>
      </c>
      <c r="H49" s="37">
        <v>1675057.321</v>
      </c>
      <c r="I49" s="37">
        <v>975636.97100000002</v>
      </c>
      <c r="J49" s="37">
        <v>1355471.5249999999</v>
      </c>
      <c r="K49" s="37">
        <v>463212.44400000002</v>
      </c>
      <c r="L49" s="30" t="s">
        <v>124</v>
      </c>
      <c r="M49" s="27" t="s">
        <v>124</v>
      </c>
      <c r="N49" s="27" t="s">
        <v>124</v>
      </c>
      <c r="O49" s="27" t="s">
        <v>124</v>
      </c>
      <c r="P49" s="27" t="s">
        <v>124</v>
      </c>
      <c r="Q49" s="27" t="s">
        <v>124</v>
      </c>
      <c r="R49" s="27" t="s">
        <v>124</v>
      </c>
      <c r="S49" s="27" t="s">
        <v>124</v>
      </c>
      <c r="T49" s="27" t="s">
        <v>124</v>
      </c>
      <c r="U49" s="27" t="s">
        <v>124</v>
      </c>
      <c r="V49" s="27" t="s">
        <v>124</v>
      </c>
      <c r="W49" s="27" t="s">
        <v>124</v>
      </c>
      <c r="X49" s="27" t="s">
        <v>124</v>
      </c>
      <c r="Y49" s="27" t="s">
        <v>124</v>
      </c>
      <c r="Z49" s="27" t="s">
        <v>124</v>
      </c>
      <c r="AA49" s="27" t="s">
        <v>124</v>
      </c>
      <c r="AB49" s="27" t="s">
        <v>124</v>
      </c>
      <c r="AC49" s="27" t="s">
        <v>124</v>
      </c>
      <c r="AD49" s="27" t="s">
        <v>124</v>
      </c>
      <c r="AE49" s="27" t="s">
        <v>124</v>
      </c>
      <c r="AF49" s="27" t="s">
        <v>124</v>
      </c>
      <c r="AG49" s="27" t="s">
        <v>124</v>
      </c>
      <c r="AH49" s="27" t="s">
        <v>124</v>
      </c>
      <c r="AI49" s="27" t="s">
        <v>124</v>
      </c>
      <c r="AJ49" s="27" t="s">
        <v>124</v>
      </c>
      <c r="AK49" s="27" t="s">
        <v>124</v>
      </c>
      <c r="AL49" s="27" t="s">
        <v>124</v>
      </c>
      <c r="AM49" s="27" t="s">
        <v>124</v>
      </c>
      <c r="AN49" s="27" t="s">
        <v>124</v>
      </c>
      <c r="AO49" s="27" t="s">
        <v>124</v>
      </c>
      <c r="AP49" s="27"/>
      <c r="AQ49" s="27"/>
    </row>
    <row r="50" spans="1:43" x14ac:dyDescent="0.25">
      <c r="A50" s="29">
        <v>1</v>
      </c>
      <c r="C50" s="24" t="str">
        <f>"    Number of Estimates"</f>
        <v xml:space="preserve">    Number of Estimates</v>
      </c>
      <c r="D50" s="37">
        <v>15</v>
      </c>
      <c r="E50" s="37">
        <v>20</v>
      </c>
      <c r="F50" s="37">
        <v>17</v>
      </c>
      <c r="G50" s="37">
        <v>15</v>
      </c>
      <c r="H50" s="37">
        <v>14</v>
      </c>
      <c r="I50" s="37">
        <v>9</v>
      </c>
      <c r="J50" s="37">
        <v>18</v>
      </c>
      <c r="K50" s="37">
        <v>12</v>
      </c>
      <c r="L50" s="30" t="s">
        <v>124</v>
      </c>
      <c r="M50" s="27" t="s">
        <v>124</v>
      </c>
      <c r="N50" s="27" t="s">
        <v>124</v>
      </c>
      <c r="O50" s="27" t="s">
        <v>124</v>
      </c>
      <c r="P50" s="27" t="s">
        <v>124</v>
      </c>
      <c r="Q50" s="27" t="s">
        <v>124</v>
      </c>
      <c r="R50" s="27" t="s">
        <v>124</v>
      </c>
      <c r="S50" s="27" t="s">
        <v>124</v>
      </c>
      <c r="T50" s="27" t="s">
        <v>124</v>
      </c>
      <c r="U50" s="27" t="s">
        <v>124</v>
      </c>
      <c r="V50" s="27" t="s">
        <v>124</v>
      </c>
      <c r="W50" s="27" t="s">
        <v>124</v>
      </c>
      <c r="X50" s="27" t="s">
        <v>124</v>
      </c>
      <c r="Y50" s="27" t="s">
        <v>124</v>
      </c>
      <c r="Z50" s="27" t="s">
        <v>124</v>
      </c>
      <c r="AA50" s="27" t="s">
        <v>124</v>
      </c>
      <c r="AB50" s="27" t="s">
        <v>124</v>
      </c>
      <c r="AC50" s="27" t="s">
        <v>124</v>
      </c>
      <c r="AD50" s="27" t="s">
        <v>124</v>
      </c>
      <c r="AE50" s="27" t="s">
        <v>124</v>
      </c>
      <c r="AF50" s="27" t="s">
        <v>124</v>
      </c>
      <c r="AG50" s="27" t="s">
        <v>124</v>
      </c>
      <c r="AH50" s="27" t="s">
        <v>124</v>
      </c>
      <c r="AI50" s="27" t="s">
        <v>124</v>
      </c>
      <c r="AJ50" s="27" t="s">
        <v>124</v>
      </c>
      <c r="AK50" s="27" t="s">
        <v>124</v>
      </c>
      <c r="AL50" s="27" t="s">
        <v>124</v>
      </c>
      <c r="AM50" s="27" t="s">
        <v>124</v>
      </c>
      <c r="AN50" s="27" t="s">
        <v>124</v>
      </c>
      <c r="AO50" s="27" t="s">
        <v>124</v>
      </c>
      <c r="AP50" s="27"/>
      <c r="AQ50" s="27"/>
    </row>
    <row r="51" spans="1:43" x14ac:dyDescent="0.25">
      <c r="A51" s="29">
        <v>1</v>
      </c>
      <c r="C51" s="26" t="str">
        <f>"Free Cash Flow"</f>
        <v>Free Cash Flow</v>
      </c>
      <c r="D51" s="44" t="s">
        <v>124</v>
      </c>
      <c r="E51" s="44" t="s">
        <v>124</v>
      </c>
      <c r="F51" s="44" t="s">
        <v>124</v>
      </c>
      <c r="G51" s="44" t="s">
        <v>124</v>
      </c>
      <c r="H51" s="44" t="s">
        <v>124</v>
      </c>
      <c r="I51" s="44" t="s">
        <v>124</v>
      </c>
      <c r="J51" s="44" t="s">
        <v>124</v>
      </c>
      <c r="K51" s="44" t="s">
        <v>124</v>
      </c>
      <c r="L51" s="30" t="s">
        <v>124</v>
      </c>
      <c r="M51" s="27" t="s">
        <v>124</v>
      </c>
      <c r="N51" s="27" t="s">
        <v>124</v>
      </c>
      <c r="O51" s="27" t="s">
        <v>124</v>
      </c>
      <c r="P51" s="27" t="s">
        <v>124</v>
      </c>
      <c r="Q51" s="27" t="s">
        <v>124</v>
      </c>
      <c r="R51" s="27" t="s">
        <v>124</v>
      </c>
      <c r="S51" s="27" t="s">
        <v>124</v>
      </c>
      <c r="T51" s="27" t="s">
        <v>124</v>
      </c>
      <c r="U51" s="27" t="s">
        <v>124</v>
      </c>
      <c r="V51" s="27" t="s">
        <v>124</v>
      </c>
      <c r="W51" s="27" t="s">
        <v>124</v>
      </c>
      <c r="X51" s="27" t="s">
        <v>124</v>
      </c>
      <c r="Y51" s="27" t="s">
        <v>124</v>
      </c>
      <c r="Z51" s="27" t="s">
        <v>124</v>
      </c>
      <c r="AA51" s="27" t="s">
        <v>124</v>
      </c>
      <c r="AB51" s="27" t="s">
        <v>124</v>
      </c>
      <c r="AC51" s="27" t="s">
        <v>124</v>
      </c>
      <c r="AD51" s="27" t="s">
        <v>124</v>
      </c>
      <c r="AE51" s="27" t="s">
        <v>124</v>
      </c>
      <c r="AF51" s="27" t="s">
        <v>124</v>
      </c>
      <c r="AG51" s="27" t="s">
        <v>124</v>
      </c>
      <c r="AH51" s="27" t="s">
        <v>124</v>
      </c>
      <c r="AI51" s="27" t="s">
        <v>124</v>
      </c>
      <c r="AJ51" s="27" t="s">
        <v>124</v>
      </c>
      <c r="AK51" s="27" t="s">
        <v>124</v>
      </c>
      <c r="AL51" s="27" t="s">
        <v>124</v>
      </c>
      <c r="AM51" s="27" t="s">
        <v>124</v>
      </c>
      <c r="AN51" s="27" t="s">
        <v>124</v>
      </c>
      <c r="AO51" s="27" t="s">
        <v>124</v>
      </c>
      <c r="AP51" s="27"/>
      <c r="AQ51" s="27"/>
    </row>
    <row r="52" spans="1:43" x14ac:dyDescent="0.25">
      <c r="A52" s="29">
        <v>1</v>
      </c>
      <c r="C52" s="24" t="str">
        <f>"    Actual"</f>
        <v xml:space="preserve">    Actual</v>
      </c>
      <c r="D52" s="37" t="s">
        <v>124</v>
      </c>
      <c r="E52" s="37" t="s">
        <v>124</v>
      </c>
      <c r="F52" s="37" t="s">
        <v>124</v>
      </c>
      <c r="G52" s="37">
        <v>-3557000</v>
      </c>
      <c r="H52" s="37">
        <v>-3464000</v>
      </c>
      <c r="I52" s="37">
        <v>-5186000</v>
      </c>
      <c r="J52" s="37">
        <v>-8865000</v>
      </c>
      <c r="K52" s="37">
        <v>-7280000</v>
      </c>
      <c r="L52" s="30" t="s">
        <v>124</v>
      </c>
      <c r="M52" s="27" t="s">
        <v>124</v>
      </c>
      <c r="N52" s="27" t="s">
        <v>124</v>
      </c>
      <c r="O52" s="27" t="s">
        <v>124</v>
      </c>
      <c r="P52" s="27" t="s">
        <v>124</v>
      </c>
      <c r="Q52" s="27" t="s">
        <v>124</v>
      </c>
      <c r="R52" s="27" t="s">
        <v>124</v>
      </c>
      <c r="S52" s="27" t="s">
        <v>124</v>
      </c>
      <c r="T52" s="27" t="s">
        <v>124</v>
      </c>
      <c r="U52" s="27" t="s">
        <v>124</v>
      </c>
      <c r="V52" s="27" t="s">
        <v>124</v>
      </c>
      <c r="W52" s="27" t="s">
        <v>124</v>
      </c>
      <c r="X52" s="27" t="s">
        <v>124</v>
      </c>
      <c r="Y52" s="27" t="s">
        <v>124</v>
      </c>
      <c r="Z52" s="27" t="s">
        <v>124</v>
      </c>
      <c r="AA52" s="27" t="s">
        <v>124</v>
      </c>
      <c r="AB52" s="27" t="s">
        <v>124</v>
      </c>
      <c r="AC52" s="27" t="s">
        <v>124</v>
      </c>
      <c r="AD52" s="27" t="s">
        <v>124</v>
      </c>
      <c r="AE52" s="27" t="s">
        <v>124</v>
      </c>
      <c r="AF52" s="27" t="s">
        <v>124</v>
      </c>
      <c r="AG52" s="27" t="s">
        <v>124</v>
      </c>
      <c r="AH52" s="27" t="s">
        <v>124</v>
      </c>
      <c r="AI52" s="27" t="s">
        <v>124</v>
      </c>
      <c r="AJ52" s="27" t="s">
        <v>124</v>
      </c>
      <c r="AK52" s="27" t="s">
        <v>124</v>
      </c>
      <c r="AL52" s="27" t="s">
        <v>124</v>
      </c>
      <c r="AM52" s="27" t="s">
        <v>124</v>
      </c>
      <c r="AN52" s="27" t="s">
        <v>124</v>
      </c>
      <c r="AO52" s="27" t="s">
        <v>124</v>
      </c>
      <c r="AP52" s="27"/>
      <c r="AQ52" s="27"/>
    </row>
    <row r="53" spans="1:43" x14ac:dyDescent="0.25">
      <c r="A53" s="29">
        <v>1</v>
      </c>
      <c r="C53" s="24" t="str">
        <f>"    Median"</f>
        <v xml:space="preserve">    Median</v>
      </c>
      <c r="D53" s="37">
        <v>6472000</v>
      </c>
      <c r="E53" s="37">
        <v>5866000</v>
      </c>
      <c r="F53" s="37">
        <v>7105050</v>
      </c>
      <c r="G53" s="37">
        <v>746500</v>
      </c>
      <c r="H53" s="37">
        <v>2268000</v>
      </c>
      <c r="I53" s="37">
        <v>1100000</v>
      </c>
      <c r="J53" s="37">
        <v>2229000</v>
      </c>
      <c r="K53" s="37">
        <v>5762000</v>
      </c>
      <c r="L53" s="30" t="s">
        <v>124</v>
      </c>
      <c r="M53" s="27" t="s">
        <v>124</v>
      </c>
      <c r="N53" s="27" t="s">
        <v>124</v>
      </c>
      <c r="O53" s="27" t="s">
        <v>124</v>
      </c>
      <c r="P53" s="27" t="s">
        <v>124</v>
      </c>
      <c r="Q53" s="27" t="s">
        <v>124</v>
      </c>
      <c r="R53" s="27" t="s">
        <v>124</v>
      </c>
      <c r="S53" s="27" t="s">
        <v>124</v>
      </c>
      <c r="T53" s="27" t="s">
        <v>124</v>
      </c>
      <c r="U53" s="27" t="s">
        <v>124</v>
      </c>
      <c r="V53" s="27" t="s">
        <v>124</v>
      </c>
      <c r="W53" s="27" t="s">
        <v>124</v>
      </c>
      <c r="X53" s="27" t="s">
        <v>124</v>
      </c>
      <c r="Y53" s="27" t="s">
        <v>124</v>
      </c>
      <c r="Z53" s="27" t="s">
        <v>124</v>
      </c>
      <c r="AA53" s="27" t="s">
        <v>124</v>
      </c>
      <c r="AB53" s="27" t="s">
        <v>124</v>
      </c>
      <c r="AC53" s="27" t="s">
        <v>124</v>
      </c>
      <c r="AD53" s="27" t="s">
        <v>124</v>
      </c>
      <c r="AE53" s="27" t="s">
        <v>124</v>
      </c>
      <c r="AF53" s="27" t="s">
        <v>124</v>
      </c>
      <c r="AG53" s="27" t="s">
        <v>124</v>
      </c>
      <c r="AH53" s="27" t="s">
        <v>124</v>
      </c>
      <c r="AI53" s="27" t="s">
        <v>124</v>
      </c>
      <c r="AJ53" s="27" t="s">
        <v>124</v>
      </c>
      <c r="AK53" s="27" t="s">
        <v>124</v>
      </c>
      <c r="AL53" s="27" t="s">
        <v>124</v>
      </c>
      <c r="AM53" s="27" t="s">
        <v>124</v>
      </c>
      <c r="AN53" s="27" t="s">
        <v>124</v>
      </c>
      <c r="AO53" s="27" t="s">
        <v>124</v>
      </c>
      <c r="AP53" s="27"/>
      <c r="AQ53" s="27"/>
    </row>
    <row r="54" spans="1:43" x14ac:dyDescent="0.25">
      <c r="A54" s="29">
        <v>1</v>
      </c>
      <c r="C54" s="24" t="str">
        <f>"    High"</f>
        <v xml:space="preserve">    High</v>
      </c>
      <c r="D54" s="37">
        <v>11839900</v>
      </c>
      <c r="E54" s="37">
        <v>10470000</v>
      </c>
      <c r="F54" s="37">
        <v>8045000</v>
      </c>
      <c r="G54" s="37">
        <v>1950000</v>
      </c>
      <c r="H54" s="37">
        <v>3320000</v>
      </c>
      <c r="I54" s="37">
        <v>1100000</v>
      </c>
      <c r="J54" s="37">
        <v>4001000</v>
      </c>
      <c r="K54" s="37">
        <v>7346000</v>
      </c>
      <c r="L54" s="30" t="s">
        <v>124</v>
      </c>
      <c r="M54" s="27" t="s">
        <v>124</v>
      </c>
      <c r="N54" s="27" t="s">
        <v>124</v>
      </c>
      <c r="O54" s="27" t="s">
        <v>124</v>
      </c>
      <c r="P54" s="27" t="s">
        <v>124</v>
      </c>
      <c r="Q54" s="27" t="s">
        <v>124</v>
      </c>
      <c r="R54" s="27" t="s">
        <v>124</v>
      </c>
      <c r="S54" s="27" t="s">
        <v>124</v>
      </c>
      <c r="T54" s="27" t="s">
        <v>124</v>
      </c>
      <c r="U54" s="27" t="s">
        <v>124</v>
      </c>
      <c r="V54" s="27" t="s">
        <v>124</v>
      </c>
      <c r="W54" s="27" t="s">
        <v>124</v>
      </c>
      <c r="X54" s="27" t="s">
        <v>124</v>
      </c>
      <c r="Y54" s="27" t="s">
        <v>124</v>
      </c>
      <c r="Z54" s="27" t="s">
        <v>124</v>
      </c>
      <c r="AA54" s="27" t="s">
        <v>124</v>
      </c>
      <c r="AB54" s="27" t="s">
        <v>124</v>
      </c>
      <c r="AC54" s="27" t="s">
        <v>124</v>
      </c>
      <c r="AD54" s="27" t="s">
        <v>124</v>
      </c>
      <c r="AE54" s="27" t="s">
        <v>124</v>
      </c>
      <c r="AF54" s="27" t="s">
        <v>124</v>
      </c>
      <c r="AG54" s="27" t="s">
        <v>124</v>
      </c>
      <c r="AH54" s="27" t="s">
        <v>124</v>
      </c>
      <c r="AI54" s="27" t="s">
        <v>124</v>
      </c>
      <c r="AJ54" s="27" t="s">
        <v>124</v>
      </c>
      <c r="AK54" s="27" t="s">
        <v>124</v>
      </c>
      <c r="AL54" s="27" t="s">
        <v>124</v>
      </c>
      <c r="AM54" s="27" t="s">
        <v>124</v>
      </c>
      <c r="AN54" s="27" t="s">
        <v>124</v>
      </c>
      <c r="AO54" s="27" t="s">
        <v>124</v>
      </c>
      <c r="AP54" s="27"/>
      <c r="AQ54" s="27"/>
    </row>
    <row r="55" spans="1:43" x14ac:dyDescent="0.25">
      <c r="A55" s="29">
        <v>1</v>
      </c>
      <c r="C55" s="24" t="str">
        <f>"    Low"</f>
        <v xml:space="preserve">    Low</v>
      </c>
      <c r="D55" s="37">
        <v>4223000</v>
      </c>
      <c r="E55" s="37">
        <v>2897000</v>
      </c>
      <c r="F55" s="37">
        <v>5282000</v>
      </c>
      <c r="G55" s="37">
        <v>-404000</v>
      </c>
      <c r="H55" s="37">
        <v>1251000</v>
      </c>
      <c r="I55" s="37">
        <v>1100000</v>
      </c>
      <c r="J55" s="37">
        <v>815000</v>
      </c>
      <c r="K55" s="37">
        <v>3700000</v>
      </c>
      <c r="L55" s="30" t="s">
        <v>124</v>
      </c>
      <c r="M55" s="27" t="s">
        <v>124</v>
      </c>
      <c r="N55" s="27" t="s">
        <v>124</v>
      </c>
      <c r="O55" s="27" t="s">
        <v>124</v>
      </c>
      <c r="P55" s="27" t="s">
        <v>124</v>
      </c>
      <c r="Q55" s="27" t="s">
        <v>124</v>
      </c>
      <c r="R55" s="27" t="s">
        <v>124</v>
      </c>
      <c r="S55" s="27" t="s">
        <v>124</v>
      </c>
      <c r="T55" s="27" t="s">
        <v>124</v>
      </c>
      <c r="U55" s="27" t="s">
        <v>124</v>
      </c>
      <c r="V55" s="27" t="s">
        <v>124</v>
      </c>
      <c r="W55" s="27" t="s">
        <v>124</v>
      </c>
      <c r="X55" s="27" t="s">
        <v>124</v>
      </c>
      <c r="Y55" s="27" t="s">
        <v>124</v>
      </c>
      <c r="Z55" s="27" t="s">
        <v>124</v>
      </c>
      <c r="AA55" s="27" t="s">
        <v>124</v>
      </c>
      <c r="AB55" s="27" t="s">
        <v>124</v>
      </c>
      <c r="AC55" s="27" t="s">
        <v>124</v>
      </c>
      <c r="AD55" s="27" t="s">
        <v>124</v>
      </c>
      <c r="AE55" s="27" t="s">
        <v>124</v>
      </c>
      <c r="AF55" s="27" t="s">
        <v>124</v>
      </c>
      <c r="AG55" s="27" t="s">
        <v>124</v>
      </c>
      <c r="AH55" s="27" t="s">
        <v>124</v>
      </c>
      <c r="AI55" s="27" t="s">
        <v>124</v>
      </c>
      <c r="AJ55" s="27" t="s">
        <v>124</v>
      </c>
      <c r="AK55" s="27" t="s">
        <v>124</v>
      </c>
      <c r="AL55" s="27" t="s">
        <v>124</v>
      </c>
      <c r="AM55" s="27" t="s">
        <v>124</v>
      </c>
      <c r="AN55" s="27" t="s">
        <v>124</v>
      </c>
      <c r="AO55" s="27" t="s">
        <v>124</v>
      </c>
      <c r="AP55" s="27"/>
      <c r="AQ55" s="27"/>
    </row>
    <row r="56" spans="1:43" x14ac:dyDescent="0.25">
      <c r="A56" s="29">
        <v>1</v>
      </c>
      <c r="C56" s="24" t="str">
        <f>"    Mean"</f>
        <v xml:space="preserve">    Mean</v>
      </c>
      <c r="D56" s="37">
        <v>6711842.8569999998</v>
      </c>
      <c r="E56" s="37">
        <v>6265130</v>
      </c>
      <c r="F56" s="37">
        <v>7012210</v>
      </c>
      <c r="G56" s="37">
        <v>822316.06499999994</v>
      </c>
      <c r="H56" s="37">
        <v>2353000</v>
      </c>
      <c r="I56" s="37">
        <v>1100000</v>
      </c>
      <c r="J56" s="37">
        <v>2333318.182</v>
      </c>
      <c r="K56" s="37">
        <v>5675111.1109999996</v>
      </c>
      <c r="L56" s="30" t="s">
        <v>124</v>
      </c>
      <c r="M56" s="27" t="s">
        <v>124</v>
      </c>
      <c r="N56" s="27" t="s">
        <v>124</v>
      </c>
      <c r="O56" s="27" t="s">
        <v>124</v>
      </c>
      <c r="P56" s="27" t="s">
        <v>124</v>
      </c>
      <c r="Q56" s="27" t="s">
        <v>124</v>
      </c>
      <c r="R56" s="27" t="s">
        <v>124</v>
      </c>
      <c r="S56" s="27" t="s">
        <v>124</v>
      </c>
      <c r="T56" s="27" t="s">
        <v>124</v>
      </c>
      <c r="U56" s="27" t="s">
        <v>124</v>
      </c>
      <c r="V56" s="27" t="s">
        <v>124</v>
      </c>
      <c r="W56" s="27" t="s">
        <v>124</v>
      </c>
      <c r="X56" s="27" t="s">
        <v>124</v>
      </c>
      <c r="Y56" s="27" t="s">
        <v>124</v>
      </c>
      <c r="Z56" s="27" t="s">
        <v>124</v>
      </c>
      <c r="AA56" s="27" t="s">
        <v>124</v>
      </c>
      <c r="AB56" s="27" t="s">
        <v>124</v>
      </c>
      <c r="AC56" s="27" t="s">
        <v>124</v>
      </c>
      <c r="AD56" s="27" t="s">
        <v>124</v>
      </c>
      <c r="AE56" s="27" t="s">
        <v>124</v>
      </c>
      <c r="AF56" s="27" t="s">
        <v>124</v>
      </c>
      <c r="AG56" s="27" t="s">
        <v>124</v>
      </c>
      <c r="AH56" s="27" t="s">
        <v>124</v>
      </c>
      <c r="AI56" s="27" t="s">
        <v>124</v>
      </c>
      <c r="AJ56" s="27" t="s">
        <v>124</v>
      </c>
      <c r="AK56" s="27" t="s">
        <v>124</v>
      </c>
      <c r="AL56" s="27" t="s">
        <v>124</v>
      </c>
      <c r="AM56" s="27" t="s">
        <v>124</v>
      </c>
      <c r="AN56" s="27" t="s">
        <v>124</v>
      </c>
      <c r="AO56" s="27" t="s">
        <v>124</v>
      </c>
      <c r="AP56" s="27"/>
      <c r="AQ56" s="27"/>
    </row>
    <row r="57" spans="1:43" x14ac:dyDescent="0.25">
      <c r="A57" s="29">
        <v>1</v>
      </c>
      <c r="C57" s="24" t="str">
        <f>"    Standard Deviation"</f>
        <v xml:space="preserve">    Standard Deviation</v>
      </c>
      <c r="D57" s="37">
        <v>2515456.5269999998</v>
      </c>
      <c r="E57" s="37">
        <v>2416231.7480000001</v>
      </c>
      <c r="F57" s="37">
        <v>835240.48199999996</v>
      </c>
      <c r="G57" s="37">
        <v>728533.71299999999</v>
      </c>
      <c r="H57" s="37">
        <v>572209.50199999998</v>
      </c>
      <c r="I57" s="37" t="s">
        <v>124</v>
      </c>
      <c r="J57" s="37">
        <v>1302966.7779999999</v>
      </c>
      <c r="K57" s="37">
        <v>978926.51</v>
      </c>
      <c r="L57" s="30" t="s">
        <v>124</v>
      </c>
      <c r="M57" s="27" t="s">
        <v>124</v>
      </c>
      <c r="N57" s="27" t="s">
        <v>124</v>
      </c>
      <c r="O57" s="27" t="s">
        <v>124</v>
      </c>
      <c r="P57" s="27" t="s">
        <v>124</v>
      </c>
      <c r="Q57" s="27" t="s">
        <v>124</v>
      </c>
      <c r="R57" s="27" t="s">
        <v>124</v>
      </c>
      <c r="S57" s="27" t="s">
        <v>124</v>
      </c>
      <c r="T57" s="27" t="s">
        <v>124</v>
      </c>
      <c r="U57" s="27" t="s">
        <v>124</v>
      </c>
      <c r="V57" s="27" t="s">
        <v>124</v>
      </c>
      <c r="W57" s="27" t="s">
        <v>124</v>
      </c>
      <c r="X57" s="27" t="s">
        <v>124</v>
      </c>
      <c r="Y57" s="27" t="s">
        <v>124</v>
      </c>
      <c r="Z57" s="27" t="s">
        <v>124</v>
      </c>
      <c r="AA57" s="27" t="s">
        <v>124</v>
      </c>
      <c r="AB57" s="27" t="s">
        <v>124</v>
      </c>
      <c r="AC57" s="27" t="s">
        <v>124</v>
      </c>
      <c r="AD57" s="27" t="s">
        <v>124</v>
      </c>
      <c r="AE57" s="27" t="s">
        <v>124</v>
      </c>
      <c r="AF57" s="27" t="s">
        <v>124</v>
      </c>
      <c r="AG57" s="27" t="s">
        <v>124</v>
      </c>
      <c r="AH57" s="27" t="s">
        <v>124</v>
      </c>
      <c r="AI57" s="27" t="s">
        <v>124</v>
      </c>
      <c r="AJ57" s="27" t="s">
        <v>124</v>
      </c>
      <c r="AK57" s="27" t="s">
        <v>124</v>
      </c>
      <c r="AL57" s="27" t="s">
        <v>124</v>
      </c>
      <c r="AM57" s="27" t="s">
        <v>124</v>
      </c>
      <c r="AN57" s="27" t="s">
        <v>124</v>
      </c>
      <c r="AO57" s="27" t="s">
        <v>124</v>
      </c>
      <c r="AP57" s="27"/>
      <c r="AQ57" s="27"/>
    </row>
    <row r="58" spans="1:43" x14ac:dyDescent="0.25">
      <c r="A58" s="29">
        <v>1</v>
      </c>
      <c r="C58" s="24" t="str">
        <f>"    Number of Estimates"</f>
        <v xml:space="preserve">    Number of Estimates</v>
      </c>
      <c r="D58" s="37">
        <v>7</v>
      </c>
      <c r="E58" s="37">
        <v>10</v>
      </c>
      <c r="F58" s="37">
        <v>10</v>
      </c>
      <c r="G58" s="37">
        <v>8</v>
      </c>
      <c r="H58" s="37">
        <v>8</v>
      </c>
      <c r="I58" s="37">
        <v>1</v>
      </c>
      <c r="J58" s="37">
        <v>11</v>
      </c>
      <c r="K58" s="37">
        <v>9</v>
      </c>
      <c r="L58" s="30" t="s">
        <v>124</v>
      </c>
      <c r="M58" s="27" t="s">
        <v>124</v>
      </c>
      <c r="N58" s="27" t="s">
        <v>124</v>
      </c>
      <c r="O58" s="27" t="s">
        <v>124</v>
      </c>
      <c r="P58" s="27" t="s">
        <v>124</v>
      </c>
      <c r="Q58" s="27" t="s">
        <v>124</v>
      </c>
      <c r="R58" s="27" t="s">
        <v>124</v>
      </c>
      <c r="S58" s="27" t="s">
        <v>124</v>
      </c>
      <c r="T58" s="27" t="s">
        <v>124</v>
      </c>
      <c r="U58" s="27" t="s">
        <v>124</v>
      </c>
      <c r="V58" s="27" t="s">
        <v>124</v>
      </c>
      <c r="W58" s="27" t="s">
        <v>124</v>
      </c>
      <c r="X58" s="27" t="s">
        <v>124</v>
      </c>
      <c r="Y58" s="27" t="s">
        <v>124</v>
      </c>
      <c r="Z58" s="27" t="s">
        <v>124</v>
      </c>
      <c r="AA58" s="27" t="s">
        <v>124</v>
      </c>
      <c r="AB58" s="27" t="s">
        <v>124</v>
      </c>
      <c r="AC58" s="27" t="s">
        <v>124</v>
      </c>
      <c r="AD58" s="27" t="s">
        <v>124</v>
      </c>
      <c r="AE58" s="27" t="s">
        <v>124</v>
      </c>
      <c r="AF58" s="27" t="s">
        <v>124</v>
      </c>
      <c r="AG58" s="27" t="s">
        <v>124</v>
      </c>
      <c r="AH58" s="27" t="s">
        <v>124</v>
      </c>
      <c r="AI58" s="27" t="s">
        <v>124</v>
      </c>
      <c r="AJ58" s="27" t="s">
        <v>124</v>
      </c>
      <c r="AK58" s="27" t="s">
        <v>124</v>
      </c>
      <c r="AL58" s="27" t="s">
        <v>124</v>
      </c>
      <c r="AM58" s="27" t="s">
        <v>124</v>
      </c>
      <c r="AN58" s="27" t="s">
        <v>124</v>
      </c>
      <c r="AO58" s="27" t="s">
        <v>124</v>
      </c>
      <c r="AP58" s="27"/>
      <c r="AQ58" s="27"/>
    </row>
    <row r="59" spans="1:43" x14ac:dyDescent="0.25">
      <c r="A59" s="29">
        <v>1</v>
      </c>
      <c r="C59" s="26" t="str">
        <f>"Capital Expenditure"</f>
        <v>Capital Expenditure</v>
      </c>
      <c r="D59" s="44" t="s">
        <v>124</v>
      </c>
      <c r="E59" s="44" t="s">
        <v>124</v>
      </c>
      <c r="F59" s="44" t="s">
        <v>124</v>
      </c>
      <c r="G59" s="44" t="s">
        <v>124</v>
      </c>
      <c r="H59" s="44" t="s">
        <v>124</v>
      </c>
      <c r="I59" s="44" t="s">
        <v>124</v>
      </c>
      <c r="J59" s="44" t="s">
        <v>124</v>
      </c>
      <c r="K59" s="44" t="s">
        <v>124</v>
      </c>
      <c r="L59" s="30" t="s">
        <v>124</v>
      </c>
      <c r="M59" s="27" t="s">
        <v>124</v>
      </c>
      <c r="N59" s="27" t="s">
        <v>124</v>
      </c>
      <c r="O59" s="27" t="s">
        <v>124</v>
      </c>
      <c r="P59" s="27" t="s">
        <v>124</v>
      </c>
      <c r="Q59" s="27" t="s">
        <v>124</v>
      </c>
      <c r="R59" s="27" t="s">
        <v>124</v>
      </c>
      <c r="S59" s="27" t="s">
        <v>124</v>
      </c>
      <c r="T59" s="27" t="s">
        <v>124</v>
      </c>
      <c r="U59" s="27" t="s">
        <v>124</v>
      </c>
      <c r="V59" s="27" t="s">
        <v>124</v>
      </c>
      <c r="W59" s="27" t="s">
        <v>124</v>
      </c>
      <c r="X59" s="27" t="s">
        <v>124</v>
      </c>
      <c r="Y59" s="27" t="s">
        <v>124</v>
      </c>
      <c r="Z59" s="27" t="s">
        <v>124</v>
      </c>
      <c r="AA59" s="27" t="s">
        <v>124</v>
      </c>
      <c r="AB59" s="27" t="s">
        <v>124</v>
      </c>
      <c r="AC59" s="27" t="s">
        <v>124</v>
      </c>
      <c r="AD59" s="27" t="s">
        <v>124</v>
      </c>
      <c r="AE59" s="27" t="s">
        <v>124</v>
      </c>
      <c r="AF59" s="27" t="s">
        <v>124</v>
      </c>
      <c r="AG59" s="27" t="s">
        <v>124</v>
      </c>
      <c r="AH59" s="27" t="s">
        <v>124</v>
      </c>
      <c r="AI59" s="27" t="s">
        <v>124</v>
      </c>
      <c r="AJ59" s="27" t="s">
        <v>124</v>
      </c>
      <c r="AK59" s="27" t="s">
        <v>124</v>
      </c>
      <c r="AL59" s="27" t="s">
        <v>124</v>
      </c>
      <c r="AM59" s="27" t="s">
        <v>124</v>
      </c>
      <c r="AN59" s="27" t="s">
        <v>124</v>
      </c>
      <c r="AO59" s="27" t="s">
        <v>124</v>
      </c>
      <c r="AP59" s="27"/>
      <c r="AQ59" s="27"/>
    </row>
    <row r="60" spans="1:43" x14ac:dyDescent="0.25">
      <c r="A60" s="29">
        <v>1</v>
      </c>
      <c r="C60" s="24" t="str">
        <f>"    Actual"</f>
        <v xml:space="preserve">    Actual</v>
      </c>
      <c r="D60" s="37" t="s">
        <v>124</v>
      </c>
      <c r="E60" s="37" t="s">
        <v>124</v>
      </c>
      <c r="F60" s="37" t="s">
        <v>124</v>
      </c>
      <c r="G60" s="37">
        <v>-7509000</v>
      </c>
      <c r="H60" s="37">
        <v>-5300000</v>
      </c>
      <c r="I60" s="37">
        <v>-7592000</v>
      </c>
      <c r="J60" s="37">
        <v>-8761000</v>
      </c>
      <c r="K60" s="37">
        <v>-8453000</v>
      </c>
      <c r="L60" s="30" t="s">
        <v>124</v>
      </c>
      <c r="M60" s="27" t="s">
        <v>124</v>
      </c>
      <c r="N60" s="27" t="s">
        <v>124</v>
      </c>
      <c r="O60" s="27" t="s">
        <v>124</v>
      </c>
      <c r="P60" s="27" t="s">
        <v>124</v>
      </c>
      <c r="Q60" s="27" t="s">
        <v>124</v>
      </c>
      <c r="R60" s="27" t="s">
        <v>124</v>
      </c>
      <c r="S60" s="27" t="s">
        <v>124</v>
      </c>
      <c r="T60" s="27" t="s">
        <v>124</v>
      </c>
      <c r="U60" s="27" t="s">
        <v>124</v>
      </c>
      <c r="V60" s="27" t="s">
        <v>124</v>
      </c>
      <c r="W60" s="27" t="s">
        <v>124</v>
      </c>
      <c r="X60" s="27" t="s">
        <v>124</v>
      </c>
      <c r="Y60" s="27" t="s">
        <v>124</v>
      </c>
      <c r="Z60" s="27" t="s">
        <v>124</v>
      </c>
      <c r="AA60" s="27" t="s">
        <v>124</v>
      </c>
      <c r="AB60" s="27" t="s">
        <v>124</v>
      </c>
      <c r="AC60" s="27" t="s">
        <v>124</v>
      </c>
      <c r="AD60" s="27" t="s">
        <v>124</v>
      </c>
      <c r="AE60" s="27" t="s">
        <v>124</v>
      </c>
      <c r="AF60" s="27" t="s">
        <v>124</v>
      </c>
      <c r="AG60" s="27" t="s">
        <v>124</v>
      </c>
      <c r="AH60" s="27" t="s">
        <v>124</v>
      </c>
      <c r="AI60" s="27" t="s">
        <v>124</v>
      </c>
      <c r="AJ60" s="27" t="s">
        <v>124</v>
      </c>
      <c r="AK60" s="27" t="s">
        <v>124</v>
      </c>
      <c r="AL60" s="27" t="s">
        <v>124</v>
      </c>
      <c r="AM60" s="27" t="s">
        <v>124</v>
      </c>
      <c r="AN60" s="27" t="s">
        <v>124</v>
      </c>
      <c r="AO60" s="27" t="s">
        <v>124</v>
      </c>
      <c r="AP60" s="27"/>
      <c r="AQ60" s="27"/>
    </row>
    <row r="61" spans="1:43" x14ac:dyDescent="0.25">
      <c r="A61" s="29">
        <v>1</v>
      </c>
      <c r="C61" s="24" t="str">
        <f>"    Median"</f>
        <v xml:space="preserve">    Median</v>
      </c>
      <c r="D61" s="37">
        <v>10105500</v>
      </c>
      <c r="E61" s="37">
        <v>10000000</v>
      </c>
      <c r="F61" s="37">
        <v>9316500</v>
      </c>
      <c r="G61" s="37">
        <v>8051452.6299999999</v>
      </c>
      <c r="H61" s="37">
        <v>5266000</v>
      </c>
      <c r="I61" s="37">
        <v>7545000</v>
      </c>
      <c r="J61" s="37">
        <v>8511000</v>
      </c>
      <c r="K61" s="37">
        <v>8150000</v>
      </c>
      <c r="L61" s="30" t="s">
        <v>124</v>
      </c>
      <c r="M61" s="27" t="s">
        <v>124</v>
      </c>
      <c r="N61" s="27" t="s">
        <v>124</v>
      </c>
      <c r="O61" s="27" t="s">
        <v>124</v>
      </c>
      <c r="P61" s="27" t="s">
        <v>124</v>
      </c>
      <c r="Q61" s="27" t="s">
        <v>124</v>
      </c>
      <c r="R61" s="27" t="s">
        <v>124</v>
      </c>
      <c r="S61" s="27" t="s">
        <v>124</v>
      </c>
      <c r="T61" s="27" t="s">
        <v>124</v>
      </c>
      <c r="U61" s="27" t="s">
        <v>124</v>
      </c>
      <c r="V61" s="27" t="s">
        <v>124</v>
      </c>
      <c r="W61" s="27" t="s">
        <v>124</v>
      </c>
      <c r="X61" s="27" t="s">
        <v>124</v>
      </c>
      <c r="Y61" s="27" t="s">
        <v>124</v>
      </c>
      <c r="Z61" s="27" t="s">
        <v>124</v>
      </c>
      <c r="AA61" s="27" t="s">
        <v>124</v>
      </c>
      <c r="AB61" s="27" t="s">
        <v>124</v>
      </c>
      <c r="AC61" s="27" t="s">
        <v>124</v>
      </c>
      <c r="AD61" s="27" t="s">
        <v>124</v>
      </c>
      <c r="AE61" s="27" t="s">
        <v>124</v>
      </c>
      <c r="AF61" s="27" t="s">
        <v>124</v>
      </c>
      <c r="AG61" s="27" t="s">
        <v>124</v>
      </c>
      <c r="AH61" s="27" t="s">
        <v>124</v>
      </c>
      <c r="AI61" s="27" t="s">
        <v>124</v>
      </c>
      <c r="AJ61" s="27" t="s">
        <v>124</v>
      </c>
      <c r="AK61" s="27" t="s">
        <v>124</v>
      </c>
      <c r="AL61" s="27" t="s">
        <v>124</v>
      </c>
      <c r="AM61" s="27" t="s">
        <v>124</v>
      </c>
      <c r="AN61" s="27" t="s">
        <v>124</v>
      </c>
      <c r="AO61" s="27" t="s">
        <v>124</v>
      </c>
      <c r="AP61" s="27"/>
      <c r="AQ61" s="27"/>
    </row>
    <row r="62" spans="1:43" x14ac:dyDescent="0.25">
      <c r="A62" s="29">
        <v>1</v>
      </c>
      <c r="C62" s="24" t="str">
        <f>"    High"</f>
        <v xml:space="preserve">    High</v>
      </c>
      <c r="D62" s="37">
        <v>11512000</v>
      </c>
      <c r="E62" s="37">
        <v>11124000</v>
      </c>
      <c r="F62" s="37">
        <v>10049000</v>
      </c>
      <c r="G62" s="37">
        <v>9934000</v>
      </c>
      <c r="H62" s="37">
        <v>5300000</v>
      </c>
      <c r="I62" s="37">
        <v>7592000</v>
      </c>
      <c r="J62" s="37">
        <v>8678000</v>
      </c>
      <c r="K62" s="37">
        <v>9300000</v>
      </c>
      <c r="L62" s="30" t="s">
        <v>124</v>
      </c>
      <c r="M62" s="27" t="s">
        <v>124</v>
      </c>
      <c r="N62" s="27" t="s">
        <v>124</v>
      </c>
      <c r="O62" s="27" t="s">
        <v>124</v>
      </c>
      <c r="P62" s="27" t="s">
        <v>124</v>
      </c>
      <c r="Q62" s="27" t="s">
        <v>124</v>
      </c>
      <c r="R62" s="27" t="s">
        <v>124</v>
      </c>
      <c r="S62" s="27" t="s">
        <v>124</v>
      </c>
      <c r="T62" s="27" t="s">
        <v>124</v>
      </c>
      <c r="U62" s="27" t="s">
        <v>124</v>
      </c>
      <c r="V62" s="27" t="s">
        <v>124</v>
      </c>
      <c r="W62" s="27" t="s">
        <v>124</v>
      </c>
      <c r="X62" s="27" t="s">
        <v>124</v>
      </c>
      <c r="Y62" s="27" t="s">
        <v>124</v>
      </c>
      <c r="Z62" s="27" t="s">
        <v>124</v>
      </c>
      <c r="AA62" s="27" t="s">
        <v>124</v>
      </c>
      <c r="AB62" s="27" t="s">
        <v>124</v>
      </c>
      <c r="AC62" s="27" t="s">
        <v>124</v>
      </c>
      <c r="AD62" s="27" t="s">
        <v>124</v>
      </c>
      <c r="AE62" s="27" t="s">
        <v>124</v>
      </c>
      <c r="AF62" s="27" t="s">
        <v>124</v>
      </c>
      <c r="AG62" s="27" t="s">
        <v>124</v>
      </c>
      <c r="AH62" s="27" t="s">
        <v>124</v>
      </c>
      <c r="AI62" s="27" t="s">
        <v>124</v>
      </c>
      <c r="AJ62" s="27" t="s">
        <v>124</v>
      </c>
      <c r="AK62" s="27" t="s">
        <v>124</v>
      </c>
      <c r="AL62" s="27" t="s">
        <v>124</v>
      </c>
      <c r="AM62" s="27" t="s">
        <v>124</v>
      </c>
      <c r="AN62" s="27" t="s">
        <v>124</v>
      </c>
      <c r="AO62" s="27" t="s">
        <v>124</v>
      </c>
      <c r="AP62" s="27"/>
      <c r="AQ62" s="27"/>
    </row>
    <row r="63" spans="1:43" x14ac:dyDescent="0.25">
      <c r="A63" s="29">
        <v>1</v>
      </c>
      <c r="C63" s="24" t="str">
        <f>"    Low"</f>
        <v xml:space="preserve">    Low</v>
      </c>
      <c r="D63" s="37">
        <v>8678000</v>
      </c>
      <c r="E63" s="37">
        <v>8257005.3300000001</v>
      </c>
      <c r="F63" s="37">
        <v>8049000</v>
      </c>
      <c r="G63" s="37">
        <v>7080000</v>
      </c>
      <c r="H63" s="37">
        <v>5251000</v>
      </c>
      <c r="I63" s="37">
        <v>7485000</v>
      </c>
      <c r="J63" s="37">
        <v>8388000</v>
      </c>
      <c r="K63" s="37">
        <v>7617000</v>
      </c>
      <c r="L63" s="30" t="s">
        <v>124</v>
      </c>
      <c r="M63" s="27" t="s">
        <v>124</v>
      </c>
      <c r="N63" s="27" t="s">
        <v>124</v>
      </c>
      <c r="O63" s="27" t="s">
        <v>124</v>
      </c>
      <c r="P63" s="27" t="s">
        <v>124</v>
      </c>
      <c r="Q63" s="27" t="s">
        <v>124</v>
      </c>
      <c r="R63" s="27" t="s">
        <v>124</v>
      </c>
      <c r="S63" s="27" t="s">
        <v>124</v>
      </c>
      <c r="T63" s="27" t="s">
        <v>124</v>
      </c>
      <c r="U63" s="27" t="s">
        <v>124</v>
      </c>
      <c r="V63" s="27" t="s">
        <v>124</v>
      </c>
      <c r="W63" s="27" t="s">
        <v>124</v>
      </c>
      <c r="X63" s="27" t="s">
        <v>124</v>
      </c>
      <c r="Y63" s="27" t="s">
        <v>124</v>
      </c>
      <c r="Z63" s="27" t="s">
        <v>124</v>
      </c>
      <c r="AA63" s="27" t="s">
        <v>124</v>
      </c>
      <c r="AB63" s="27" t="s">
        <v>124</v>
      </c>
      <c r="AC63" s="27" t="s">
        <v>124</v>
      </c>
      <c r="AD63" s="27" t="s">
        <v>124</v>
      </c>
      <c r="AE63" s="27" t="s">
        <v>124</v>
      </c>
      <c r="AF63" s="27" t="s">
        <v>124</v>
      </c>
      <c r="AG63" s="27" t="s">
        <v>124</v>
      </c>
      <c r="AH63" s="27" t="s">
        <v>124</v>
      </c>
      <c r="AI63" s="27" t="s">
        <v>124</v>
      </c>
      <c r="AJ63" s="27" t="s">
        <v>124</v>
      </c>
      <c r="AK63" s="27" t="s">
        <v>124</v>
      </c>
      <c r="AL63" s="27" t="s">
        <v>124</v>
      </c>
      <c r="AM63" s="27" t="s">
        <v>124</v>
      </c>
      <c r="AN63" s="27" t="s">
        <v>124</v>
      </c>
      <c r="AO63" s="27" t="s">
        <v>124</v>
      </c>
      <c r="AP63" s="27"/>
      <c r="AQ63" s="27"/>
    </row>
    <row r="64" spans="1:43" x14ac:dyDescent="0.25">
      <c r="A64" s="29">
        <v>1</v>
      </c>
      <c r="C64" s="24" t="str">
        <f>"    Mean"</f>
        <v xml:space="preserve">    Mean</v>
      </c>
      <c r="D64" s="37">
        <v>9927665.3129999992</v>
      </c>
      <c r="E64" s="37">
        <v>9792474.2070000004</v>
      </c>
      <c r="F64" s="37">
        <v>9180226.5399999991</v>
      </c>
      <c r="G64" s="37">
        <v>8221669.0439999998</v>
      </c>
      <c r="H64" s="37">
        <v>5268875</v>
      </c>
      <c r="I64" s="37">
        <v>7542833.3329999996</v>
      </c>
      <c r="J64" s="37">
        <v>8536272.727</v>
      </c>
      <c r="K64" s="37">
        <v>8319545.4549999991</v>
      </c>
      <c r="L64" s="30" t="s">
        <v>124</v>
      </c>
      <c r="M64" s="27" t="s">
        <v>124</v>
      </c>
      <c r="N64" s="27" t="s">
        <v>124</v>
      </c>
      <c r="O64" s="27" t="s">
        <v>124</v>
      </c>
      <c r="P64" s="27" t="s">
        <v>124</v>
      </c>
      <c r="Q64" s="27" t="s">
        <v>124</v>
      </c>
      <c r="R64" s="27" t="s">
        <v>124</v>
      </c>
      <c r="S64" s="27" t="s">
        <v>124</v>
      </c>
      <c r="T64" s="27" t="s">
        <v>124</v>
      </c>
      <c r="U64" s="27" t="s">
        <v>124</v>
      </c>
      <c r="V64" s="27" t="s">
        <v>124</v>
      </c>
      <c r="W64" s="27" t="s">
        <v>124</v>
      </c>
      <c r="X64" s="27" t="s">
        <v>124</v>
      </c>
      <c r="Y64" s="27" t="s">
        <v>124</v>
      </c>
      <c r="Z64" s="27" t="s">
        <v>124</v>
      </c>
      <c r="AA64" s="27" t="s">
        <v>124</v>
      </c>
      <c r="AB64" s="27" t="s">
        <v>124</v>
      </c>
      <c r="AC64" s="27" t="s">
        <v>124</v>
      </c>
      <c r="AD64" s="27" t="s">
        <v>124</v>
      </c>
      <c r="AE64" s="27" t="s">
        <v>124</v>
      </c>
      <c r="AF64" s="27" t="s">
        <v>124</v>
      </c>
      <c r="AG64" s="27" t="s">
        <v>124</v>
      </c>
      <c r="AH64" s="27" t="s">
        <v>124</v>
      </c>
      <c r="AI64" s="27" t="s">
        <v>124</v>
      </c>
      <c r="AJ64" s="27" t="s">
        <v>124</v>
      </c>
      <c r="AK64" s="27" t="s">
        <v>124</v>
      </c>
      <c r="AL64" s="27" t="s">
        <v>124</v>
      </c>
      <c r="AM64" s="27" t="s">
        <v>124</v>
      </c>
      <c r="AN64" s="27" t="s">
        <v>124</v>
      </c>
      <c r="AO64" s="27" t="s">
        <v>124</v>
      </c>
      <c r="AP64" s="27"/>
      <c r="AQ64" s="27"/>
    </row>
    <row r="65" spans="1:43" x14ac:dyDescent="0.25">
      <c r="A65" s="29">
        <v>1</v>
      </c>
      <c r="C65" s="24" t="str">
        <f>"    Standard Deviation"</f>
        <v xml:space="preserve">    Standard Deviation</v>
      </c>
      <c r="D65" s="37">
        <v>904154.06200000003</v>
      </c>
      <c r="E65" s="37">
        <v>824883.71400000004</v>
      </c>
      <c r="F65" s="37">
        <v>628982.78099999996</v>
      </c>
      <c r="G65" s="37">
        <v>754542.35900000005</v>
      </c>
      <c r="H65" s="37">
        <v>20427.134999999998</v>
      </c>
      <c r="I65" s="37">
        <v>34002.451000000001</v>
      </c>
      <c r="J65" s="37">
        <v>82433.112999999998</v>
      </c>
      <c r="K65" s="37">
        <v>535089.59300000011</v>
      </c>
      <c r="L65" s="30" t="s">
        <v>124</v>
      </c>
      <c r="M65" s="27" t="s">
        <v>124</v>
      </c>
      <c r="N65" s="27" t="s">
        <v>124</v>
      </c>
      <c r="O65" s="27" t="s">
        <v>124</v>
      </c>
      <c r="P65" s="27" t="s">
        <v>124</v>
      </c>
      <c r="Q65" s="27" t="s">
        <v>124</v>
      </c>
      <c r="R65" s="27" t="s">
        <v>124</v>
      </c>
      <c r="S65" s="27" t="s">
        <v>124</v>
      </c>
      <c r="T65" s="27" t="s">
        <v>124</v>
      </c>
      <c r="U65" s="27" t="s">
        <v>124</v>
      </c>
      <c r="V65" s="27" t="s">
        <v>124</v>
      </c>
      <c r="W65" s="27" t="s">
        <v>124</v>
      </c>
      <c r="X65" s="27" t="s">
        <v>124</v>
      </c>
      <c r="Y65" s="27" t="s">
        <v>124</v>
      </c>
      <c r="Z65" s="27" t="s">
        <v>124</v>
      </c>
      <c r="AA65" s="27" t="s">
        <v>124</v>
      </c>
      <c r="AB65" s="27" t="s">
        <v>124</v>
      </c>
      <c r="AC65" s="27" t="s">
        <v>124</v>
      </c>
      <c r="AD65" s="27" t="s">
        <v>124</v>
      </c>
      <c r="AE65" s="27" t="s">
        <v>124</v>
      </c>
      <c r="AF65" s="27" t="s">
        <v>124</v>
      </c>
      <c r="AG65" s="27" t="s">
        <v>124</v>
      </c>
      <c r="AH65" s="27" t="s">
        <v>124</v>
      </c>
      <c r="AI65" s="27" t="s">
        <v>124</v>
      </c>
      <c r="AJ65" s="27" t="s">
        <v>124</v>
      </c>
      <c r="AK65" s="27" t="s">
        <v>124</v>
      </c>
      <c r="AL65" s="27" t="s">
        <v>124</v>
      </c>
      <c r="AM65" s="27" t="s">
        <v>124</v>
      </c>
      <c r="AN65" s="27" t="s">
        <v>124</v>
      </c>
      <c r="AO65" s="27" t="s">
        <v>124</v>
      </c>
      <c r="AP65" s="27"/>
      <c r="AQ65" s="27"/>
    </row>
    <row r="66" spans="1:43" x14ac:dyDescent="0.25">
      <c r="A66" s="29">
        <v>1</v>
      </c>
      <c r="C66" s="24" t="str">
        <f>"    Number of Estimates"</f>
        <v xml:space="preserve">    Number of Estimates</v>
      </c>
      <c r="D66" s="37">
        <v>10</v>
      </c>
      <c r="E66" s="37">
        <v>12</v>
      </c>
      <c r="F66" s="37">
        <v>12</v>
      </c>
      <c r="G66" s="37">
        <v>10</v>
      </c>
      <c r="H66" s="37">
        <v>8</v>
      </c>
      <c r="I66" s="37">
        <v>6</v>
      </c>
      <c r="J66" s="37">
        <v>11</v>
      </c>
      <c r="K66" s="37">
        <v>11</v>
      </c>
      <c r="L66" s="30" t="s">
        <v>124</v>
      </c>
      <c r="M66" s="27" t="s">
        <v>124</v>
      </c>
      <c r="N66" s="27" t="s">
        <v>124</v>
      </c>
      <c r="O66" s="27" t="s">
        <v>124</v>
      </c>
      <c r="P66" s="27" t="s">
        <v>124</v>
      </c>
      <c r="Q66" s="27" t="s">
        <v>124</v>
      </c>
      <c r="R66" s="27" t="s">
        <v>124</v>
      </c>
      <c r="S66" s="27" t="s">
        <v>124</v>
      </c>
      <c r="T66" s="27" t="s">
        <v>124</v>
      </c>
      <c r="U66" s="27" t="s">
        <v>124</v>
      </c>
      <c r="V66" s="27" t="s">
        <v>124</v>
      </c>
      <c r="W66" s="27" t="s">
        <v>124</v>
      </c>
      <c r="X66" s="27" t="s">
        <v>124</v>
      </c>
      <c r="Y66" s="27" t="s">
        <v>124</v>
      </c>
      <c r="Z66" s="27" t="s">
        <v>124</v>
      </c>
      <c r="AA66" s="27" t="s">
        <v>124</v>
      </c>
      <c r="AB66" s="27" t="s">
        <v>124</v>
      </c>
      <c r="AC66" s="27" t="s">
        <v>124</v>
      </c>
      <c r="AD66" s="27" t="s">
        <v>124</v>
      </c>
      <c r="AE66" s="27" t="s">
        <v>124</v>
      </c>
      <c r="AF66" s="27" t="s">
        <v>124</v>
      </c>
      <c r="AG66" s="27" t="s">
        <v>124</v>
      </c>
      <c r="AH66" s="27" t="s">
        <v>124</v>
      </c>
      <c r="AI66" s="27" t="s">
        <v>124</v>
      </c>
      <c r="AJ66" s="27" t="s">
        <v>124</v>
      </c>
      <c r="AK66" s="27" t="s">
        <v>124</v>
      </c>
      <c r="AL66" s="27" t="s">
        <v>124</v>
      </c>
      <c r="AM66" s="27" t="s">
        <v>124</v>
      </c>
      <c r="AN66" s="27" t="s">
        <v>124</v>
      </c>
      <c r="AO66" s="27" t="s">
        <v>124</v>
      </c>
      <c r="AP66" s="27"/>
      <c r="AQ66" s="27"/>
    </row>
    <row r="67" spans="1:43" x14ac:dyDescent="0.25">
      <c r="A67" s="29">
        <v>1</v>
      </c>
      <c r="C67" s="26" t="str">
        <f>"Diluted EPS (Normalized)"</f>
        <v>Diluted EPS (Normalized)</v>
      </c>
      <c r="D67" s="44" t="s">
        <v>124</v>
      </c>
      <c r="E67" s="44" t="s">
        <v>124</v>
      </c>
      <c r="F67" s="44" t="s">
        <v>124</v>
      </c>
      <c r="G67" s="44" t="s">
        <v>124</v>
      </c>
      <c r="H67" s="44" t="s">
        <v>124</v>
      </c>
      <c r="I67" s="44" t="s">
        <v>124</v>
      </c>
      <c r="J67" s="44" t="s">
        <v>124</v>
      </c>
      <c r="K67" s="44" t="s">
        <v>124</v>
      </c>
      <c r="L67" s="30" t="s">
        <v>124</v>
      </c>
      <c r="M67" s="27" t="s">
        <v>124</v>
      </c>
      <c r="N67" s="27" t="s">
        <v>124</v>
      </c>
      <c r="O67" s="27" t="s">
        <v>124</v>
      </c>
      <c r="P67" s="27" t="s">
        <v>124</v>
      </c>
      <c r="Q67" s="27" t="s">
        <v>124</v>
      </c>
      <c r="R67" s="27" t="s">
        <v>124</v>
      </c>
      <c r="S67" s="27" t="s">
        <v>124</v>
      </c>
      <c r="T67" s="27" t="s">
        <v>124</v>
      </c>
      <c r="U67" s="27" t="s">
        <v>124</v>
      </c>
      <c r="V67" s="27" t="s">
        <v>124</v>
      </c>
      <c r="W67" s="27" t="s">
        <v>124</v>
      </c>
      <c r="X67" s="27" t="s">
        <v>124</v>
      </c>
      <c r="Y67" s="27" t="s">
        <v>124</v>
      </c>
      <c r="Z67" s="27" t="s">
        <v>124</v>
      </c>
      <c r="AA67" s="27" t="s">
        <v>124</v>
      </c>
      <c r="AB67" s="27" t="s">
        <v>124</v>
      </c>
      <c r="AC67" s="27" t="s">
        <v>124</v>
      </c>
      <c r="AD67" s="27" t="s">
        <v>124</v>
      </c>
      <c r="AE67" s="27" t="s">
        <v>124</v>
      </c>
      <c r="AF67" s="27" t="s">
        <v>124</v>
      </c>
      <c r="AG67" s="27" t="s">
        <v>124</v>
      </c>
      <c r="AH67" s="27" t="s">
        <v>124</v>
      </c>
      <c r="AI67" s="27" t="s">
        <v>124</v>
      </c>
      <c r="AJ67" s="27" t="s">
        <v>124</v>
      </c>
      <c r="AK67" s="27" t="s">
        <v>124</v>
      </c>
      <c r="AL67" s="27" t="s">
        <v>124</v>
      </c>
      <c r="AM67" s="27" t="s">
        <v>124</v>
      </c>
      <c r="AN67" s="27" t="s">
        <v>124</v>
      </c>
      <c r="AO67" s="27" t="s">
        <v>124</v>
      </c>
      <c r="AP67" s="27"/>
      <c r="AQ67" s="27"/>
    </row>
    <row r="68" spans="1:43" x14ac:dyDescent="0.25">
      <c r="A68" s="29">
        <v>1</v>
      </c>
      <c r="C68" s="24" t="str">
        <f>"    Actual"</f>
        <v xml:space="preserve">    Actual</v>
      </c>
      <c r="D68" s="38" t="s">
        <v>124</v>
      </c>
      <c r="E68" s="38" t="s">
        <v>124</v>
      </c>
      <c r="F68" s="38" t="s">
        <v>124</v>
      </c>
      <c r="G68" s="38">
        <v>7.07</v>
      </c>
      <c r="H68" s="38">
        <v>4.9000000000000004</v>
      </c>
      <c r="I68" s="38">
        <v>4.82</v>
      </c>
      <c r="J68" s="38">
        <v>6.54</v>
      </c>
      <c r="K68" s="38">
        <v>6.62</v>
      </c>
      <c r="L68" s="30" t="s">
        <v>124</v>
      </c>
      <c r="M68" s="27" t="s">
        <v>124</v>
      </c>
      <c r="N68" s="27" t="s">
        <v>124</v>
      </c>
      <c r="O68" s="27" t="s">
        <v>124</v>
      </c>
      <c r="P68" s="27" t="s">
        <v>124</v>
      </c>
      <c r="Q68" s="27" t="s">
        <v>124</v>
      </c>
      <c r="R68" s="27" t="s">
        <v>124</v>
      </c>
      <c r="S68" s="27" t="s">
        <v>124</v>
      </c>
      <c r="T68" s="27" t="s">
        <v>124</v>
      </c>
      <c r="U68" s="27" t="s">
        <v>124</v>
      </c>
      <c r="V68" s="27" t="s">
        <v>124</v>
      </c>
      <c r="W68" s="27" t="s">
        <v>124</v>
      </c>
      <c r="X68" s="27" t="s">
        <v>124</v>
      </c>
      <c r="Y68" s="27" t="s">
        <v>124</v>
      </c>
      <c r="Z68" s="27" t="s">
        <v>124</v>
      </c>
      <c r="AA68" s="27" t="s">
        <v>124</v>
      </c>
      <c r="AB68" s="27" t="s">
        <v>124</v>
      </c>
      <c r="AC68" s="27" t="s">
        <v>124</v>
      </c>
      <c r="AD68" s="27" t="s">
        <v>124</v>
      </c>
      <c r="AE68" s="27" t="s">
        <v>124</v>
      </c>
      <c r="AF68" s="27" t="s">
        <v>124</v>
      </c>
      <c r="AG68" s="27" t="s">
        <v>124</v>
      </c>
      <c r="AH68" s="27" t="s">
        <v>124</v>
      </c>
      <c r="AI68" s="27" t="s">
        <v>124</v>
      </c>
      <c r="AJ68" s="27" t="s">
        <v>124</v>
      </c>
      <c r="AK68" s="27" t="s">
        <v>124</v>
      </c>
      <c r="AL68" s="27" t="s">
        <v>124</v>
      </c>
      <c r="AM68" s="27" t="s">
        <v>124</v>
      </c>
      <c r="AN68" s="27" t="s">
        <v>124</v>
      </c>
      <c r="AO68" s="27" t="s">
        <v>124</v>
      </c>
      <c r="AP68" s="27"/>
      <c r="AQ68" s="27"/>
    </row>
    <row r="69" spans="1:43" x14ac:dyDescent="0.25">
      <c r="A69" s="29">
        <v>1</v>
      </c>
      <c r="C69" s="24" t="str">
        <f>"    Median"</f>
        <v xml:space="preserve">    Median</v>
      </c>
      <c r="D69" s="38">
        <v>6.125</v>
      </c>
      <c r="E69" s="38">
        <v>6.2249999999999996</v>
      </c>
      <c r="F69" s="38">
        <v>7.19</v>
      </c>
      <c r="G69" s="38">
        <v>6.9</v>
      </c>
      <c r="H69" s="38">
        <v>4.4810980000000002</v>
      </c>
      <c r="I69" s="38">
        <v>4.7525690000000003</v>
      </c>
      <c r="J69" s="38">
        <v>6.19</v>
      </c>
      <c r="K69" s="38">
        <v>6.32</v>
      </c>
      <c r="L69" s="30" t="s">
        <v>124</v>
      </c>
      <c r="M69" s="27" t="s">
        <v>124</v>
      </c>
      <c r="N69" s="27" t="s">
        <v>124</v>
      </c>
      <c r="O69" s="27" t="s">
        <v>124</v>
      </c>
      <c r="P69" s="27" t="s">
        <v>124</v>
      </c>
      <c r="Q69" s="27" t="s">
        <v>124</v>
      </c>
      <c r="R69" s="27" t="s">
        <v>124</v>
      </c>
      <c r="S69" s="27" t="s">
        <v>124</v>
      </c>
      <c r="T69" s="27" t="s">
        <v>124</v>
      </c>
      <c r="U69" s="27" t="s">
        <v>124</v>
      </c>
      <c r="V69" s="27" t="s">
        <v>124</v>
      </c>
      <c r="W69" s="27" t="s">
        <v>124</v>
      </c>
      <c r="X69" s="27" t="s">
        <v>124</v>
      </c>
      <c r="Y69" s="27" t="s">
        <v>124</v>
      </c>
      <c r="Z69" s="27" t="s">
        <v>124</v>
      </c>
      <c r="AA69" s="27" t="s">
        <v>124</v>
      </c>
      <c r="AB69" s="27" t="s">
        <v>124</v>
      </c>
      <c r="AC69" s="27" t="s">
        <v>124</v>
      </c>
      <c r="AD69" s="27" t="s">
        <v>124</v>
      </c>
      <c r="AE69" s="27" t="s">
        <v>124</v>
      </c>
      <c r="AF69" s="27" t="s">
        <v>124</v>
      </c>
      <c r="AG69" s="27" t="s">
        <v>124</v>
      </c>
      <c r="AH69" s="27" t="s">
        <v>124</v>
      </c>
      <c r="AI69" s="27" t="s">
        <v>124</v>
      </c>
      <c r="AJ69" s="27" t="s">
        <v>124</v>
      </c>
      <c r="AK69" s="27" t="s">
        <v>124</v>
      </c>
      <c r="AL69" s="27" t="s">
        <v>124</v>
      </c>
      <c r="AM69" s="27" t="s">
        <v>124</v>
      </c>
      <c r="AN69" s="27" t="s">
        <v>124</v>
      </c>
      <c r="AO69" s="27" t="s">
        <v>124</v>
      </c>
      <c r="AP69" s="27"/>
      <c r="AQ69" s="27"/>
    </row>
    <row r="70" spans="1:43" x14ac:dyDescent="0.25">
      <c r="A70" s="29">
        <v>1</v>
      </c>
      <c r="C70" s="24" t="str">
        <f>"    High"</f>
        <v xml:space="preserve">    High</v>
      </c>
      <c r="D70" s="38">
        <v>8.02</v>
      </c>
      <c r="E70" s="38">
        <v>7.75</v>
      </c>
      <c r="F70" s="38">
        <v>7.75</v>
      </c>
      <c r="G70" s="38">
        <v>7.2</v>
      </c>
      <c r="H70" s="38">
        <v>5.25</v>
      </c>
      <c r="I70" s="38">
        <v>5.9980560000000001</v>
      </c>
      <c r="J70" s="38">
        <v>6.75</v>
      </c>
      <c r="K70" s="38">
        <v>6.43</v>
      </c>
      <c r="L70" s="30" t="s">
        <v>124</v>
      </c>
      <c r="M70" s="27" t="s">
        <v>124</v>
      </c>
      <c r="N70" s="27" t="s">
        <v>124</v>
      </c>
      <c r="O70" s="27" t="s">
        <v>124</v>
      </c>
      <c r="P70" s="27" t="s">
        <v>124</v>
      </c>
      <c r="Q70" s="27" t="s">
        <v>124</v>
      </c>
      <c r="R70" s="27" t="s">
        <v>124</v>
      </c>
      <c r="S70" s="27" t="s">
        <v>124</v>
      </c>
      <c r="T70" s="27" t="s">
        <v>124</v>
      </c>
      <c r="U70" s="27" t="s">
        <v>124</v>
      </c>
      <c r="V70" s="27" t="s">
        <v>124</v>
      </c>
      <c r="W70" s="27" t="s">
        <v>124</v>
      </c>
      <c r="X70" s="27" t="s">
        <v>124</v>
      </c>
      <c r="Y70" s="27" t="s">
        <v>124</v>
      </c>
      <c r="Z70" s="27" t="s">
        <v>124</v>
      </c>
      <c r="AA70" s="27" t="s">
        <v>124</v>
      </c>
      <c r="AB70" s="27" t="s">
        <v>124</v>
      </c>
      <c r="AC70" s="27" t="s">
        <v>124</v>
      </c>
      <c r="AD70" s="27" t="s">
        <v>124</v>
      </c>
      <c r="AE70" s="27" t="s">
        <v>124</v>
      </c>
      <c r="AF70" s="27" t="s">
        <v>124</v>
      </c>
      <c r="AG70" s="27" t="s">
        <v>124</v>
      </c>
      <c r="AH70" s="27" t="s">
        <v>124</v>
      </c>
      <c r="AI70" s="27" t="s">
        <v>124</v>
      </c>
      <c r="AJ70" s="27" t="s">
        <v>124</v>
      </c>
      <c r="AK70" s="27" t="s">
        <v>124</v>
      </c>
      <c r="AL70" s="27" t="s">
        <v>124</v>
      </c>
      <c r="AM70" s="27" t="s">
        <v>124</v>
      </c>
      <c r="AN70" s="27" t="s">
        <v>124</v>
      </c>
      <c r="AO70" s="27" t="s">
        <v>124</v>
      </c>
      <c r="AP70" s="27"/>
      <c r="AQ70" s="27"/>
    </row>
    <row r="71" spans="1:43" x14ac:dyDescent="0.25">
      <c r="A71" s="29">
        <v>1</v>
      </c>
      <c r="C71" s="24" t="str">
        <f>"    Low"</f>
        <v xml:space="preserve">    Low</v>
      </c>
      <c r="D71" s="38">
        <v>3.5</v>
      </c>
      <c r="E71" s="38">
        <v>3.361354</v>
      </c>
      <c r="F71" s="38">
        <v>5.86</v>
      </c>
      <c r="G71" s="38">
        <v>6.2</v>
      </c>
      <c r="H71" s="38">
        <v>4</v>
      </c>
      <c r="I71" s="38">
        <v>4.4686769999999996</v>
      </c>
      <c r="J71" s="38">
        <v>5.33</v>
      </c>
      <c r="K71" s="38">
        <v>5.95</v>
      </c>
      <c r="L71" s="30" t="s">
        <v>124</v>
      </c>
      <c r="M71" s="27" t="s">
        <v>124</v>
      </c>
      <c r="N71" s="27" t="s">
        <v>124</v>
      </c>
      <c r="O71" s="27" t="s">
        <v>124</v>
      </c>
      <c r="P71" s="27" t="s">
        <v>124</v>
      </c>
      <c r="Q71" s="27" t="s">
        <v>124</v>
      </c>
      <c r="R71" s="27" t="s">
        <v>124</v>
      </c>
      <c r="S71" s="27" t="s">
        <v>124</v>
      </c>
      <c r="T71" s="27" t="s">
        <v>124</v>
      </c>
      <c r="U71" s="27" t="s">
        <v>124</v>
      </c>
      <c r="V71" s="27" t="s">
        <v>124</v>
      </c>
      <c r="W71" s="27" t="s">
        <v>124</v>
      </c>
      <c r="X71" s="27" t="s">
        <v>124</v>
      </c>
      <c r="Y71" s="27" t="s">
        <v>124</v>
      </c>
      <c r="Z71" s="27" t="s">
        <v>124</v>
      </c>
      <c r="AA71" s="27" t="s">
        <v>124</v>
      </c>
      <c r="AB71" s="27" t="s">
        <v>124</v>
      </c>
      <c r="AC71" s="27" t="s">
        <v>124</v>
      </c>
      <c r="AD71" s="27" t="s">
        <v>124</v>
      </c>
      <c r="AE71" s="27" t="s">
        <v>124</v>
      </c>
      <c r="AF71" s="27" t="s">
        <v>124</v>
      </c>
      <c r="AG71" s="27" t="s">
        <v>124</v>
      </c>
      <c r="AH71" s="27" t="s">
        <v>124</v>
      </c>
      <c r="AI71" s="27" t="s">
        <v>124</v>
      </c>
      <c r="AJ71" s="27" t="s">
        <v>124</v>
      </c>
      <c r="AK71" s="27" t="s">
        <v>124</v>
      </c>
      <c r="AL71" s="27" t="s">
        <v>124</v>
      </c>
      <c r="AM71" s="27" t="s">
        <v>124</v>
      </c>
      <c r="AN71" s="27" t="s">
        <v>124</v>
      </c>
      <c r="AO71" s="27" t="s">
        <v>124</v>
      </c>
      <c r="AP71" s="27"/>
      <c r="AQ71" s="27"/>
    </row>
    <row r="72" spans="1:43" x14ac:dyDescent="0.25">
      <c r="A72" s="29">
        <v>1</v>
      </c>
      <c r="C72" s="24" t="str">
        <f>"    Mean"</f>
        <v xml:space="preserve">    Mean</v>
      </c>
      <c r="D72" s="38">
        <v>6.0400499999999999</v>
      </c>
      <c r="E72" s="38">
        <v>5.9528930000000004</v>
      </c>
      <c r="F72" s="38">
        <v>7.1009500000000001</v>
      </c>
      <c r="G72" s="38">
        <v>6.8290759999999997</v>
      </c>
      <c r="H72" s="38">
        <v>4.4724599999999999</v>
      </c>
      <c r="I72" s="38">
        <v>4.8488870000000004</v>
      </c>
      <c r="J72" s="38">
        <v>6.1171749999999996</v>
      </c>
      <c r="K72" s="38">
        <v>6.2948060000000003</v>
      </c>
      <c r="L72" s="30" t="s">
        <v>124</v>
      </c>
      <c r="M72" s="27" t="s">
        <v>124</v>
      </c>
      <c r="N72" s="27" t="s">
        <v>124</v>
      </c>
      <c r="O72" s="27" t="s">
        <v>124</v>
      </c>
      <c r="P72" s="27" t="s">
        <v>124</v>
      </c>
      <c r="Q72" s="27" t="s">
        <v>124</v>
      </c>
      <c r="R72" s="27" t="s">
        <v>124</v>
      </c>
      <c r="S72" s="27" t="s">
        <v>124</v>
      </c>
      <c r="T72" s="27" t="s">
        <v>124</v>
      </c>
      <c r="U72" s="27" t="s">
        <v>124</v>
      </c>
      <c r="V72" s="27" t="s">
        <v>124</v>
      </c>
      <c r="W72" s="27" t="s">
        <v>124</v>
      </c>
      <c r="X72" s="27" t="s">
        <v>124</v>
      </c>
      <c r="Y72" s="27" t="s">
        <v>124</v>
      </c>
      <c r="Z72" s="27" t="s">
        <v>124</v>
      </c>
      <c r="AA72" s="27" t="s">
        <v>124</v>
      </c>
      <c r="AB72" s="27" t="s">
        <v>124</v>
      </c>
      <c r="AC72" s="27" t="s">
        <v>124</v>
      </c>
      <c r="AD72" s="27" t="s">
        <v>124</v>
      </c>
      <c r="AE72" s="27" t="s">
        <v>124</v>
      </c>
      <c r="AF72" s="27" t="s">
        <v>124</v>
      </c>
      <c r="AG72" s="27" t="s">
        <v>124</v>
      </c>
      <c r="AH72" s="27" t="s">
        <v>124</v>
      </c>
      <c r="AI72" s="27" t="s">
        <v>124</v>
      </c>
      <c r="AJ72" s="27" t="s">
        <v>124</v>
      </c>
      <c r="AK72" s="27" t="s">
        <v>124</v>
      </c>
      <c r="AL72" s="27" t="s">
        <v>124</v>
      </c>
      <c r="AM72" s="27" t="s">
        <v>124</v>
      </c>
      <c r="AN72" s="27" t="s">
        <v>124</v>
      </c>
      <c r="AO72" s="27" t="s">
        <v>124</v>
      </c>
      <c r="AP72" s="27"/>
      <c r="AQ72" s="27"/>
    </row>
    <row r="73" spans="1:43" x14ac:dyDescent="0.25">
      <c r="A73" s="29">
        <v>1</v>
      </c>
      <c r="C73" s="24" t="str">
        <f>"    Standard Deviation"</f>
        <v xml:space="preserve">    Standard Deviation</v>
      </c>
      <c r="D73" s="38">
        <v>1.2528239999999999</v>
      </c>
      <c r="E73" s="38">
        <v>1.113321</v>
      </c>
      <c r="F73" s="38">
        <v>0.35691200000000001</v>
      </c>
      <c r="G73" s="38">
        <v>0.25126100000000001</v>
      </c>
      <c r="H73" s="38">
        <v>0.368701</v>
      </c>
      <c r="I73" s="38">
        <v>0.33144499999999999</v>
      </c>
      <c r="J73" s="38">
        <v>0.33318300000000001</v>
      </c>
      <c r="K73" s="38">
        <v>9.6401000000000001E-2</v>
      </c>
      <c r="L73" s="30" t="s">
        <v>124</v>
      </c>
      <c r="M73" s="27" t="s">
        <v>124</v>
      </c>
      <c r="N73" s="27" t="s">
        <v>124</v>
      </c>
      <c r="O73" s="27" t="s">
        <v>124</v>
      </c>
      <c r="P73" s="27" t="s">
        <v>124</v>
      </c>
      <c r="Q73" s="27" t="s">
        <v>124</v>
      </c>
      <c r="R73" s="27" t="s">
        <v>124</v>
      </c>
      <c r="S73" s="27" t="s">
        <v>124</v>
      </c>
      <c r="T73" s="27" t="s">
        <v>124</v>
      </c>
      <c r="U73" s="27" t="s">
        <v>124</v>
      </c>
      <c r="V73" s="27" t="s">
        <v>124</v>
      </c>
      <c r="W73" s="27" t="s">
        <v>124</v>
      </c>
      <c r="X73" s="27" t="s">
        <v>124</v>
      </c>
      <c r="Y73" s="27" t="s">
        <v>124</v>
      </c>
      <c r="Z73" s="27" t="s">
        <v>124</v>
      </c>
      <c r="AA73" s="27" t="s">
        <v>124</v>
      </c>
      <c r="AB73" s="27" t="s">
        <v>124</v>
      </c>
      <c r="AC73" s="27" t="s">
        <v>124</v>
      </c>
      <c r="AD73" s="27" t="s">
        <v>124</v>
      </c>
      <c r="AE73" s="27" t="s">
        <v>124</v>
      </c>
      <c r="AF73" s="27" t="s">
        <v>124</v>
      </c>
      <c r="AG73" s="27" t="s">
        <v>124</v>
      </c>
      <c r="AH73" s="27" t="s">
        <v>124</v>
      </c>
      <c r="AI73" s="27" t="s">
        <v>124</v>
      </c>
      <c r="AJ73" s="27" t="s">
        <v>124</v>
      </c>
      <c r="AK73" s="27" t="s">
        <v>124</v>
      </c>
      <c r="AL73" s="27" t="s">
        <v>124</v>
      </c>
      <c r="AM73" s="27" t="s">
        <v>124</v>
      </c>
      <c r="AN73" s="27" t="s">
        <v>124</v>
      </c>
      <c r="AO73" s="27" t="s">
        <v>124</v>
      </c>
      <c r="AP73" s="27"/>
      <c r="AQ73" s="27"/>
    </row>
    <row r="74" spans="1:43" x14ac:dyDescent="0.25">
      <c r="A74" s="29">
        <v>1</v>
      </c>
      <c r="C74" s="24" t="str">
        <f>"    Number of Estimates"</f>
        <v xml:space="preserve">    Number of Estimates</v>
      </c>
      <c r="D74" s="37">
        <v>14</v>
      </c>
      <c r="E74" s="37">
        <v>20</v>
      </c>
      <c r="F74" s="37">
        <v>21</v>
      </c>
      <c r="G74" s="37">
        <v>21</v>
      </c>
      <c r="H74" s="37">
        <v>16</v>
      </c>
      <c r="I74" s="37">
        <v>17</v>
      </c>
      <c r="J74" s="37">
        <v>22</v>
      </c>
      <c r="K74" s="37">
        <v>25</v>
      </c>
      <c r="L74" s="30" t="s">
        <v>124</v>
      </c>
      <c r="M74" s="27" t="s">
        <v>124</v>
      </c>
      <c r="N74" s="27" t="s">
        <v>124</v>
      </c>
      <c r="O74" s="27" t="s">
        <v>124</v>
      </c>
      <c r="P74" s="27" t="s">
        <v>124</v>
      </c>
      <c r="Q74" s="27" t="s">
        <v>124</v>
      </c>
      <c r="R74" s="27" t="s">
        <v>124</v>
      </c>
      <c r="S74" s="27" t="s">
        <v>124</v>
      </c>
      <c r="T74" s="27" t="s">
        <v>124</v>
      </c>
      <c r="U74" s="27" t="s">
        <v>124</v>
      </c>
      <c r="V74" s="27" t="s">
        <v>124</v>
      </c>
      <c r="W74" s="27" t="s">
        <v>124</v>
      </c>
      <c r="X74" s="27" t="s">
        <v>124</v>
      </c>
      <c r="Y74" s="27" t="s">
        <v>124</v>
      </c>
      <c r="Z74" s="27" t="s">
        <v>124</v>
      </c>
      <c r="AA74" s="27" t="s">
        <v>124</v>
      </c>
      <c r="AB74" s="27" t="s">
        <v>124</v>
      </c>
      <c r="AC74" s="27" t="s">
        <v>124</v>
      </c>
      <c r="AD74" s="27" t="s">
        <v>124</v>
      </c>
      <c r="AE74" s="27" t="s">
        <v>124</v>
      </c>
      <c r="AF74" s="27" t="s">
        <v>124</v>
      </c>
      <c r="AG74" s="27" t="s">
        <v>124</v>
      </c>
      <c r="AH74" s="27" t="s">
        <v>124</v>
      </c>
      <c r="AI74" s="27" t="s">
        <v>124</v>
      </c>
      <c r="AJ74" s="27" t="s">
        <v>124</v>
      </c>
      <c r="AK74" s="27" t="s">
        <v>124</v>
      </c>
      <c r="AL74" s="27" t="s">
        <v>124</v>
      </c>
      <c r="AM74" s="27" t="s">
        <v>124</v>
      </c>
      <c r="AN74" s="27" t="s">
        <v>124</v>
      </c>
      <c r="AO74" s="27" t="s">
        <v>124</v>
      </c>
      <c r="AP74" s="27"/>
      <c r="AQ74" s="27"/>
    </row>
    <row r="75" spans="1:43" x14ac:dyDescent="0.25">
      <c r="A75" s="29">
        <v>1</v>
      </c>
      <c r="C75" s="26" t="str">
        <f>"Diluted EPS"</f>
        <v>Diluted EPS</v>
      </c>
      <c r="D75" s="44" t="s">
        <v>124</v>
      </c>
      <c r="E75" s="44" t="s">
        <v>124</v>
      </c>
      <c r="F75" s="44" t="s">
        <v>124</v>
      </c>
      <c r="G75" s="44" t="s">
        <v>124</v>
      </c>
      <c r="H75" s="44" t="s">
        <v>124</v>
      </c>
      <c r="I75" s="44" t="s">
        <v>124</v>
      </c>
      <c r="J75" s="44" t="s">
        <v>124</v>
      </c>
      <c r="K75" s="44" t="s">
        <v>124</v>
      </c>
      <c r="L75" s="30" t="s">
        <v>124</v>
      </c>
      <c r="M75" s="27" t="s">
        <v>124</v>
      </c>
      <c r="N75" s="27" t="s">
        <v>124</v>
      </c>
      <c r="O75" s="27" t="s">
        <v>124</v>
      </c>
      <c r="P75" s="27" t="s">
        <v>124</v>
      </c>
      <c r="Q75" s="27" t="s">
        <v>124</v>
      </c>
      <c r="R75" s="27" t="s">
        <v>124</v>
      </c>
      <c r="S75" s="27" t="s">
        <v>124</v>
      </c>
      <c r="T75" s="27" t="s">
        <v>124</v>
      </c>
      <c r="U75" s="27" t="s">
        <v>124</v>
      </c>
      <c r="V75" s="27" t="s">
        <v>124</v>
      </c>
      <c r="W75" s="27" t="s">
        <v>124</v>
      </c>
      <c r="X75" s="27" t="s">
        <v>124</v>
      </c>
      <c r="Y75" s="27" t="s">
        <v>124</v>
      </c>
      <c r="Z75" s="27" t="s">
        <v>124</v>
      </c>
      <c r="AA75" s="27" t="s">
        <v>124</v>
      </c>
      <c r="AB75" s="27" t="s">
        <v>124</v>
      </c>
      <c r="AC75" s="27" t="s">
        <v>124</v>
      </c>
      <c r="AD75" s="27" t="s">
        <v>124</v>
      </c>
      <c r="AE75" s="27" t="s">
        <v>124</v>
      </c>
      <c r="AF75" s="27" t="s">
        <v>124</v>
      </c>
      <c r="AG75" s="27" t="s">
        <v>124</v>
      </c>
      <c r="AH75" s="27" t="s">
        <v>124</v>
      </c>
      <c r="AI75" s="27" t="s">
        <v>124</v>
      </c>
      <c r="AJ75" s="27" t="s">
        <v>124</v>
      </c>
      <c r="AK75" s="27" t="s">
        <v>124</v>
      </c>
      <c r="AL75" s="27" t="s">
        <v>124</v>
      </c>
      <c r="AM75" s="27" t="s">
        <v>124</v>
      </c>
      <c r="AN75" s="27" t="s">
        <v>124</v>
      </c>
      <c r="AO75" s="27" t="s">
        <v>124</v>
      </c>
      <c r="AP75" s="27"/>
      <c r="AQ75" s="27"/>
    </row>
    <row r="76" spans="1:43" x14ac:dyDescent="0.25">
      <c r="A76" s="29">
        <v>1</v>
      </c>
      <c r="C76" s="24" t="str">
        <f>"    Actual"</f>
        <v xml:space="preserve">    Actual</v>
      </c>
      <c r="D76" s="38" t="s">
        <v>124</v>
      </c>
      <c r="E76" s="38" t="s">
        <v>124</v>
      </c>
      <c r="F76" s="38" t="s">
        <v>124</v>
      </c>
      <c r="G76" s="38">
        <v>6.7</v>
      </c>
      <c r="H76" s="38">
        <v>4.33</v>
      </c>
      <c r="I76" s="38">
        <v>4.57</v>
      </c>
      <c r="J76" s="38">
        <v>5.53</v>
      </c>
      <c r="K76" s="38">
        <v>-2.65</v>
      </c>
      <c r="L76" s="30" t="s">
        <v>124</v>
      </c>
      <c r="M76" s="27" t="s">
        <v>124</v>
      </c>
      <c r="N76" s="27" t="s">
        <v>124</v>
      </c>
      <c r="O76" s="27" t="s">
        <v>124</v>
      </c>
      <c r="P76" s="27" t="s">
        <v>124</v>
      </c>
      <c r="Q76" s="27" t="s">
        <v>124</v>
      </c>
      <c r="R76" s="27" t="s">
        <v>124</v>
      </c>
      <c r="S76" s="27" t="s">
        <v>124</v>
      </c>
      <c r="T76" s="27" t="s">
        <v>124</v>
      </c>
      <c r="U76" s="27" t="s">
        <v>124</v>
      </c>
      <c r="V76" s="27" t="s">
        <v>124</v>
      </c>
      <c r="W76" s="27" t="s">
        <v>124</v>
      </c>
      <c r="X76" s="27" t="s">
        <v>124</v>
      </c>
      <c r="Y76" s="27" t="s">
        <v>124</v>
      </c>
      <c r="Z76" s="27" t="s">
        <v>124</v>
      </c>
      <c r="AA76" s="27" t="s">
        <v>124</v>
      </c>
      <c r="AB76" s="27" t="s">
        <v>124</v>
      </c>
      <c r="AC76" s="27" t="s">
        <v>124</v>
      </c>
      <c r="AD76" s="27" t="s">
        <v>124</v>
      </c>
      <c r="AE76" s="27" t="s">
        <v>124</v>
      </c>
      <c r="AF76" s="27" t="s">
        <v>124</v>
      </c>
      <c r="AG76" s="27" t="s">
        <v>124</v>
      </c>
      <c r="AH76" s="27" t="s">
        <v>124</v>
      </c>
      <c r="AI76" s="27" t="s">
        <v>124</v>
      </c>
      <c r="AJ76" s="27" t="s">
        <v>124</v>
      </c>
      <c r="AK76" s="27" t="s">
        <v>124</v>
      </c>
      <c r="AL76" s="27" t="s">
        <v>124</v>
      </c>
      <c r="AM76" s="27" t="s">
        <v>124</v>
      </c>
      <c r="AN76" s="27" t="s">
        <v>124</v>
      </c>
      <c r="AO76" s="27" t="s">
        <v>124</v>
      </c>
      <c r="AP76" s="27"/>
      <c r="AQ76" s="27"/>
    </row>
    <row r="77" spans="1:43" x14ac:dyDescent="0.25">
      <c r="A77" s="29">
        <v>1</v>
      </c>
      <c r="C77" s="24" t="str">
        <f>"    Median"</f>
        <v xml:space="preserve">    Median</v>
      </c>
      <c r="D77" s="38">
        <v>6.0750000000000002</v>
      </c>
      <c r="E77" s="38">
        <v>6</v>
      </c>
      <c r="F77" s="38">
        <v>6.56</v>
      </c>
      <c r="G77" s="38">
        <v>6.813669</v>
      </c>
      <c r="H77" s="38">
        <v>4.2300000000000004</v>
      </c>
      <c r="I77" s="38">
        <v>4.57</v>
      </c>
      <c r="J77" s="38">
        <v>6.26</v>
      </c>
      <c r="K77" s="38">
        <v>2.5099999999999998</v>
      </c>
      <c r="L77" s="30" t="s">
        <v>124</v>
      </c>
      <c r="M77" s="27" t="s">
        <v>124</v>
      </c>
      <c r="N77" s="27" t="s">
        <v>124</v>
      </c>
      <c r="O77" s="27" t="s">
        <v>124</v>
      </c>
      <c r="P77" s="27" t="s">
        <v>124</v>
      </c>
      <c r="Q77" s="27" t="s">
        <v>124</v>
      </c>
      <c r="R77" s="27" t="s">
        <v>124</v>
      </c>
      <c r="S77" s="27" t="s">
        <v>124</v>
      </c>
      <c r="T77" s="27" t="s">
        <v>124</v>
      </c>
      <c r="U77" s="27" t="s">
        <v>124</v>
      </c>
      <c r="V77" s="27" t="s">
        <v>124</v>
      </c>
      <c r="W77" s="27" t="s">
        <v>124</v>
      </c>
      <c r="X77" s="27" t="s">
        <v>124</v>
      </c>
      <c r="Y77" s="27" t="s">
        <v>124</v>
      </c>
      <c r="Z77" s="27" t="s">
        <v>124</v>
      </c>
      <c r="AA77" s="27" t="s">
        <v>124</v>
      </c>
      <c r="AB77" s="27" t="s">
        <v>124</v>
      </c>
      <c r="AC77" s="27" t="s">
        <v>124</v>
      </c>
      <c r="AD77" s="27" t="s">
        <v>124</v>
      </c>
      <c r="AE77" s="27" t="s">
        <v>124</v>
      </c>
      <c r="AF77" s="27" t="s">
        <v>124</v>
      </c>
      <c r="AG77" s="27" t="s">
        <v>124</v>
      </c>
      <c r="AH77" s="27" t="s">
        <v>124</v>
      </c>
      <c r="AI77" s="27" t="s">
        <v>124</v>
      </c>
      <c r="AJ77" s="27" t="s">
        <v>124</v>
      </c>
      <c r="AK77" s="27" t="s">
        <v>124</v>
      </c>
      <c r="AL77" s="27" t="s">
        <v>124</v>
      </c>
      <c r="AM77" s="27" t="s">
        <v>124</v>
      </c>
      <c r="AN77" s="27" t="s">
        <v>124</v>
      </c>
      <c r="AO77" s="27" t="s">
        <v>124</v>
      </c>
      <c r="AP77" s="27"/>
      <c r="AQ77" s="27"/>
    </row>
    <row r="78" spans="1:43" x14ac:dyDescent="0.25">
      <c r="A78" s="29">
        <v>1</v>
      </c>
      <c r="C78" s="24" t="str">
        <f>"    High"</f>
        <v xml:space="preserve">    High</v>
      </c>
      <c r="D78" s="38">
        <v>8.16</v>
      </c>
      <c r="E78" s="38">
        <v>7.75</v>
      </c>
      <c r="F78" s="38">
        <v>8.4499999999999993</v>
      </c>
      <c r="G78" s="38">
        <v>7.3623159999999999</v>
      </c>
      <c r="H78" s="38">
        <v>4.78</v>
      </c>
      <c r="I78" s="38">
        <v>4.57</v>
      </c>
      <c r="J78" s="38">
        <v>6.43</v>
      </c>
      <c r="K78" s="38">
        <v>3.75</v>
      </c>
      <c r="L78" s="30" t="s">
        <v>124</v>
      </c>
      <c r="M78" s="27" t="s">
        <v>124</v>
      </c>
      <c r="N78" s="27" t="s">
        <v>124</v>
      </c>
      <c r="O78" s="27" t="s">
        <v>124</v>
      </c>
      <c r="P78" s="27" t="s">
        <v>124</v>
      </c>
      <c r="Q78" s="27" t="s">
        <v>124</v>
      </c>
      <c r="R78" s="27" t="s">
        <v>124</v>
      </c>
      <c r="S78" s="27" t="s">
        <v>124</v>
      </c>
      <c r="T78" s="27" t="s">
        <v>124</v>
      </c>
      <c r="U78" s="27" t="s">
        <v>124</v>
      </c>
      <c r="V78" s="27" t="s">
        <v>124</v>
      </c>
      <c r="W78" s="27" t="s">
        <v>124</v>
      </c>
      <c r="X78" s="27" t="s">
        <v>124</v>
      </c>
      <c r="Y78" s="27" t="s">
        <v>124</v>
      </c>
      <c r="Z78" s="27" t="s">
        <v>124</v>
      </c>
      <c r="AA78" s="27" t="s">
        <v>124</v>
      </c>
      <c r="AB78" s="27" t="s">
        <v>124</v>
      </c>
      <c r="AC78" s="27" t="s">
        <v>124</v>
      </c>
      <c r="AD78" s="27" t="s">
        <v>124</v>
      </c>
      <c r="AE78" s="27" t="s">
        <v>124</v>
      </c>
      <c r="AF78" s="27" t="s">
        <v>124</v>
      </c>
      <c r="AG78" s="27" t="s">
        <v>124</v>
      </c>
      <c r="AH78" s="27" t="s">
        <v>124</v>
      </c>
      <c r="AI78" s="27" t="s">
        <v>124</v>
      </c>
      <c r="AJ78" s="27" t="s">
        <v>124</v>
      </c>
      <c r="AK78" s="27" t="s">
        <v>124</v>
      </c>
      <c r="AL78" s="27" t="s">
        <v>124</v>
      </c>
      <c r="AM78" s="27" t="s">
        <v>124</v>
      </c>
      <c r="AN78" s="27" t="s">
        <v>124</v>
      </c>
      <c r="AO78" s="27" t="s">
        <v>124</v>
      </c>
      <c r="AP78" s="27"/>
      <c r="AQ78" s="27"/>
    </row>
    <row r="79" spans="1:43" x14ac:dyDescent="0.25">
      <c r="A79" s="29">
        <v>1</v>
      </c>
      <c r="C79" s="24" t="str">
        <f>"    Low"</f>
        <v xml:space="preserve">    Low</v>
      </c>
      <c r="D79" s="38">
        <v>4.8923509999999997</v>
      </c>
      <c r="E79" s="38">
        <v>3.361354</v>
      </c>
      <c r="F79" s="38">
        <v>5.86</v>
      </c>
      <c r="G79" s="38">
        <v>6.38</v>
      </c>
      <c r="H79" s="38">
        <v>3.83</v>
      </c>
      <c r="I79" s="38">
        <v>4.57</v>
      </c>
      <c r="J79" s="38">
        <v>5.2</v>
      </c>
      <c r="K79" s="38">
        <v>2.09</v>
      </c>
      <c r="L79" s="30" t="s">
        <v>124</v>
      </c>
      <c r="M79" s="27" t="s">
        <v>124</v>
      </c>
      <c r="N79" s="27" t="s">
        <v>124</v>
      </c>
      <c r="O79" s="27" t="s">
        <v>124</v>
      </c>
      <c r="P79" s="27" t="s">
        <v>124</v>
      </c>
      <c r="Q79" s="27" t="s">
        <v>124</v>
      </c>
      <c r="R79" s="27" t="s">
        <v>124</v>
      </c>
      <c r="S79" s="27" t="s">
        <v>124</v>
      </c>
      <c r="T79" s="27" t="s">
        <v>124</v>
      </c>
      <c r="U79" s="27" t="s">
        <v>124</v>
      </c>
      <c r="V79" s="27" t="s">
        <v>124</v>
      </c>
      <c r="W79" s="27" t="s">
        <v>124</v>
      </c>
      <c r="X79" s="27" t="s">
        <v>124</v>
      </c>
      <c r="Y79" s="27" t="s">
        <v>124</v>
      </c>
      <c r="Z79" s="27" t="s">
        <v>124</v>
      </c>
      <c r="AA79" s="27" t="s">
        <v>124</v>
      </c>
      <c r="AB79" s="27" t="s">
        <v>124</v>
      </c>
      <c r="AC79" s="27" t="s">
        <v>124</v>
      </c>
      <c r="AD79" s="27" t="s">
        <v>124</v>
      </c>
      <c r="AE79" s="27" t="s">
        <v>124</v>
      </c>
      <c r="AF79" s="27" t="s">
        <v>124</v>
      </c>
      <c r="AG79" s="27" t="s">
        <v>124</v>
      </c>
      <c r="AH79" s="27" t="s">
        <v>124</v>
      </c>
      <c r="AI79" s="27" t="s">
        <v>124</v>
      </c>
      <c r="AJ79" s="27" t="s">
        <v>124</v>
      </c>
      <c r="AK79" s="27" t="s">
        <v>124</v>
      </c>
      <c r="AL79" s="27" t="s">
        <v>124</v>
      </c>
      <c r="AM79" s="27" t="s">
        <v>124</v>
      </c>
      <c r="AN79" s="27" t="s">
        <v>124</v>
      </c>
      <c r="AO79" s="27" t="s">
        <v>124</v>
      </c>
      <c r="AP79" s="27"/>
      <c r="AQ79" s="27"/>
    </row>
    <row r="80" spans="1:43" x14ac:dyDescent="0.25">
      <c r="A80" s="29">
        <v>1</v>
      </c>
      <c r="C80" s="24" t="str">
        <f>"    Mean"</f>
        <v xml:space="preserve">    Mean</v>
      </c>
      <c r="D80" s="38">
        <v>6.1920260000000003</v>
      </c>
      <c r="E80" s="38">
        <v>6.0177139999999998</v>
      </c>
      <c r="F80" s="38">
        <v>6.841494</v>
      </c>
      <c r="G80" s="38">
        <v>6.8242260000000003</v>
      </c>
      <c r="H80" s="38">
        <v>4.261622</v>
      </c>
      <c r="I80" s="38">
        <v>4.57</v>
      </c>
      <c r="J80" s="38">
        <v>6.0589649999999997</v>
      </c>
      <c r="K80" s="38">
        <v>2.7149999999999999</v>
      </c>
      <c r="L80" s="30" t="s">
        <v>124</v>
      </c>
      <c r="M80" s="27" t="s">
        <v>124</v>
      </c>
      <c r="N80" s="27" t="s">
        <v>124</v>
      </c>
      <c r="O80" s="27" t="s">
        <v>124</v>
      </c>
      <c r="P80" s="27" t="s">
        <v>124</v>
      </c>
      <c r="Q80" s="27" t="s">
        <v>124</v>
      </c>
      <c r="R80" s="27" t="s">
        <v>124</v>
      </c>
      <c r="S80" s="27" t="s">
        <v>124</v>
      </c>
      <c r="T80" s="27" t="s">
        <v>124</v>
      </c>
      <c r="U80" s="27" t="s">
        <v>124</v>
      </c>
      <c r="V80" s="27" t="s">
        <v>124</v>
      </c>
      <c r="W80" s="27" t="s">
        <v>124</v>
      </c>
      <c r="X80" s="27" t="s">
        <v>124</v>
      </c>
      <c r="Y80" s="27" t="s">
        <v>124</v>
      </c>
      <c r="Z80" s="27" t="s">
        <v>124</v>
      </c>
      <c r="AA80" s="27" t="s">
        <v>124</v>
      </c>
      <c r="AB80" s="27" t="s">
        <v>124</v>
      </c>
      <c r="AC80" s="27" t="s">
        <v>124</v>
      </c>
      <c r="AD80" s="27" t="s">
        <v>124</v>
      </c>
      <c r="AE80" s="27" t="s">
        <v>124</v>
      </c>
      <c r="AF80" s="27" t="s">
        <v>124</v>
      </c>
      <c r="AG80" s="27" t="s">
        <v>124</v>
      </c>
      <c r="AH80" s="27" t="s">
        <v>124</v>
      </c>
      <c r="AI80" s="27" t="s">
        <v>124</v>
      </c>
      <c r="AJ80" s="27" t="s">
        <v>124</v>
      </c>
      <c r="AK80" s="27" t="s">
        <v>124</v>
      </c>
      <c r="AL80" s="27" t="s">
        <v>124</v>
      </c>
      <c r="AM80" s="27" t="s">
        <v>124</v>
      </c>
      <c r="AN80" s="27" t="s">
        <v>124</v>
      </c>
      <c r="AO80" s="27" t="s">
        <v>124</v>
      </c>
      <c r="AP80" s="27"/>
      <c r="AQ80" s="27"/>
    </row>
    <row r="81" spans="1:43" x14ac:dyDescent="0.25">
      <c r="A81" s="29">
        <v>1</v>
      </c>
      <c r="C81" s="24" t="str">
        <f>"    Standard Deviation"</f>
        <v xml:space="preserve">    Standard Deviation</v>
      </c>
      <c r="D81" s="38">
        <v>0.907968</v>
      </c>
      <c r="E81" s="38">
        <v>1.071679</v>
      </c>
      <c r="F81" s="38">
        <v>0.69042899999999996</v>
      </c>
      <c r="G81" s="38">
        <v>0.28336099999999997</v>
      </c>
      <c r="H81" s="38">
        <v>0.33336199999999999</v>
      </c>
      <c r="I81" s="38" t="s">
        <v>124</v>
      </c>
      <c r="J81" s="38">
        <v>0.44575700000000001</v>
      </c>
      <c r="K81" s="38">
        <v>0.78530199999999994</v>
      </c>
      <c r="L81" s="30" t="s">
        <v>124</v>
      </c>
      <c r="M81" s="27" t="s">
        <v>124</v>
      </c>
      <c r="N81" s="27" t="s">
        <v>124</v>
      </c>
      <c r="O81" s="27" t="s">
        <v>124</v>
      </c>
      <c r="P81" s="27" t="s">
        <v>124</v>
      </c>
      <c r="Q81" s="27" t="s">
        <v>124</v>
      </c>
      <c r="R81" s="27" t="s">
        <v>124</v>
      </c>
      <c r="S81" s="27" t="s">
        <v>124</v>
      </c>
      <c r="T81" s="27" t="s">
        <v>124</v>
      </c>
      <c r="U81" s="27" t="s">
        <v>124</v>
      </c>
      <c r="V81" s="27" t="s">
        <v>124</v>
      </c>
      <c r="W81" s="27" t="s">
        <v>124</v>
      </c>
      <c r="X81" s="27" t="s">
        <v>124</v>
      </c>
      <c r="Y81" s="27" t="s">
        <v>124</v>
      </c>
      <c r="Z81" s="27" t="s">
        <v>124</v>
      </c>
      <c r="AA81" s="27" t="s">
        <v>124</v>
      </c>
      <c r="AB81" s="27" t="s">
        <v>124</v>
      </c>
      <c r="AC81" s="27" t="s">
        <v>124</v>
      </c>
      <c r="AD81" s="27" t="s">
        <v>124</v>
      </c>
      <c r="AE81" s="27" t="s">
        <v>124</v>
      </c>
      <c r="AF81" s="27" t="s">
        <v>124</v>
      </c>
      <c r="AG81" s="27" t="s">
        <v>124</v>
      </c>
      <c r="AH81" s="27" t="s">
        <v>124</v>
      </c>
      <c r="AI81" s="27" t="s">
        <v>124</v>
      </c>
      <c r="AJ81" s="27" t="s">
        <v>124</v>
      </c>
      <c r="AK81" s="27" t="s">
        <v>124</v>
      </c>
      <c r="AL81" s="27" t="s">
        <v>124</v>
      </c>
      <c r="AM81" s="27" t="s">
        <v>124</v>
      </c>
      <c r="AN81" s="27" t="s">
        <v>124</v>
      </c>
      <c r="AO81" s="27" t="s">
        <v>124</v>
      </c>
      <c r="AP81" s="27"/>
      <c r="AQ81" s="27"/>
    </row>
    <row r="82" spans="1:43" x14ac:dyDescent="0.25">
      <c r="A82" s="29">
        <v>1</v>
      </c>
      <c r="C82" s="24" t="str">
        <f>"    Number of Estimates"</f>
        <v xml:space="preserve">    Number of Estimates</v>
      </c>
      <c r="D82" s="37">
        <v>10</v>
      </c>
      <c r="E82" s="37">
        <v>13</v>
      </c>
      <c r="F82" s="37">
        <v>13</v>
      </c>
      <c r="G82" s="37">
        <v>12</v>
      </c>
      <c r="H82" s="37">
        <v>11</v>
      </c>
      <c r="I82" s="37">
        <v>1</v>
      </c>
      <c r="J82" s="37">
        <v>11</v>
      </c>
      <c r="K82" s="37">
        <v>4</v>
      </c>
      <c r="L82" s="30" t="s">
        <v>124</v>
      </c>
      <c r="M82" s="27" t="s">
        <v>124</v>
      </c>
      <c r="N82" s="27" t="s">
        <v>124</v>
      </c>
      <c r="O82" s="27" t="s">
        <v>124</v>
      </c>
      <c r="P82" s="27" t="s">
        <v>124</v>
      </c>
      <c r="Q82" s="27" t="s">
        <v>124</v>
      </c>
      <c r="R82" s="27" t="s">
        <v>124</v>
      </c>
      <c r="S82" s="27" t="s">
        <v>124</v>
      </c>
      <c r="T82" s="27" t="s">
        <v>124</v>
      </c>
      <c r="U82" s="27" t="s">
        <v>124</v>
      </c>
      <c r="V82" s="27" t="s">
        <v>124</v>
      </c>
      <c r="W82" s="27" t="s">
        <v>124</v>
      </c>
      <c r="X82" s="27" t="s">
        <v>124</v>
      </c>
      <c r="Y82" s="27" t="s">
        <v>124</v>
      </c>
      <c r="Z82" s="27" t="s">
        <v>124</v>
      </c>
      <c r="AA82" s="27" t="s">
        <v>124</v>
      </c>
      <c r="AB82" s="27" t="s">
        <v>124</v>
      </c>
      <c r="AC82" s="27" t="s">
        <v>124</v>
      </c>
      <c r="AD82" s="27" t="s">
        <v>124</v>
      </c>
      <c r="AE82" s="27" t="s">
        <v>124</v>
      </c>
      <c r="AF82" s="27" t="s">
        <v>124</v>
      </c>
      <c r="AG82" s="27" t="s">
        <v>124</v>
      </c>
      <c r="AH82" s="27" t="s">
        <v>124</v>
      </c>
      <c r="AI82" s="27" t="s">
        <v>124</v>
      </c>
      <c r="AJ82" s="27" t="s">
        <v>124</v>
      </c>
      <c r="AK82" s="27" t="s">
        <v>124</v>
      </c>
      <c r="AL82" s="27" t="s">
        <v>124</v>
      </c>
      <c r="AM82" s="27" t="s">
        <v>124</v>
      </c>
      <c r="AN82" s="27" t="s">
        <v>124</v>
      </c>
      <c r="AO82" s="27" t="s">
        <v>124</v>
      </c>
      <c r="AP82" s="27"/>
      <c r="AQ82" s="27"/>
    </row>
    <row r="83" spans="1:43" x14ac:dyDescent="0.25">
      <c r="A83" s="29">
        <v>1</v>
      </c>
      <c r="C83" s="26" t="str">
        <f>"Diluted EPS from Continuing Operations"</f>
        <v>Diluted EPS from Continuing Operations</v>
      </c>
      <c r="D83" s="44" t="s">
        <v>124</v>
      </c>
      <c r="E83" s="44" t="s">
        <v>124</v>
      </c>
      <c r="F83" s="44" t="s">
        <v>124</v>
      </c>
      <c r="G83" s="44" t="s">
        <v>124</v>
      </c>
      <c r="H83" s="44" t="s">
        <v>124</v>
      </c>
      <c r="I83" s="44" t="s">
        <v>124</v>
      </c>
      <c r="J83" s="44" t="s">
        <v>124</v>
      </c>
      <c r="K83" s="44" t="s">
        <v>124</v>
      </c>
      <c r="L83" s="30" t="s">
        <v>124</v>
      </c>
      <c r="M83" s="27" t="s">
        <v>124</v>
      </c>
      <c r="N83" s="27" t="s">
        <v>124</v>
      </c>
      <c r="O83" s="27" t="s">
        <v>124</v>
      </c>
      <c r="P83" s="27" t="s">
        <v>124</v>
      </c>
      <c r="Q83" s="27" t="s">
        <v>124</v>
      </c>
      <c r="R83" s="27" t="s">
        <v>124</v>
      </c>
      <c r="S83" s="27" t="s">
        <v>124</v>
      </c>
      <c r="T83" s="27" t="s">
        <v>124</v>
      </c>
      <c r="U83" s="27" t="s">
        <v>124</v>
      </c>
      <c r="V83" s="27" t="s">
        <v>124</v>
      </c>
      <c r="W83" s="27" t="s">
        <v>124</v>
      </c>
      <c r="X83" s="27" t="s">
        <v>124</v>
      </c>
      <c r="Y83" s="27" t="s">
        <v>124</v>
      </c>
      <c r="Z83" s="27" t="s">
        <v>124</v>
      </c>
      <c r="AA83" s="27" t="s">
        <v>124</v>
      </c>
      <c r="AB83" s="27" t="s">
        <v>124</v>
      </c>
      <c r="AC83" s="27" t="s">
        <v>124</v>
      </c>
      <c r="AD83" s="27" t="s">
        <v>124</v>
      </c>
      <c r="AE83" s="27" t="s">
        <v>124</v>
      </c>
      <c r="AF83" s="27" t="s">
        <v>124</v>
      </c>
      <c r="AG83" s="27" t="s">
        <v>124</v>
      </c>
      <c r="AH83" s="27" t="s">
        <v>124</v>
      </c>
      <c r="AI83" s="27" t="s">
        <v>124</v>
      </c>
      <c r="AJ83" s="27" t="s">
        <v>124</v>
      </c>
      <c r="AK83" s="27" t="s">
        <v>124</v>
      </c>
      <c r="AL83" s="27" t="s">
        <v>124</v>
      </c>
      <c r="AM83" s="27" t="s">
        <v>124</v>
      </c>
      <c r="AN83" s="27" t="s">
        <v>124</v>
      </c>
      <c r="AO83" s="27" t="s">
        <v>124</v>
      </c>
      <c r="AP83" s="27"/>
      <c r="AQ83" s="27"/>
    </row>
    <row r="84" spans="1:43" x14ac:dyDescent="0.25">
      <c r="A84" s="29">
        <v>1</v>
      </c>
      <c r="C84" s="24" t="str">
        <f>"    Actual"</f>
        <v xml:space="preserve">    Actual</v>
      </c>
      <c r="D84" s="38" t="s">
        <v>124</v>
      </c>
      <c r="E84" s="38" t="s">
        <v>124</v>
      </c>
      <c r="F84" s="38" t="s">
        <v>124</v>
      </c>
      <c r="G84" s="38">
        <v>6.7</v>
      </c>
      <c r="H84" s="38">
        <v>4.33</v>
      </c>
      <c r="I84" s="38">
        <v>4.57</v>
      </c>
      <c r="J84" s="38">
        <v>5.58</v>
      </c>
      <c r="K84" s="38">
        <v>0.22</v>
      </c>
      <c r="L84" s="30" t="s">
        <v>124</v>
      </c>
      <c r="M84" s="27" t="s">
        <v>124</v>
      </c>
      <c r="N84" s="27" t="s">
        <v>124</v>
      </c>
      <c r="O84" s="27" t="s">
        <v>124</v>
      </c>
      <c r="P84" s="27" t="s">
        <v>124</v>
      </c>
      <c r="Q84" s="27" t="s">
        <v>124</v>
      </c>
      <c r="R84" s="27" t="s">
        <v>124</v>
      </c>
      <c r="S84" s="27" t="s">
        <v>124</v>
      </c>
      <c r="T84" s="27" t="s">
        <v>124</v>
      </c>
      <c r="U84" s="27" t="s">
        <v>124</v>
      </c>
      <c r="V84" s="27" t="s">
        <v>124</v>
      </c>
      <c r="W84" s="27" t="s">
        <v>124</v>
      </c>
      <c r="X84" s="27" t="s">
        <v>124</v>
      </c>
      <c r="Y84" s="27" t="s">
        <v>124</v>
      </c>
      <c r="Z84" s="27" t="s">
        <v>124</v>
      </c>
      <c r="AA84" s="27" t="s">
        <v>124</v>
      </c>
      <c r="AB84" s="27" t="s">
        <v>124</v>
      </c>
      <c r="AC84" s="27" t="s">
        <v>124</v>
      </c>
      <c r="AD84" s="27" t="s">
        <v>124</v>
      </c>
      <c r="AE84" s="27" t="s">
        <v>124</v>
      </c>
      <c r="AF84" s="27" t="s">
        <v>124</v>
      </c>
      <c r="AG84" s="27" t="s">
        <v>124</v>
      </c>
      <c r="AH84" s="27" t="s">
        <v>124</v>
      </c>
      <c r="AI84" s="27" t="s">
        <v>124</v>
      </c>
      <c r="AJ84" s="27" t="s">
        <v>124</v>
      </c>
      <c r="AK84" s="27" t="s">
        <v>124</v>
      </c>
      <c r="AL84" s="27" t="s">
        <v>124</v>
      </c>
      <c r="AM84" s="27" t="s">
        <v>124</v>
      </c>
      <c r="AN84" s="27" t="s">
        <v>124</v>
      </c>
      <c r="AO84" s="27" t="s">
        <v>124</v>
      </c>
      <c r="AP84" s="27"/>
      <c r="AQ84" s="27"/>
    </row>
    <row r="85" spans="1:43" x14ac:dyDescent="0.25">
      <c r="A85" s="29">
        <v>1</v>
      </c>
      <c r="C85" s="26" t="str">
        <f>"Operating Cash Flow per Share"</f>
        <v>Operating Cash Flow per Share</v>
      </c>
      <c r="D85" s="44" t="s">
        <v>124</v>
      </c>
      <c r="E85" s="44" t="s">
        <v>124</v>
      </c>
      <c r="F85" s="44" t="s">
        <v>124</v>
      </c>
      <c r="G85" s="44" t="s">
        <v>124</v>
      </c>
      <c r="H85" s="44" t="s">
        <v>124</v>
      </c>
      <c r="I85" s="44" t="s">
        <v>124</v>
      </c>
      <c r="J85" s="44" t="s">
        <v>124</v>
      </c>
      <c r="K85" s="44" t="s">
        <v>124</v>
      </c>
      <c r="L85" s="30" t="s">
        <v>124</v>
      </c>
      <c r="M85" s="27" t="s">
        <v>124</v>
      </c>
      <c r="N85" s="27" t="s">
        <v>124</v>
      </c>
      <c r="O85" s="27" t="s">
        <v>124</v>
      </c>
      <c r="P85" s="27" t="s">
        <v>124</v>
      </c>
      <c r="Q85" s="27" t="s">
        <v>124</v>
      </c>
      <c r="R85" s="27" t="s">
        <v>124</v>
      </c>
      <c r="S85" s="27" t="s">
        <v>124</v>
      </c>
      <c r="T85" s="27" t="s">
        <v>124</v>
      </c>
      <c r="U85" s="27" t="s">
        <v>124</v>
      </c>
      <c r="V85" s="27" t="s">
        <v>124</v>
      </c>
      <c r="W85" s="27" t="s">
        <v>124</v>
      </c>
      <c r="X85" s="27" t="s">
        <v>124</v>
      </c>
      <c r="Y85" s="27" t="s">
        <v>124</v>
      </c>
      <c r="Z85" s="27" t="s">
        <v>124</v>
      </c>
      <c r="AA85" s="27" t="s">
        <v>124</v>
      </c>
      <c r="AB85" s="27" t="s">
        <v>124</v>
      </c>
      <c r="AC85" s="27" t="s">
        <v>124</v>
      </c>
      <c r="AD85" s="27" t="s">
        <v>124</v>
      </c>
      <c r="AE85" s="27" t="s">
        <v>124</v>
      </c>
      <c r="AF85" s="27" t="s">
        <v>124</v>
      </c>
      <c r="AG85" s="27" t="s">
        <v>124</v>
      </c>
      <c r="AH85" s="27" t="s">
        <v>124</v>
      </c>
      <c r="AI85" s="27" t="s">
        <v>124</v>
      </c>
      <c r="AJ85" s="27" t="s">
        <v>124</v>
      </c>
      <c r="AK85" s="27" t="s">
        <v>124</v>
      </c>
      <c r="AL85" s="27" t="s">
        <v>124</v>
      </c>
      <c r="AM85" s="27" t="s">
        <v>124</v>
      </c>
      <c r="AN85" s="27" t="s">
        <v>124</v>
      </c>
      <c r="AO85" s="27" t="s">
        <v>124</v>
      </c>
      <c r="AP85" s="27"/>
      <c r="AQ85" s="27"/>
    </row>
    <row r="86" spans="1:43" x14ac:dyDescent="0.25">
      <c r="A86" s="29">
        <v>1</v>
      </c>
      <c r="C86" s="24" t="str">
        <f>"    Actual"</f>
        <v xml:space="preserve">    Actual</v>
      </c>
      <c r="D86" s="38" t="s">
        <v>124</v>
      </c>
      <c r="E86" s="38" t="s">
        <v>124</v>
      </c>
      <c r="F86" s="38" t="s">
        <v>124</v>
      </c>
      <c r="G86" s="38">
        <v>12.638964577656676</v>
      </c>
      <c r="H86" s="38">
        <v>11.837031900138696</v>
      </c>
      <c r="I86" s="38">
        <v>13.071577484364141</v>
      </c>
      <c r="J86" s="38">
        <v>11.622641509433961</v>
      </c>
      <c r="K86" s="38">
        <v>13.641420911528151</v>
      </c>
      <c r="L86" s="30" t="s">
        <v>124</v>
      </c>
      <c r="M86" s="27" t="s">
        <v>124</v>
      </c>
      <c r="N86" s="27" t="s">
        <v>124</v>
      </c>
      <c r="O86" s="27" t="s">
        <v>124</v>
      </c>
      <c r="P86" s="27" t="s">
        <v>124</v>
      </c>
      <c r="Q86" s="27" t="s">
        <v>124</v>
      </c>
      <c r="R86" s="27" t="s">
        <v>124</v>
      </c>
      <c r="S86" s="27" t="s">
        <v>124</v>
      </c>
      <c r="T86" s="27" t="s">
        <v>124</v>
      </c>
      <c r="U86" s="27" t="s">
        <v>124</v>
      </c>
      <c r="V86" s="27" t="s">
        <v>124</v>
      </c>
      <c r="W86" s="27" t="s">
        <v>124</v>
      </c>
      <c r="X86" s="27" t="s">
        <v>124</v>
      </c>
      <c r="Y86" s="27" t="s">
        <v>124</v>
      </c>
      <c r="Z86" s="27" t="s">
        <v>124</v>
      </c>
      <c r="AA86" s="27" t="s">
        <v>124</v>
      </c>
      <c r="AB86" s="27" t="s">
        <v>124</v>
      </c>
      <c r="AC86" s="27" t="s">
        <v>124</v>
      </c>
      <c r="AD86" s="27" t="s">
        <v>124</v>
      </c>
      <c r="AE86" s="27" t="s">
        <v>124</v>
      </c>
      <c r="AF86" s="27" t="s">
        <v>124</v>
      </c>
      <c r="AG86" s="27" t="s">
        <v>124</v>
      </c>
      <c r="AH86" s="27" t="s">
        <v>124</v>
      </c>
      <c r="AI86" s="27" t="s">
        <v>124</v>
      </c>
      <c r="AJ86" s="27" t="s">
        <v>124</v>
      </c>
      <c r="AK86" s="27" t="s">
        <v>124</v>
      </c>
      <c r="AL86" s="27" t="s">
        <v>124</v>
      </c>
      <c r="AM86" s="27" t="s">
        <v>124</v>
      </c>
      <c r="AN86" s="27" t="s">
        <v>124</v>
      </c>
      <c r="AO86" s="27" t="s">
        <v>124</v>
      </c>
      <c r="AP86" s="27"/>
      <c r="AQ86" s="27"/>
    </row>
    <row r="87" spans="1:43" x14ac:dyDescent="0.25">
      <c r="A87" s="29">
        <v>1</v>
      </c>
      <c r="C87" s="24" t="str">
        <f>"    Median"</f>
        <v xml:space="preserve">    Median</v>
      </c>
      <c r="D87" s="38">
        <v>9.72865</v>
      </c>
      <c r="E87" s="38">
        <v>10.18778</v>
      </c>
      <c r="F87" s="38">
        <v>10.995443</v>
      </c>
      <c r="G87" s="38">
        <v>5.9709279999999998</v>
      </c>
      <c r="H87" s="38">
        <v>5.6357569999999999</v>
      </c>
      <c r="I87" s="38">
        <v>4.9373050000000003</v>
      </c>
      <c r="J87" s="38">
        <v>8.9241499999999991</v>
      </c>
      <c r="K87" s="38">
        <v>8.5008549999999996</v>
      </c>
      <c r="L87" s="30" t="s">
        <v>124</v>
      </c>
      <c r="M87" s="27" t="s">
        <v>124</v>
      </c>
      <c r="N87" s="27" t="s">
        <v>124</v>
      </c>
      <c r="O87" s="27" t="s">
        <v>124</v>
      </c>
      <c r="P87" s="27" t="s">
        <v>124</v>
      </c>
      <c r="Q87" s="27" t="s">
        <v>124</v>
      </c>
      <c r="R87" s="27" t="s">
        <v>124</v>
      </c>
      <c r="S87" s="27" t="s">
        <v>124</v>
      </c>
      <c r="T87" s="27" t="s">
        <v>124</v>
      </c>
      <c r="U87" s="27" t="s">
        <v>124</v>
      </c>
      <c r="V87" s="27" t="s">
        <v>124</v>
      </c>
      <c r="W87" s="27" t="s">
        <v>124</v>
      </c>
      <c r="X87" s="27" t="s">
        <v>124</v>
      </c>
      <c r="Y87" s="27" t="s">
        <v>124</v>
      </c>
      <c r="Z87" s="27" t="s">
        <v>124</v>
      </c>
      <c r="AA87" s="27" t="s">
        <v>124</v>
      </c>
      <c r="AB87" s="27" t="s">
        <v>124</v>
      </c>
      <c r="AC87" s="27" t="s">
        <v>124</v>
      </c>
      <c r="AD87" s="27" t="s">
        <v>124</v>
      </c>
      <c r="AE87" s="27" t="s">
        <v>124</v>
      </c>
      <c r="AF87" s="27" t="s">
        <v>124</v>
      </c>
      <c r="AG87" s="27" t="s">
        <v>124</v>
      </c>
      <c r="AH87" s="27" t="s">
        <v>124</v>
      </c>
      <c r="AI87" s="27" t="s">
        <v>124</v>
      </c>
      <c r="AJ87" s="27" t="s">
        <v>124</v>
      </c>
      <c r="AK87" s="27" t="s">
        <v>124</v>
      </c>
      <c r="AL87" s="27" t="s">
        <v>124</v>
      </c>
      <c r="AM87" s="27" t="s">
        <v>124</v>
      </c>
      <c r="AN87" s="27" t="s">
        <v>124</v>
      </c>
      <c r="AO87" s="27" t="s">
        <v>124</v>
      </c>
      <c r="AP87" s="27"/>
      <c r="AQ87" s="27"/>
    </row>
    <row r="88" spans="1:43" x14ac:dyDescent="0.25">
      <c r="A88" s="29">
        <v>1</v>
      </c>
      <c r="C88" s="24" t="str">
        <f>"    High"</f>
        <v xml:space="preserve">    High</v>
      </c>
      <c r="D88" s="38">
        <v>12.91</v>
      </c>
      <c r="E88" s="38">
        <v>12.15</v>
      </c>
      <c r="F88" s="38">
        <v>12.54</v>
      </c>
      <c r="G88" s="38">
        <v>10.935632</v>
      </c>
      <c r="H88" s="38">
        <v>8.1466840000000005</v>
      </c>
      <c r="I88" s="38">
        <v>10.349977000000001</v>
      </c>
      <c r="J88" s="38">
        <v>10.303900000000001</v>
      </c>
      <c r="K88" s="38">
        <v>10.2875</v>
      </c>
      <c r="L88" s="30" t="s">
        <v>124</v>
      </c>
      <c r="M88" s="27" t="s">
        <v>124</v>
      </c>
      <c r="N88" s="27" t="s">
        <v>124</v>
      </c>
      <c r="O88" s="27" t="s">
        <v>124</v>
      </c>
      <c r="P88" s="27" t="s">
        <v>124</v>
      </c>
      <c r="Q88" s="27" t="s">
        <v>124</v>
      </c>
      <c r="R88" s="27" t="s">
        <v>124</v>
      </c>
      <c r="S88" s="27" t="s">
        <v>124</v>
      </c>
      <c r="T88" s="27" t="s">
        <v>124</v>
      </c>
      <c r="U88" s="27" t="s">
        <v>124</v>
      </c>
      <c r="V88" s="27" t="s">
        <v>124</v>
      </c>
      <c r="W88" s="27" t="s">
        <v>124</v>
      </c>
      <c r="X88" s="27" t="s">
        <v>124</v>
      </c>
      <c r="Y88" s="27" t="s">
        <v>124</v>
      </c>
      <c r="Z88" s="27" t="s">
        <v>124</v>
      </c>
      <c r="AA88" s="27" t="s">
        <v>124</v>
      </c>
      <c r="AB88" s="27" t="s">
        <v>124</v>
      </c>
      <c r="AC88" s="27" t="s">
        <v>124</v>
      </c>
      <c r="AD88" s="27" t="s">
        <v>124</v>
      </c>
      <c r="AE88" s="27" t="s">
        <v>124</v>
      </c>
      <c r="AF88" s="27" t="s">
        <v>124</v>
      </c>
      <c r="AG88" s="27" t="s">
        <v>124</v>
      </c>
      <c r="AH88" s="27" t="s">
        <v>124</v>
      </c>
      <c r="AI88" s="27" t="s">
        <v>124</v>
      </c>
      <c r="AJ88" s="27" t="s">
        <v>124</v>
      </c>
      <c r="AK88" s="27" t="s">
        <v>124</v>
      </c>
      <c r="AL88" s="27" t="s">
        <v>124</v>
      </c>
      <c r="AM88" s="27" t="s">
        <v>124</v>
      </c>
      <c r="AN88" s="27" t="s">
        <v>124</v>
      </c>
      <c r="AO88" s="27" t="s">
        <v>124</v>
      </c>
      <c r="AP88" s="27"/>
      <c r="AQ88" s="27"/>
    </row>
    <row r="89" spans="1:43" x14ac:dyDescent="0.25">
      <c r="A89" s="29">
        <v>1</v>
      </c>
      <c r="C89" s="24" t="str">
        <f>"    Low"</f>
        <v xml:space="preserve">    Low</v>
      </c>
      <c r="D89" s="38">
        <v>4.93</v>
      </c>
      <c r="E89" s="38">
        <v>4.68</v>
      </c>
      <c r="F89" s="38">
        <v>5.41</v>
      </c>
      <c r="G89" s="38">
        <v>5.1520590000000004</v>
      </c>
      <c r="H89" s="38">
        <v>4.1491689999999997</v>
      </c>
      <c r="I89" s="38">
        <v>3.9438520000000001</v>
      </c>
      <c r="J89" s="38">
        <v>2.8112300000000001</v>
      </c>
      <c r="K89" s="38">
        <v>3.7799299999999998</v>
      </c>
      <c r="L89" s="30" t="s">
        <v>124</v>
      </c>
      <c r="M89" s="27" t="s">
        <v>124</v>
      </c>
      <c r="N89" s="27" t="s">
        <v>124</v>
      </c>
      <c r="O89" s="27" t="s">
        <v>124</v>
      </c>
      <c r="P89" s="27" t="s">
        <v>124</v>
      </c>
      <c r="Q89" s="27" t="s">
        <v>124</v>
      </c>
      <c r="R89" s="27" t="s">
        <v>124</v>
      </c>
      <c r="S89" s="27" t="s">
        <v>124</v>
      </c>
      <c r="T89" s="27" t="s">
        <v>124</v>
      </c>
      <c r="U89" s="27" t="s">
        <v>124</v>
      </c>
      <c r="V89" s="27" t="s">
        <v>124</v>
      </c>
      <c r="W89" s="27" t="s">
        <v>124</v>
      </c>
      <c r="X89" s="27" t="s">
        <v>124</v>
      </c>
      <c r="Y89" s="27" t="s">
        <v>124</v>
      </c>
      <c r="Z89" s="27" t="s">
        <v>124</v>
      </c>
      <c r="AA89" s="27" t="s">
        <v>124</v>
      </c>
      <c r="AB89" s="27" t="s">
        <v>124</v>
      </c>
      <c r="AC89" s="27" t="s">
        <v>124</v>
      </c>
      <c r="AD89" s="27" t="s">
        <v>124</v>
      </c>
      <c r="AE89" s="27" t="s">
        <v>124</v>
      </c>
      <c r="AF89" s="27" t="s">
        <v>124</v>
      </c>
      <c r="AG89" s="27" t="s">
        <v>124</v>
      </c>
      <c r="AH89" s="27" t="s">
        <v>124</v>
      </c>
      <c r="AI89" s="27" t="s">
        <v>124</v>
      </c>
      <c r="AJ89" s="27" t="s">
        <v>124</v>
      </c>
      <c r="AK89" s="27" t="s">
        <v>124</v>
      </c>
      <c r="AL89" s="27" t="s">
        <v>124</v>
      </c>
      <c r="AM89" s="27" t="s">
        <v>124</v>
      </c>
      <c r="AN89" s="27" t="s">
        <v>124</v>
      </c>
      <c r="AO89" s="27" t="s">
        <v>124</v>
      </c>
      <c r="AP89" s="27"/>
      <c r="AQ89" s="27"/>
    </row>
    <row r="90" spans="1:43" x14ac:dyDescent="0.25">
      <c r="A90" s="29">
        <v>1</v>
      </c>
      <c r="C90" s="24" t="str">
        <f>"    Mean"</f>
        <v xml:space="preserve">    Mean</v>
      </c>
      <c r="D90" s="38">
        <v>9.7394339999999993</v>
      </c>
      <c r="E90" s="38">
        <v>9.5227210000000007</v>
      </c>
      <c r="F90" s="38">
        <v>10.152077999999999</v>
      </c>
      <c r="G90" s="38">
        <v>7.0008780000000002</v>
      </c>
      <c r="H90" s="38">
        <v>5.8918419999999996</v>
      </c>
      <c r="I90" s="38">
        <v>6.0421100000000001</v>
      </c>
      <c r="J90" s="38">
        <v>7.3464270000000003</v>
      </c>
      <c r="K90" s="38">
        <v>7.7672850000000002</v>
      </c>
      <c r="L90" s="30" t="s">
        <v>124</v>
      </c>
      <c r="M90" s="27" t="s">
        <v>124</v>
      </c>
      <c r="N90" s="27" t="s">
        <v>124</v>
      </c>
      <c r="O90" s="27" t="s">
        <v>124</v>
      </c>
      <c r="P90" s="27" t="s">
        <v>124</v>
      </c>
      <c r="Q90" s="27" t="s">
        <v>124</v>
      </c>
      <c r="R90" s="27" t="s">
        <v>124</v>
      </c>
      <c r="S90" s="27" t="s">
        <v>124</v>
      </c>
      <c r="T90" s="27" t="s">
        <v>124</v>
      </c>
      <c r="U90" s="27" t="s">
        <v>124</v>
      </c>
      <c r="V90" s="27" t="s">
        <v>124</v>
      </c>
      <c r="W90" s="27" t="s">
        <v>124</v>
      </c>
      <c r="X90" s="27" t="s">
        <v>124</v>
      </c>
      <c r="Y90" s="27" t="s">
        <v>124</v>
      </c>
      <c r="Z90" s="27" t="s">
        <v>124</v>
      </c>
      <c r="AA90" s="27" t="s">
        <v>124</v>
      </c>
      <c r="AB90" s="27" t="s">
        <v>124</v>
      </c>
      <c r="AC90" s="27" t="s">
        <v>124</v>
      </c>
      <c r="AD90" s="27" t="s">
        <v>124</v>
      </c>
      <c r="AE90" s="27" t="s">
        <v>124</v>
      </c>
      <c r="AF90" s="27" t="s">
        <v>124</v>
      </c>
      <c r="AG90" s="27" t="s">
        <v>124</v>
      </c>
      <c r="AH90" s="27" t="s">
        <v>124</v>
      </c>
      <c r="AI90" s="27" t="s">
        <v>124</v>
      </c>
      <c r="AJ90" s="27" t="s">
        <v>124</v>
      </c>
      <c r="AK90" s="27" t="s">
        <v>124</v>
      </c>
      <c r="AL90" s="27" t="s">
        <v>124</v>
      </c>
      <c r="AM90" s="27" t="s">
        <v>124</v>
      </c>
      <c r="AN90" s="27" t="s">
        <v>124</v>
      </c>
      <c r="AO90" s="27" t="s">
        <v>124</v>
      </c>
      <c r="AP90" s="27"/>
      <c r="AQ90" s="27"/>
    </row>
    <row r="91" spans="1:43" x14ac:dyDescent="0.25">
      <c r="A91" s="29">
        <v>1</v>
      </c>
      <c r="C91" s="24" t="str">
        <f>"    Standard Deviation"</f>
        <v xml:space="preserve">    Standard Deviation</v>
      </c>
      <c r="D91" s="38">
        <v>3.0234040000000002</v>
      </c>
      <c r="E91" s="38">
        <v>2.8447290000000001</v>
      </c>
      <c r="F91" s="38">
        <v>2.5744760000000002</v>
      </c>
      <c r="G91" s="38">
        <v>2.329688</v>
      </c>
      <c r="H91" s="38">
        <v>1.8793789999999999</v>
      </c>
      <c r="I91" s="38">
        <v>2.9904579999999998</v>
      </c>
      <c r="J91" s="38">
        <v>3.9877229999999999</v>
      </c>
      <c r="K91" s="38">
        <v>2.8898450000000002</v>
      </c>
      <c r="L91" s="30" t="s">
        <v>124</v>
      </c>
      <c r="M91" s="27" t="s">
        <v>124</v>
      </c>
      <c r="N91" s="27" t="s">
        <v>124</v>
      </c>
      <c r="O91" s="27" t="s">
        <v>124</v>
      </c>
      <c r="P91" s="27" t="s">
        <v>124</v>
      </c>
      <c r="Q91" s="27" t="s">
        <v>124</v>
      </c>
      <c r="R91" s="27" t="s">
        <v>124</v>
      </c>
      <c r="S91" s="27" t="s">
        <v>124</v>
      </c>
      <c r="T91" s="27" t="s">
        <v>124</v>
      </c>
      <c r="U91" s="27" t="s">
        <v>124</v>
      </c>
      <c r="V91" s="27" t="s">
        <v>124</v>
      </c>
      <c r="W91" s="27" t="s">
        <v>124</v>
      </c>
      <c r="X91" s="27" t="s">
        <v>124</v>
      </c>
      <c r="Y91" s="27" t="s">
        <v>124</v>
      </c>
      <c r="Z91" s="27" t="s">
        <v>124</v>
      </c>
      <c r="AA91" s="27" t="s">
        <v>124</v>
      </c>
      <c r="AB91" s="27" t="s">
        <v>124</v>
      </c>
      <c r="AC91" s="27" t="s">
        <v>124</v>
      </c>
      <c r="AD91" s="27" t="s">
        <v>124</v>
      </c>
      <c r="AE91" s="27" t="s">
        <v>124</v>
      </c>
      <c r="AF91" s="27" t="s">
        <v>124</v>
      </c>
      <c r="AG91" s="27" t="s">
        <v>124</v>
      </c>
      <c r="AH91" s="27" t="s">
        <v>124</v>
      </c>
      <c r="AI91" s="27" t="s">
        <v>124</v>
      </c>
      <c r="AJ91" s="27" t="s">
        <v>124</v>
      </c>
      <c r="AK91" s="27" t="s">
        <v>124</v>
      </c>
      <c r="AL91" s="27" t="s">
        <v>124</v>
      </c>
      <c r="AM91" s="27" t="s">
        <v>124</v>
      </c>
      <c r="AN91" s="27" t="s">
        <v>124</v>
      </c>
      <c r="AO91" s="27" t="s">
        <v>124</v>
      </c>
      <c r="AP91" s="27"/>
      <c r="AQ91" s="27"/>
    </row>
    <row r="92" spans="1:43" x14ac:dyDescent="0.25">
      <c r="A92" s="29">
        <v>1</v>
      </c>
      <c r="C92" s="24" t="str">
        <f>"    Number of Estimates"</f>
        <v xml:space="preserve">    Number of Estimates</v>
      </c>
      <c r="D92" s="37">
        <v>5</v>
      </c>
      <c r="E92" s="37">
        <v>6</v>
      </c>
      <c r="F92" s="37">
        <v>6</v>
      </c>
      <c r="G92" s="37">
        <v>5</v>
      </c>
      <c r="H92" s="37">
        <v>4</v>
      </c>
      <c r="I92" s="37">
        <v>4</v>
      </c>
      <c r="J92" s="37">
        <v>3</v>
      </c>
      <c r="K92" s="37">
        <v>4</v>
      </c>
      <c r="L92" s="30" t="s">
        <v>124</v>
      </c>
      <c r="M92" s="27" t="s">
        <v>124</v>
      </c>
      <c r="N92" s="27" t="s">
        <v>124</v>
      </c>
      <c r="O92" s="27" t="s">
        <v>124</v>
      </c>
      <c r="P92" s="27" t="s">
        <v>124</v>
      </c>
      <c r="Q92" s="27" t="s">
        <v>124</v>
      </c>
      <c r="R92" s="27" t="s">
        <v>124</v>
      </c>
      <c r="S92" s="27" t="s">
        <v>124</v>
      </c>
      <c r="T92" s="27" t="s">
        <v>124</v>
      </c>
      <c r="U92" s="27" t="s">
        <v>124</v>
      </c>
      <c r="V92" s="27" t="s">
        <v>124</v>
      </c>
      <c r="W92" s="27" t="s">
        <v>124</v>
      </c>
      <c r="X92" s="27" t="s">
        <v>124</v>
      </c>
      <c r="Y92" s="27" t="s">
        <v>124</v>
      </c>
      <c r="Z92" s="27" t="s">
        <v>124</v>
      </c>
      <c r="AA92" s="27" t="s">
        <v>124</v>
      </c>
      <c r="AB92" s="27" t="s">
        <v>124</v>
      </c>
      <c r="AC92" s="27" t="s">
        <v>124</v>
      </c>
      <c r="AD92" s="27" t="s">
        <v>124</v>
      </c>
      <c r="AE92" s="27" t="s">
        <v>124</v>
      </c>
      <c r="AF92" s="27" t="s">
        <v>124</v>
      </c>
      <c r="AG92" s="27" t="s">
        <v>124</v>
      </c>
      <c r="AH92" s="27" t="s">
        <v>124</v>
      </c>
      <c r="AI92" s="27" t="s">
        <v>124</v>
      </c>
      <c r="AJ92" s="27" t="s">
        <v>124</v>
      </c>
      <c r="AK92" s="27" t="s">
        <v>124</v>
      </c>
      <c r="AL92" s="27" t="s">
        <v>124</v>
      </c>
      <c r="AM92" s="27" t="s">
        <v>124</v>
      </c>
      <c r="AN92" s="27" t="s">
        <v>124</v>
      </c>
      <c r="AO92" s="27" t="s">
        <v>124</v>
      </c>
      <c r="AP92" s="27"/>
      <c r="AQ92" s="27"/>
    </row>
    <row r="93" spans="1:43" x14ac:dyDescent="0.25">
      <c r="A93" s="29">
        <v>1</v>
      </c>
      <c r="C93" s="26" t="str">
        <f>"Dividend per Share"</f>
        <v>Dividend per Share</v>
      </c>
      <c r="D93" s="44" t="s">
        <v>124</v>
      </c>
      <c r="E93" s="44" t="s">
        <v>124</v>
      </c>
      <c r="F93" s="44" t="s">
        <v>124</v>
      </c>
      <c r="G93" s="44" t="s">
        <v>124</v>
      </c>
      <c r="H93" s="44" t="s">
        <v>124</v>
      </c>
      <c r="I93" s="44" t="s">
        <v>124</v>
      </c>
      <c r="J93" s="44" t="s">
        <v>124</v>
      </c>
      <c r="K93" s="44" t="s">
        <v>124</v>
      </c>
      <c r="L93" s="30" t="s">
        <v>124</v>
      </c>
      <c r="M93" s="27" t="s">
        <v>124</v>
      </c>
      <c r="N93" s="27" t="s">
        <v>124</v>
      </c>
      <c r="O93" s="27" t="s">
        <v>124</v>
      </c>
      <c r="P93" s="27" t="s">
        <v>124</v>
      </c>
      <c r="Q93" s="27" t="s">
        <v>124</v>
      </c>
      <c r="R93" s="27" t="s">
        <v>124</v>
      </c>
      <c r="S93" s="27" t="s">
        <v>124</v>
      </c>
      <c r="T93" s="27" t="s">
        <v>124</v>
      </c>
      <c r="U93" s="27" t="s">
        <v>124</v>
      </c>
      <c r="V93" s="27" t="s">
        <v>124</v>
      </c>
      <c r="W93" s="27" t="s">
        <v>124</v>
      </c>
      <c r="X93" s="27" t="s">
        <v>124</v>
      </c>
      <c r="Y93" s="27" t="s">
        <v>124</v>
      </c>
      <c r="Z93" s="27" t="s">
        <v>124</v>
      </c>
      <c r="AA93" s="27" t="s">
        <v>124</v>
      </c>
      <c r="AB93" s="27" t="s">
        <v>124</v>
      </c>
      <c r="AC93" s="27" t="s">
        <v>124</v>
      </c>
      <c r="AD93" s="27" t="s">
        <v>124</v>
      </c>
      <c r="AE93" s="27" t="s">
        <v>124</v>
      </c>
      <c r="AF93" s="27" t="s">
        <v>124</v>
      </c>
      <c r="AG93" s="27" t="s">
        <v>124</v>
      </c>
      <c r="AH93" s="27" t="s">
        <v>124</v>
      </c>
      <c r="AI93" s="27" t="s">
        <v>124</v>
      </c>
      <c r="AJ93" s="27" t="s">
        <v>124</v>
      </c>
      <c r="AK93" s="27" t="s">
        <v>124</v>
      </c>
      <c r="AL93" s="27" t="s">
        <v>124</v>
      </c>
      <c r="AM93" s="27" t="s">
        <v>124</v>
      </c>
      <c r="AN93" s="27" t="s">
        <v>124</v>
      </c>
      <c r="AO93" s="27" t="s">
        <v>124</v>
      </c>
      <c r="AP93" s="27"/>
      <c r="AQ93" s="27"/>
    </row>
    <row r="94" spans="1:43" x14ac:dyDescent="0.25">
      <c r="A94" s="29">
        <v>1</v>
      </c>
      <c r="C94" s="24" t="str">
        <f>"    Actual"</f>
        <v xml:space="preserve">    Actual</v>
      </c>
      <c r="D94" s="38" t="s">
        <v>124</v>
      </c>
      <c r="E94" s="38" t="s">
        <v>124</v>
      </c>
      <c r="F94" s="38" t="s">
        <v>124</v>
      </c>
      <c r="G94" s="38" t="s">
        <v>124</v>
      </c>
      <c r="H94" s="38">
        <v>0.38</v>
      </c>
      <c r="I94" s="38">
        <v>1.52</v>
      </c>
      <c r="J94" s="38">
        <v>1.52</v>
      </c>
      <c r="K94" s="38">
        <v>1.52</v>
      </c>
      <c r="L94" s="30" t="s">
        <v>124</v>
      </c>
      <c r="M94" s="27" t="s">
        <v>124</v>
      </c>
      <c r="N94" s="27" t="s">
        <v>124</v>
      </c>
      <c r="O94" s="27" t="s">
        <v>124</v>
      </c>
      <c r="P94" s="27" t="s">
        <v>124</v>
      </c>
      <c r="Q94" s="27" t="s">
        <v>124</v>
      </c>
      <c r="R94" s="27" t="s">
        <v>124</v>
      </c>
      <c r="S94" s="27" t="s">
        <v>124</v>
      </c>
      <c r="T94" s="27" t="s">
        <v>124</v>
      </c>
      <c r="U94" s="27" t="s">
        <v>124</v>
      </c>
      <c r="V94" s="27" t="s">
        <v>124</v>
      </c>
      <c r="W94" s="27" t="s">
        <v>124</v>
      </c>
      <c r="X94" s="27" t="s">
        <v>124</v>
      </c>
      <c r="Y94" s="27" t="s">
        <v>124</v>
      </c>
      <c r="Z94" s="27" t="s">
        <v>124</v>
      </c>
      <c r="AA94" s="27" t="s">
        <v>124</v>
      </c>
      <c r="AB94" s="27" t="s">
        <v>124</v>
      </c>
      <c r="AC94" s="27" t="s">
        <v>124</v>
      </c>
      <c r="AD94" s="27" t="s">
        <v>124</v>
      </c>
      <c r="AE94" s="27" t="s">
        <v>124</v>
      </c>
      <c r="AF94" s="27" t="s">
        <v>124</v>
      </c>
      <c r="AG94" s="27" t="s">
        <v>124</v>
      </c>
      <c r="AH94" s="27" t="s">
        <v>124</v>
      </c>
      <c r="AI94" s="27" t="s">
        <v>124</v>
      </c>
      <c r="AJ94" s="27" t="s">
        <v>124</v>
      </c>
      <c r="AK94" s="27" t="s">
        <v>124</v>
      </c>
      <c r="AL94" s="27" t="s">
        <v>124</v>
      </c>
      <c r="AM94" s="27" t="s">
        <v>124</v>
      </c>
      <c r="AN94" s="27" t="s">
        <v>124</v>
      </c>
      <c r="AO94" s="27" t="s">
        <v>124</v>
      </c>
      <c r="AP94" s="27"/>
      <c r="AQ94" s="27"/>
    </row>
    <row r="95" spans="1:43" x14ac:dyDescent="0.25">
      <c r="A95" s="29">
        <v>1</v>
      </c>
      <c r="C95" s="24" t="str">
        <f>"    Median"</f>
        <v xml:space="preserve">    Median</v>
      </c>
      <c r="D95" s="38">
        <v>0.99</v>
      </c>
      <c r="E95" s="38">
        <v>0.36</v>
      </c>
      <c r="F95" s="38">
        <v>0.13500000000000001</v>
      </c>
      <c r="G95" s="38">
        <v>0</v>
      </c>
      <c r="H95" s="38">
        <v>0.38</v>
      </c>
      <c r="I95" s="38">
        <v>1.52</v>
      </c>
      <c r="J95" s="38">
        <v>1.52</v>
      </c>
      <c r="K95" s="38">
        <v>1.52</v>
      </c>
      <c r="L95" s="30" t="s">
        <v>124</v>
      </c>
      <c r="M95" s="27" t="s">
        <v>124</v>
      </c>
      <c r="N95" s="27" t="s">
        <v>124</v>
      </c>
      <c r="O95" s="27" t="s">
        <v>124</v>
      </c>
      <c r="P95" s="27" t="s">
        <v>124</v>
      </c>
      <c r="Q95" s="27" t="s">
        <v>124</v>
      </c>
      <c r="R95" s="27" t="s">
        <v>124</v>
      </c>
      <c r="S95" s="27" t="s">
        <v>124</v>
      </c>
      <c r="T95" s="27" t="s">
        <v>124</v>
      </c>
      <c r="U95" s="27" t="s">
        <v>124</v>
      </c>
      <c r="V95" s="27" t="s">
        <v>124</v>
      </c>
      <c r="W95" s="27" t="s">
        <v>124</v>
      </c>
      <c r="X95" s="27" t="s">
        <v>124</v>
      </c>
      <c r="Y95" s="27" t="s">
        <v>124</v>
      </c>
      <c r="Z95" s="27" t="s">
        <v>124</v>
      </c>
      <c r="AA95" s="27" t="s">
        <v>124</v>
      </c>
      <c r="AB95" s="27" t="s">
        <v>124</v>
      </c>
      <c r="AC95" s="27" t="s">
        <v>124</v>
      </c>
      <c r="AD95" s="27" t="s">
        <v>124</v>
      </c>
      <c r="AE95" s="27" t="s">
        <v>124</v>
      </c>
      <c r="AF95" s="27" t="s">
        <v>124</v>
      </c>
      <c r="AG95" s="27" t="s">
        <v>124</v>
      </c>
      <c r="AH95" s="27" t="s">
        <v>124</v>
      </c>
      <c r="AI95" s="27" t="s">
        <v>124</v>
      </c>
      <c r="AJ95" s="27" t="s">
        <v>124</v>
      </c>
      <c r="AK95" s="27" t="s">
        <v>124</v>
      </c>
      <c r="AL95" s="27" t="s">
        <v>124</v>
      </c>
      <c r="AM95" s="27" t="s">
        <v>124</v>
      </c>
      <c r="AN95" s="27" t="s">
        <v>124</v>
      </c>
      <c r="AO95" s="27" t="s">
        <v>124</v>
      </c>
      <c r="AP95" s="27"/>
      <c r="AQ95" s="27"/>
    </row>
    <row r="96" spans="1:43" x14ac:dyDescent="0.25">
      <c r="A96" s="29">
        <v>1</v>
      </c>
      <c r="C96" s="24" t="str">
        <f>"    High"</f>
        <v xml:space="preserve">    High</v>
      </c>
      <c r="D96" s="38">
        <v>1.5297130000000001</v>
      </c>
      <c r="E96" s="38">
        <v>1.5297130000000001</v>
      </c>
      <c r="F96" s="38">
        <v>0.51218900000000001</v>
      </c>
      <c r="G96" s="38">
        <v>0</v>
      </c>
      <c r="H96" s="38">
        <v>0.46</v>
      </c>
      <c r="I96" s="38">
        <v>1.6</v>
      </c>
      <c r="J96" s="38">
        <v>1.6</v>
      </c>
      <c r="K96" s="38">
        <v>1.6</v>
      </c>
      <c r="L96" s="30" t="s">
        <v>124</v>
      </c>
      <c r="M96" s="27" t="s">
        <v>124</v>
      </c>
      <c r="N96" s="27" t="s">
        <v>124</v>
      </c>
      <c r="O96" s="27" t="s">
        <v>124</v>
      </c>
      <c r="P96" s="27" t="s">
        <v>124</v>
      </c>
      <c r="Q96" s="27" t="s">
        <v>124</v>
      </c>
      <c r="R96" s="27" t="s">
        <v>124</v>
      </c>
      <c r="S96" s="27" t="s">
        <v>124</v>
      </c>
      <c r="T96" s="27" t="s">
        <v>124</v>
      </c>
      <c r="U96" s="27" t="s">
        <v>124</v>
      </c>
      <c r="V96" s="27" t="s">
        <v>124</v>
      </c>
      <c r="W96" s="27" t="s">
        <v>124</v>
      </c>
      <c r="X96" s="27" t="s">
        <v>124</v>
      </c>
      <c r="Y96" s="27" t="s">
        <v>124</v>
      </c>
      <c r="Z96" s="27" t="s">
        <v>124</v>
      </c>
      <c r="AA96" s="27" t="s">
        <v>124</v>
      </c>
      <c r="AB96" s="27" t="s">
        <v>124</v>
      </c>
      <c r="AC96" s="27" t="s">
        <v>124</v>
      </c>
      <c r="AD96" s="27" t="s">
        <v>124</v>
      </c>
      <c r="AE96" s="27" t="s">
        <v>124</v>
      </c>
      <c r="AF96" s="27" t="s">
        <v>124</v>
      </c>
      <c r="AG96" s="27" t="s">
        <v>124</v>
      </c>
      <c r="AH96" s="27" t="s">
        <v>124</v>
      </c>
      <c r="AI96" s="27" t="s">
        <v>124</v>
      </c>
      <c r="AJ96" s="27" t="s">
        <v>124</v>
      </c>
      <c r="AK96" s="27" t="s">
        <v>124</v>
      </c>
      <c r="AL96" s="27" t="s">
        <v>124</v>
      </c>
      <c r="AM96" s="27" t="s">
        <v>124</v>
      </c>
      <c r="AN96" s="27" t="s">
        <v>124</v>
      </c>
      <c r="AO96" s="27" t="s">
        <v>124</v>
      </c>
      <c r="AP96" s="27"/>
      <c r="AQ96" s="27"/>
    </row>
    <row r="97" spans="1:43" x14ac:dyDescent="0.25">
      <c r="A97" s="29">
        <v>1</v>
      </c>
      <c r="C97" s="24" t="str">
        <f>"    Low"</f>
        <v xml:space="preserve">    Low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1.52</v>
      </c>
      <c r="K97" s="38">
        <v>1.5</v>
      </c>
      <c r="L97" s="30" t="s">
        <v>124</v>
      </c>
      <c r="M97" s="27" t="s">
        <v>124</v>
      </c>
      <c r="N97" s="27" t="s">
        <v>124</v>
      </c>
      <c r="O97" s="27" t="s">
        <v>124</v>
      </c>
      <c r="P97" s="27" t="s">
        <v>124</v>
      </c>
      <c r="Q97" s="27" t="s">
        <v>124</v>
      </c>
      <c r="R97" s="27" t="s">
        <v>124</v>
      </c>
      <c r="S97" s="27" t="s">
        <v>124</v>
      </c>
      <c r="T97" s="27" t="s">
        <v>124</v>
      </c>
      <c r="U97" s="27" t="s">
        <v>124</v>
      </c>
      <c r="V97" s="27" t="s">
        <v>124</v>
      </c>
      <c r="W97" s="27" t="s">
        <v>124</v>
      </c>
      <c r="X97" s="27" t="s">
        <v>124</v>
      </c>
      <c r="Y97" s="27" t="s">
        <v>124</v>
      </c>
      <c r="Z97" s="27" t="s">
        <v>124</v>
      </c>
      <c r="AA97" s="27" t="s">
        <v>124</v>
      </c>
      <c r="AB97" s="27" t="s">
        <v>124</v>
      </c>
      <c r="AC97" s="27" t="s">
        <v>124</v>
      </c>
      <c r="AD97" s="27" t="s">
        <v>124</v>
      </c>
      <c r="AE97" s="27" t="s">
        <v>124</v>
      </c>
      <c r="AF97" s="27" t="s">
        <v>124</v>
      </c>
      <c r="AG97" s="27" t="s">
        <v>124</v>
      </c>
      <c r="AH97" s="27" t="s">
        <v>124</v>
      </c>
      <c r="AI97" s="27" t="s">
        <v>124</v>
      </c>
      <c r="AJ97" s="27" t="s">
        <v>124</v>
      </c>
      <c r="AK97" s="27" t="s">
        <v>124</v>
      </c>
      <c r="AL97" s="27" t="s">
        <v>124</v>
      </c>
      <c r="AM97" s="27" t="s">
        <v>124</v>
      </c>
      <c r="AN97" s="27" t="s">
        <v>124</v>
      </c>
      <c r="AO97" s="27" t="s">
        <v>124</v>
      </c>
      <c r="AP97" s="27"/>
      <c r="AQ97" s="27"/>
    </row>
    <row r="98" spans="1:43" x14ac:dyDescent="0.25">
      <c r="A98" s="29">
        <v>1</v>
      </c>
      <c r="C98" s="24" t="str">
        <f>"    Mean"</f>
        <v xml:space="preserve">    Mean</v>
      </c>
      <c r="D98" s="38">
        <v>0.82309399999999999</v>
      </c>
      <c r="E98" s="38">
        <v>0.48998999999999998</v>
      </c>
      <c r="F98" s="38">
        <v>0.13658500000000001</v>
      </c>
      <c r="G98" s="38">
        <v>0</v>
      </c>
      <c r="H98" s="38">
        <v>0.33016400000000001</v>
      </c>
      <c r="I98" s="38">
        <v>1.4098189999999999</v>
      </c>
      <c r="J98" s="38">
        <v>1.532222</v>
      </c>
      <c r="K98" s="38">
        <v>1.5263640000000001</v>
      </c>
      <c r="L98" s="30" t="s">
        <v>124</v>
      </c>
      <c r="M98" s="27" t="s">
        <v>124</v>
      </c>
      <c r="N98" s="27" t="s">
        <v>124</v>
      </c>
      <c r="O98" s="27" t="s">
        <v>124</v>
      </c>
      <c r="P98" s="27" t="s">
        <v>124</v>
      </c>
      <c r="Q98" s="27" t="s">
        <v>124</v>
      </c>
      <c r="R98" s="27" t="s">
        <v>124</v>
      </c>
      <c r="S98" s="27" t="s">
        <v>124</v>
      </c>
      <c r="T98" s="27" t="s">
        <v>124</v>
      </c>
      <c r="U98" s="27" t="s">
        <v>124</v>
      </c>
      <c r="V98" s="27" t="s">
        <v>124</v>
      </c>
      <c r="W98" s="27" t="s">
        <v>124</v>
      </c>
      <c r="X98" s="27" t="s">
        <v>124</v>
      </c>
      <c r="Y98" s="27" t="s">
        <v>124</v>
      </c>
      <c r="Z98" s="27" t="s">
        <v>124</v>
      </c>
      <c r="AA98" s="27" t="s">
        <v>124</v>
      </c>
      <c r="AB98" s="27" t="s">
        <v>124</v>
      </c>
      <c r="AC98" s="27" t="s">
        <v>124</v>
      </c>
      <c r="AD98" s="27" t="s">
        <v>124</v>
      </c>
      <c r="AE98" s="27" t="s">
        <v>124</v>
      </c>
      <c r="AF98" s="27" t="s">
        <v>124</v>
      </c>
      <c r="AG98" s="27" t="s">
        <v>124</v>
      </c>
      <c r="AH98" s="27" t="s">
        <v>124</v>
      </c>
      <c r="AI98" s="27" t="s">
        <v>124</v>
      </c>
      <c r="AJ98" s="27" t="s">
        <v>124</v>
      </c>
      <c r="AK98" s="27" t="s">
        <v>124</v>
      </c>
      <c r="AL98" s="27" t="s">
        <v>124</v>
      </c>
      <c r="AM98" s="27" t="s">
        <v>124</v>
      </c>
      <c r="AN98" s="27" t="s">
        <v>124</v>
      </c>
      <c r="AO98" s="27" t="s">
        <v>124</v>
      </c>
      <c r="AP98" s="27"/>
      <c r="AQ98" s="27"/>
    </row>
    <row r="99" spans="1:43" x14ac:dyDescent="0.25">
      <c r="A99" s="29">
        <v>1</v>
      </c>
      <c r="C99" s="24" t="str">
        <f>"    Standard Deviation"</f>
        <v xml:space="preserve">    Standard Deviation</v>
      </c>
      <c r="D99" s="38">
        <v>0.57362599999999997</v>
      </c>
      <c r="E99" s="38">
        <v>0.44265399999999999</v>
      </c>
      <c r="F99" s="38">
        <v>0.14862500000000001</v>
      </c>
      <c r="G99" s="38">
        <v>0</v>
      </c>
      <c r="H99" s="38">
        <v>0.148172</v>
      </c>
      <c r="I99" s="38">
        <v>0.44487599999999999</v>
      </c>
      <c r="J99" s="38">
        <v>2.7285E-2</v>
      </c>
      <c r="K99" s="38">
        <v>2.5406000000000001E-2</v>
      </c>
      <c r="L99" s="30" t="s">
        <v>124</v>
      </c>
      <c r="M99" s="27" t="s">
        <v>124</v>
      </c>
      <c r="N99" s="27" t="s">
        <v>124</v>
      </c>
      <c r="O99" s="27" t="s">
        <v>124</v>
      </c>
      <c r="P99" s="27" t="s">
        <v>124</v>
      </c>
      <c r="Q99" s="27" t="s">
        <v>124</v>
      </c>
      <c r="R99" s="27" t="s">
        <v>124</v>
      </c>
      <c r="S99" s="27" t="s">
        <v>124</v>
      </c>
      <c r="T99" s="27" t="s">
        <v>124</v>
      </c>
      <c r="U99" s="27" t="s">
        <v>124</v>
      </c>
      <c r="V99" s="27" t="s">
        <v>124</v>
      </c>
      <c r="W99" s="27" t="s">
        <v>124</v>
      </c>
      <c r="X99" s="27" t="s">
        <v>124</v>
      </c>
      <c r="Y99" s="27" t="s">
        <v>124</v>
      </c>
      <c r="Z99" s="27" t="s">
        <v>124</v>
      </c>
      <c r="AA99" s="27" t="s">
        <v>124</v>
      </c>
      <c r="AB99" s="27" t="s">
        <v>124</v>
      </c>
      <c r="AC99" s="27" t="s">
        <v>124</v>
      </c>
      <c r="AD99" s="27" t="s">
        <v>124</v>
      </c>
      <c r="AE99" s="27" t="s">
        <v>124</v>
      </c>
      <c r="AF99" s="27" t="s">
        <v>124</v>
      </c>
      <c r="AG99" s="27" t="s">
        <v>124</v>
      </c>
      <c r="AH99" s="27" t="s">
        <v>124</v>
      </c>
      <c r="AI99" s="27" t="s">
        <v>124</v>
      </c>
      <c r="AJ99" s="27" t="s">
        <v>124</v>
      </c>
      <c r="AK99" s="27" t="s">
        <v>124</v>
      </c>
      <c r="AL99" s="27" t="s">
        <v>124</v>
      </c>
      <c r="AM99" s="27" t="s">
        <v>124</v>
      </c>
      <c r="AN99" s="27" t="s">
        <v>124</v>
      </c>
      <c r="AO99" s="27" t="s">
        <v>124</v>
      </c>
      <c r="AP99" s="27"/>
      <c r="AQ99" s="27"/>
    </row>
    <row r="100" spans="1:43" x14ac:dyDescent="0.25">
      <c r="A100" s="29">
        <v>1</v>
      </c>
      <c r="C100" s="24" t="str">
        <f>"    Number of Estimates"</f>
        <v xml:space="preserve">    Number of Estimates</v>
      </c>
      <c r="D100" s="37">
        <v>12</v>
      </c>
      <c r="E100" s="37">
        <v>14</v>
      </c>
      <c r="F100" s="37">
        <v>14</v>
      </c>
      <c r="G100" s="37">
        <v>11</v>
      </c>
      <c r="H100" s="37">
        <v>13</v>
      </c>
      <c r="I100" s="37">
        <v>12</v>
      </c>
      <c r="J100" s="37">
        <v>9</v>
      </c>
      <c r="K100" s="37">
        <v>11</v>
      </c>
      <c r="L100" s="30" t="s">
        <v>124</v>
      </c>
      <c r="M100" s="27" t="s">
        <v>124</v>
      </c>
      <c r="N100" s="27" t="s">
        <v>124</v>
      </c>
      <c r="O100" s="27" t="s">
        <v>124</v>
      </c>
      <c r="P100" s="27" t="s">
        <v>124</v>
      </c>
      <c r="Q100" s="27" t="s">
        <v>124</v>
      </c>
      <c r="R100" s="27" t="s">
        <v>124</v>
      </c>
      <c r="S100" s="27" t="s">
        <v>124</v>
      </c>
      <c r="T100" s="27" t="s">
        <v>124</v>
      </c>
      <c r="U100" s="27" t="s">
        <v>124</v>
      </c>
      <c r="V100" s="27" t="s">
        <v>124</v>
      </c>
      <c r="W100" s="27" t="s">
        <v>124</v>
      </c>
      <c r="X100" s="27" t="s">
        <v>124</v>
      </c>
      <c r="Y100" s="27" t="s">
        <v>124</v>
      </c>
      <c r="Z100" s="27" t="s">
        <v>124</v>
      </c>
      <c r="AA100" s="27" t="s">
        <v>124</v>
      </c>
      <c r="AB100" s="27" t="s">
        <v>124</v>
      </c>
      <c r="AC100" s="27" t="s">
        <v>124</v>
      </c>
      <c r="AD100" s="27" t="s">
        <v>124</v>
      </c>
      <c r="AE100" s="27" t="s">
        <v>124</v>
      </c>
      <c r="AF100" s="27" t="s">
        <v>124</v>
      </c>
      <c r="AG100" s="27" t="s">
        <v>124</v>
      </c>
      <c r="AH100" s="27" t="s">
        <v>124</v>
      </c>
      <c r="AI100" s="27" t="s">
        <v>124</v>
      </c>
      <c r="AJ100" s="27" t="s">
        <v>124</v>
      </c>
      <c r="AK100" s="27" t="s">
        <v>124</v>
      </c>
      <c r="AL100" s="27" t="s">
        <v>124</v>
      </c>
      <c r="AM100" s="27" t="s">
        <v>124</v>
      </c>
      <c r="AN100" s="27" t="s">
        <v>124</v>
      </c>
      <c r="AO100" s="27" t="s">
        <v>124</v>
      </c>
      <c r="AP100" s="27"/>
      <c r="AQ100" s="27"/>
    </row>
    <row r="101" spans="1:43" x14ac:dyDescent="0.25">
      <c r="A101" s="29"/>
      <c r="L101" s="30" t="s">
        <v>124</v>
      </c>
      <c r="M101" s="27" t="s">
        <v>124</v>
      </c>
      <c r="N101" s="27" t="s">
        <v>124</v>
      </c>
      <c r="O101" s="27" t="s">
        <v>124</v>
      </c>
      <c r="P101" s="27" t="s">
        <v>124</v>
      </c>
      <c r="Q101" s="27" t="s">
        <v>124</v>
      </c>
      <c r="R101" s="27" t="s">
        <v>124</v>
      </c>
      <c r="S101" s="27" t="s">
        <v>124</v>
      </c>
      <c r="T101" s="27" t="s">
        <v>124</v>
      </c>
      <c r="U101" s="27" t="s">
        <v>124</v>
      </c>
      <c r="V101" s="27" t="s">
        <v>124</v>
      </c>
      <c r="W101" s="27" t="s">
        <v>124</v>
      </c>
      <c r="X101" s="27" t="s">
        <v>124</v>
      </c>
      <c r="Y101" s="27" t="s">
        <v>124</v>
      </c>
      <c r="Z101" s="27" t="s">
        <v>124</v>
      </c>
      <c r="AA101" s="27" t="s">
        <v>124</v>
      </c>
      <c r="AB101" s="27" t="s">
        <v>124</v>
      </c>
      <c r="AC101" s="27" t="s">
        <v>124</v>
      </c>
      <c r="AD101" s="27" t="s">
        <v>124</v>
      </c>
      <c r="AE101" s="27" t="s">
        <v>124</v>
      </c>
      <c r="AF101" s="27" t="s">
        <v>124</v>
      </c>
      <c r="AG101" s="27" t="s">
        <v>124</v>
      </c>
      <c r="AH101" s="27" t="s">
        <v>124</v>
      </c>
      <c r="AI101" s="27" t="s">
        <v>124</v>
      </c>
      <c r="AJ101" s="27" t="s">
        <v>124</v>
      </c>
      <c r="AK101" s="27" t="s">
        <v>124</v>
      </c>
      <c r="AL101" s="27" t="s">
        <v>124</v>
      </c>
      <c r="AM101" s="27" t="s">
        <v>124</v>
      </c>
      <c r="AN101" s="27" t="s">
        <v>124</v>
      </c>
      <c r="AO101" s="27" t="s">
        <v>124</v>
      </c>
      <c r="AP101" s="27"/>
      <c r="AQ101" s="27"/>
    </row>
    <row r="102" spans="1:43" x14ac:dyDescent="0.25">
      <c r="A102" s="29"/>
      <c r="L102" s="30" t="s">
        <v>124</v>
      </c>
      <c r="M102" s="27" t="s">
        <v>124</v>
      </c>
      <c r="N102" s="27" t="s">
        <v>124</v>
      </c>
      <c r="O102" s="27" t="s">
        <v>124</v>
      </c>
      <c r="P102" s="27" t="s">
        <v>124</v>
      </c>
      <c r="Q102" s="27" t="s">
        <v>124</v>
      </c>
      <c r="R102" s="27" t="s">
        <v>124</v>
      </c>
      <c r="S102" s="27" t="s">
        <v>124</v>
      </c>
      <c r="T102" s="27" t="s">
        <v>124</v>
      </c>
      <c r="U102" s="27" t="s">
        <v>124</v>
      </c>
      <c r="V102" s="27" t="s">
        <v>124</v>
      </c>
      <c r="W102" s="27" t="s">
        <v>124</v>
      </c>
      <c r="X102" s="27" t="s">
        <v>124</v>
      </c>
      <c r="Y102" s="27" t="s">
        <v>124</v>
      </c>
      <c r="Z102" s="27" t="s">
        <v>124</v>
      </c>
      <c r="AA102" s="27" t="s">
        <v>124</v>
      </c>
      <c r="AB102" s="27" t="s">
        <v>124</v>
      </c>
      <c r="AC102" s="27" t="s">
        <v>124</v>
      </c>
      <c r="AD102" s="27" t="s">
        <v>124</v>
      </c>
      <c r="AE102" s="27" t="s">
        <v>124</v>
      </c>
      <c r="AF102" s="27" t="s">
        <v>124</v>
      </c>
      <c r="AG102" s="27" t="s">
        <v>124</v>
      </c>
      <c r="AH102" s="27" t="s">
        <v>124</v>
      </c>
      <c r="AI102" s="27" t="s">
        <v>124</v>
      </c>
      <c r="AJ102" s="27" t="s">
        <v>124</v>
      </c>
      <c r="AK102" s="27" t="s">
        <v>124</v>
      </c>
      <c r="AL102" s="27" t="s">
        <v>124</v>
      </c>
      <c r="AM102" s="27" t="s">
        <v>124</v>
      </c>
      <c r="AN102" s="27" t="s">
        <v>124</v>
      </c>
      <c r="AO102" s="27" t="s">
        <v>124</v>
      </c>
      <c r="AP102" s="27"/>
      <c r="AQ102" s="27"/>
    </row>
    <row r="103" spans="1:43" x14ac:dyDescent="0.25">
      <c r="A103" s="29"/>
      <c r="C103" s="114" t="s">
        <v>89</v>
      </c>
      <c r="L103" s="30" t="s">
        <v>124</v>
      </c>
      <c r="M103" s="27" t="s">
        <v>124</v>
      </c>
      <c r="N103" s="27" t="s">
        <v>124</v>
      </c>
      <c r="O103" s="27" t="s">
        <v>124</v>
      </c>
      <c r="P103" s="27" t="s">
        <v>124</v>
      </c>
      <c r="Q103" s="27" t="s">
        <v>124</v>
      </c>
      <c r="R103" s="27" t="s">
        <v>124</v>
      </c>
      <c r="S103" s="27" t="s">
        <v>124</v>
      </c>
      <c r="T103" s="27" t="s">
        <v>124</v>
      </c>
      <c r="U103" s="27" t="s">
        <v>124</v>
      </c>
      <c r="V103" s="27" t="s">
        <v>124</v>
      </c>
      <c r="W103" s="27" t="s">
        <v>124</v>
      </c>
      <c r="X103" s="27" t="s">
        <v>124</v>
      </c>
      <c r="Y103" s="27" t="s">
        <v>124</v>
      </c>
      <c r="Z103" s="27" t="s">
        <v>124</v>
      </c>
      <c r="AA103" s="27" t="s">
        <v>124</v>
      </c>
      <c r="AB103" s="27" t="s">
        <v>124</v>
      </c>
      <c r="AC103" s="27" t="s">
        <v>124</v>
      </c>
      <c r="AD103" s="27" t="s">
        <v>124</v>
      </c>
      <c r="AE103" s="27" t="s">
        <v>124</v>
      </c>
      <c r="AF103" s="27" t="s">
        <v>124</v>
      </c>
      <c r="AG103" s="27" t="s">
        <v>124</v>
      </c>
      <c r="AH103" s="27" t="s">
        <v>124</v>
      </c>
      <c r="AI103" s="27" t="s">
        <v>124</v>
      </c>
      <c r="AJ103" s="27" t="s">
        <v>124</v>
      </c>
      <c r="AK103" s="27" t="s">
        <v>124</v>
      </c>
      <c r="AL103" s="27" t="s">
        <v>124</v>
      </c>
      <c r="AM103" s="27" t="s">
        <v>124</v>
      </c>
      <c r="AN103" s="27" t="s">
        <v>124</v>
      </c>
      <c r="AO103" s="27" t="s">
        <v>124</v>
      </c>
      <c r="AP103" s="27"/>
      <c r="AQ103" s="27"/>
    </row>
    <row r="104" spans="1:43" x14ac:dyDescent="0.25">
      <c r="A104" s="29"/>
      <c r="C104" s="114" t="s">
        <v>11</v>
      </c>
      <c r="L104" s="30" t="s">
        <v>124</v>
      </c>
      <c r="M104" s="27" t="s">
        <v>124</v>
      </c>
      <c r="N104" s="27" t="s">
        <v>124</v>
      </c>
      <c r="O104" s="27" t="s">
        <v>124</v>
      </c>
      <c r="P104" s="27" t="s">
        <v>124</v>
      </c>
      <c r="Q104" s="27" t="s">
        <v>124</v>
      </c>
      <c r="R104" s="27" t="s">
        <v>124</v>
      </c>
      <c r="S104" s="27" t="s">
        <v>124</v>
      </c>
      <c r="T104" s="27" t="s">
        <v>124</v>
      </c>
      <c r="U104" s="27" t="s">
        <v>124</v>
      </c>
      <c r="V104" s="27" t="s">
        <v>124</v>
      </c>
      <c r="W104" s="27" t="s">
        <v>124</v>
      </c>
      <c r="X104" s="27" t="s">
        <v>124</v>
      </c>
      <c r="Y104" s="27" t="s">
        <v>124</v>
      </c>
      <c r="Z104" s="27" t="s">
        <v>124</v>
      </c>
      <c r="AA104" s="27" t="s">
        <v>124</v>
      </c>
      <c r="AB104" s="27" t="s">
        <v>124</v>
      </c>
      <c r="AC104" s="27" t="s">
        <v>124</v>
      </c>
      <c r="AD104" s="27" t="s">
        <v>124</v>
      </c>
      <c r="AE104" s="27" t="s">
        <v>124</v>
      </c>
      <c r="AF104" s="27" t="s">
        <v>124</v>
      </c>
      <c r="AG104" s="27" t="s">
        <v>124</v>
      </c>
      <c r="AH104" s="27" t="s">
        <v>124</v>
      </c>
      <c r="AI104" s="27" t="s">
        <v>124</v>
      </c>
      <c r="AJ104" s="27" t="s">
        <v>124</v>
      </c>
      <c r="AK104" s="27" t="s">
        <v>124</v>
      </c>
      <c r="AL104" s="27" t="s">
        <v>124</v>
      </c>
      <c r="AM104" s="27" t="s">
        <v>124</v>
      </c>
      <c r="AN104" s="27" t="s">
        <v>124</v>
      </c>
      <c r="AO104" s="27" t="s">
        <v>124</v>
      </c>
      <c r="AP104" s="27"/>
      <c r="AQ104" s="27"/>
    </row>
    <row r="105" spans="1:43" x14ac:dyDescent="0.25">
      <c r="A105" s="29"/>
      <c r="L105" s="30" t="s">
        <v>124</v>
      </c>
      <c r="M105" s="27" t="s">
        <v>124</v>
      </c>
      <c r="N105" s="27" t="s">
        <v>124</v>
      </c>
      <c r="O105" s="27" t="s">
        <v>124</v>
      </c>
      <c r="P105" s="27" t="s">
        <v>124</v>
      </c>
      <c r="Q105" s="27" t="s">
        <v>124</v>
      </c>
      <c r="R105" s="27" t="s">
        <v>124</v>
      </c>
      <c r="S105" s="27" t="s">
        <v>124</v>
      </c>
      <c r="T105" s="27" t="s">
        <v>124</v>
      </c>
      <c r="U105" s="27" t="s">
        <v>124</v>
      </c>
      <c r="V105" s="27" t="s">
        <v>124</v>
      </c>
      <c r="W105" s="27" t="s">
        <v>124</v>
      </c>
      <c r="X105" s="27" t="s">
        <v>124</v>
      </c>
      <c r="Y105" s="27" t="s">
        <v>124</v>
      </c>
      <c r="Z105" s="27" t="s">
        <v>124</v>
      </c>
      <c r="AA105" s="27" t="s">
        <v>124</v>
      </c>
      <c r="AB105" s="27" t="s">
        <v>124</v>
      </c>
      <c r="AC105" s="27" t="s">
        <v>124</v>
      </c>
      <c r="AD105" s="27" t="s">
        <v>124</v>
      </c>
      <c r="AE105" s="27" t="s">
        <v>124</v>
      </c>
      <c r="AF105" s="27" t="s">
        <v>124</v>
      </c>
      <c r="AG105" s="27" t="s">
        <v>124</v>
      </c>
      <c r="AH105" s="27" t="s">
        <v>124</v>
      </c>
      <c r="AI105" s="27" t="s">
        <v>124</v>
      </c>
      <c r="AJ105" s="27" t="s">
        <v>124</v>
      </c>
      <c r="AK105" s="27" t="s">
        <v>124</v>
      </c>
      <c r="AL105" s="27" t="s">
        <v>124</v>
      </c>
      <c r="AM105" s="27" t="s">
        <v>124</v>
      </c>
      <c r="AN105" s="27" t="s">
        <v>124</v>
      </c>
      <c r="AO105" s="27" t="s">
        <v>124</v>
      </c>
      <c r="AP105" s="27"/>
      <c r="AQ105" s="27"/>
    </row>
    <row r="106" spans="1:43" x14ac:dyDescent="0.25">
      <c r="A106" s="2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</row>
  </sheetData>
  <conditionalFormatting sqref="D10:T10 D18:T18 D26:T26 D34:T34 D42:T42 D50:T50 D58:T58 D66:T66 D74:T74 D82:T82 D84:T84 D92:T92">
    <cfRule type="expression" dxfId="0" priority="1">
      <formula>NOT(SUBTOTAL(109,$A11)=$A11)</formula>
    </cfRule>
  </conditionalFormatting>
  <hyperlinks>
    <hyperlink ref="D5" r:id="rId1" xr:uid="{00000000-0004-0000-0800-000000000000}"/>
    <hyperlink ref="E5" r:id="rId2" xr:uid="{00000000-0004-0000-0800-000001000000}"/>
    <hyperlink ref="F5" r:id="rId3" xr:uid="{00000000-0004-0000-0800-000002000000}"/>
    <hyperlink ref="G5" r:id="rId4" xr:uid="{00000000-0004-0000-0800-000003000000}"/>
    <hyperlink ref="H5" r:id="rId5" xr:uid="{00000000-0004-0000-0800-000004000000}"/>
    <hyperlink ref="I5" r:id="rId6" xr:uid="{00000000-0004-0000-0800-000005000000}"/>
    <hyperlink ref="J5" r:id="rId7" xr:uid="{00000000-0004-0000-0800-000006000000}"/>
    <hyperlink ref="K5" r:id="rId8" xr:uid="{00000000-0004-0000-0800-000007000000}"/>
    <hyperlink ref="D5" r:id="rId9" xr:uid="{00000000-0004-0000-0800-000008000000}"/>
    <hyperlink ref="E5" r:id="rId10" xr:uid="{00000000-0004-0000-0800-000009000000}"/>
    <hyperlink ref="F5" r:id="rId11" xr:uid="{00000000-0004-0000-0800-00000A000000}"/>
    <hyperlink ref="G5" r:id="rId12" xr:uid="{00000000-0004-0000-0800-00000B000000}"/>
    <hyperlink ref="H5" r:id="rId13" xr:uid="{00000000-0004-0000-0800-00000C000000}"/>
    <hyperlink ref="I5" r:id="rId14" xr:uid="{00000000-0004-0000-0800-00000D000000}"/>
    <hyperlink ref="J5" r:id="rId15" xr:uid="{00000000-0004-0000-0800-00000E000000}"/>
    <hyperlink ref="K5" r:id="rId16" xr:uid="{00000000-0004-0000-0800-00000F000000}"/>
    <hyperlink ref="D5" r:id="rId17" xr:uid="{00000000-0004-0000-0800-000010000000}"/>
    <hyperlink ref="E5" r:id="rId18" xr:uid="{00000000-0004-0000-0800-000011000000}"/>
    <hyperlink ref="F5" r:id="rId19" xr:uid="{00000000-0004-0000-0800-000012000000}"/>
    <hyperlink ref="G5" r:id="rId20" xr:uid="{00000000-0004-0000-0800-000013000000}"/>
    <hyperlink ref="H5" r:id="rId21" xr:uid="{00000000-0004-0000-0800-000014000000}"/>
    <hyperlink ref="I5" r:id="rId22" xr:uid="{00000000-0004-0000-0800-000015000000}"/>
    <hyperlink ref="J5" r:id="rId23" xr:uid="{00000000-0004-0000-0800-000016000000}"/>
    <hyperlink ref="K5" r:id="rId24" xr:uid="{00000000-0004-0000-0800-000017000000}"/>
    <hyperlink ref="D5" r:id="rId25" xr:uid="{00000000-0004-0000-0800-000018000000}"/>
    <hyperlink ref="E5" r:id="rId26" xr:uid="{00000000-0004-0000-0800-000019000000}"/>
    <hyperlink ref="F5" r:id="rId27" xr:uid="{00000000-0004-0000-0800-00001A000000}"/>
    <hyperlink ref="G5" r:id="rId28" xr:uid="{00000000-0004-0000-0800-00001B000000}"/>
    <hyperlink ref="H5" r:id="rId29" xr:uid="{00000000-0004-0000-0800-00001C000000}"/>
    <hyperlink ref="I5" r:id="rId30" xr:uid="{00000000-0004-0000-0800-00001D000000}"/>
    <hyperlink ref="J5" r:id="rId31" xr:uid="{00000000-0004-0000-0800-00001E000000}"/>
    <hyperlink ref="K5" r:id="rId32" xr:uid="{00000000-0004-0000-0800-00001F000000}"/>
    <hyperlink ref="D5" r:id="rId33" xr:uid="{00000000-0004-0000-0800-000020000000}"/>
    <hyperlink ref="E5" r:id="rId34" xr:uid="{00000000-0004-0000-0800-000021000000}"/>
    <hyperlink ref="F5" r:id="rId35" xr:uid="{00000000-0004-0000-0800-000022000000}"/>
    <hyperlink ref="G5" r:id="rId36" xr:uid="{00000000-0004-0000-0800-000023000000}"/>
    <hyperlink ref="H5" r:id="rId37" xr:uid="{00000000-0004-0000-0800-000024000000}"/>
    <hyperlink ref="I5" r:id="rId38" xr:uid="{00000000-0004-0000-0800-000025000000}"/>
    <hyperlink ref="J5" r:id="rId39" xr:uid="{00000000-0004-0000-0800-000026000000}"/>
    <hyperlink ref="K5" r:id="rId40" xr:uid="{00000000-0004-0000-0800-000027000000}"/>
    <hyperlink ref="D5" r:id="rId41" xr:uid="{00000000-0004-0000-0800-000028000000}"/>
    <hyperlink ref="E5" r:id="rId42" xr:uid="{00000000-0004-0000-0800-000029000000}"/>
    <hyperlink ref="F5" r:id="rId43" xr:uid="{00000000-0004-0000-0800-00002A000000}"/>
    <hyperlink ref="G5" r:id="rId44" xr:uid="{00000000-0004-0000-0800-00002B000000}"/>
    <hyperlink ref="H5" r:id="rId45" xr:uid="{00000000-0004-0000-0800-00002C000000}"/>
    <hyperlink ref="I5" r:id="rId46" xr:uid="{00000000-0004-0000-0800-00002D000000}"/>
    <hyperlink ref="J5" r:id="rId47" xr:uid="{00000000-0004-0000-0800-00002E000000}"/>
    <hyperlink ref="K5" r:id="rId48" xr:uid="{00000000-0004-0000-0800-00002F000000}"/>
    <hyperlink ref="D5" r:id="rId49" xr:uid="{00000000-0004-0000-0800-000030000000}"/>
    <hyperlink ref="E5" r:id="rId50" xr:uid="{00000000-0004-0000-0800-000031000000}"/>
    <hyperlink ref="F5" r:id="rId51" xr:uid="{00000000-0004-0000-0800-000032000000}"/>
    <hyperlink ref="G5" r:id="rId52" xr:uid="{00000000-0004-0000-0800-000033000000}"/>
    <hyperlink ref="H5" r:id="rId53" xr:uid="{00000000-0004-0000-0800-000034000000}"/>
    <hyperlink ref="I5" r:id="rId54" xr:uid="{00000000-0004-0000-0800-000035000000}"/>
    <hyperlink ref="J5" r:id="rId55" xr:uid="{00000000-0004-0000-0800-000036000000}"/>
    <hyperlink ref="K5" r:id="rId56" xr:uid="{00000000-0004-0000-0800-000037000000}"/>
    <hyperlink ref="D5" r:id="rId57" xr:uid="{00000000-0004-0000-0800-000038000000}"/>
    <hyperlink ref="E5" r:id="rId58" xr:uid="{00000000-0004-0000-0800-000039000000}"/>
    <hyperlink ref="F5" r:id="rId59" xr:uid="{00000000-0004-0000-0800-00003A000000}"/>
    <hyperlink ref="G5" r:id="rId60" xr:uid="{00000000-0004-0000-0800-00003B000000}"/>
    <hyperlink ref="H5" r:id="rId61" xr:uid="{00000000-0004-0000-0800-00003C000000}"/>
    <hyperlink ref="I5" r:id="rId62" xr:uid="{00000000-0004-0000-0800-00003D000000}"/>
    <hyperlink ref="J5" r:id="rId63" xr:uid="{00000000-0004-0000-0800-00003E000000}"/>
    <hyperlink ref="K5" r:id="rId64" xr:uid="{00000000-0004-0000-0800-00003F000000}"/>
    <hyperlink ref="D5" r:id="rId65" xr:uid="{00000000-0004-0000-0800-000040000000}"/>
    <hyperlink ref="E5" r:id="rId66" xr:uid="{00000000-0004-0000-0800-000041000000}"/>
    <hyperlink ref="F5" r:id="rId67" xr:uid="{00000000-0004-0000-0800-000042000000}"/>
    <hyperlink ref="G5" r:id="rId68" xr:uid="{00000000-0004-0000-0800-000043000000}"/>
    <hyperlink ref="H5" r:id="rId69" xr:uid="{00000000-0004-0000-0800-000044000000}"/>
    <hyperlink ref="I5" r:id="rId70" xr:uid="{00000000-0004-0000-0800-000045000000}"/>
    <hyperlink ref="J5" r:id="rId71" xr:uid="{00000000-0004-0000-0800-000046000000}"/>
    <hyperlink ref="K5" r:id="rId72" xr:uid="{00000000-0004-0000-0800-000047000000}"/>
    <hyperlink ref="D5" r:id="rId73" xr:uid="{00000000-0004-0000-0800-000048000000}"/>
    <hyperlink ref="E5" r:id="rId74" xr:uid="{00000000-0004-0000-0800-000049000000}"/>
    <hyperlink ref="F5" r:id="rId75" xr:uid="{00000000-0004-0000-0800-00004A000000}"/>
    <hyperlink ref="G5" r:id="rId76" xr:uid="{00000000-0004-0000-0800-00004B000000}"/>
    <hyperlink ref="H5" r:id="rId77" xr:uid="{00000000-0004-0000-0800-00004C000000}"/>
    <hyperlink ref="I5" r:id="rId78" xr:uid="{00000000-0004-0000-0800-00004D000000}"/>
    <hyperlink ref="J5" r:id="rId79" xr:uid="{00000000-0004-0000-0800-00004E000000}"/>
    <hyperlink ref="K5" r:id="rId80" xr:uid="{00000000-0004-0000-0800-00004F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Peer Group</vt:lpstr>
      <vt:lpstr>Income Statement</vt:lpstr>
      <vt:lpstr>Key Metrics</vt:lpstr>
      <vt:lpstr>Balance Sheet</vt:lpstr>
      <vt:lpstr>Cash Flow</vt:lpstr>
      <vt:lpstr>Segments</vt:lpstr>
      <vt:lpstr>Ratios</vt:lpstr>
      <vt:lpstr>Estimates</vt:lpstr>
      <vt:lpstr>Sourcing</vt:lpstr>
      <vt:lpstr>CreatedFor</vt:lpstr>
      <vt:lpstr>CreatedForTitle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PitchBook</dc:creator>
  <cp:lastModifiedBy>Om Gaikhe</cp:lastModifiedBy>
  <cp:revision>6</cp:revision>
  <dcterms:created xsi:type="dcterms:W3CDTF">2017-11-02T08:33:29Z</dcterms:created>
  <dcterms:modified xsi:type="dcterms:W3CDTF">2022-11-08T03:51:31Z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