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SMG-Mediavest\Mead Johnson\2017\Enfagrow\Pauta\Pauta Digital\Febrero\Cierre Digital\"/>
    </mc:Choice>
  </mc:AlternateContent>
  <bookViews>
    <workbookView xWindow="0" yWindow="0" windowWidth="20490" windowHeight="7620"/>
  </bookViews>
  <sheets>
    <sheet name="Enfagrow " sheetId="10" r:id="rId1"/>
    <sheet name="Segmentación Facebook" sheetId="36" state="hidden" r:id="rId2"/>
    <sheet name="Yahoo" sheetId="31" state="hidden" r:id="rId3"/>
    <sheet name="Impaktu" sheetId="32" state="hidden" r:id="rId4"/>
    <sheet name="Google L" sheetId="33" state="hidden" r:id="rId5"/>
    <sheet name="Headway" sheetId="34" state="hidden" r:id="rId6"/>
    <sheet name="MMCC" sheetId="35" state="hidden" r:id="rId7"/>
    <sheet name="Hoja1" sheetId="28" state="hidden" r:id="rId8"/>
    <sheet name="IMS" sheetId="22" state="hidden" r:id="rId9"/>
    <sheet name="Teads" sheetId="26" state="hidden" r:id="rId10"/>
    <sheet name="AOD" sheetId="23" state="hidden" r:id="rId11"/>
    <sheet name="YouTube" sheetId="27" state="hidden" r:id="rId12"/>
    <sheet name="Google" sheetId="24" state="hidden" r:id="rId13"/>
    <sheet name="Intereses" sheetId="20" state="hidden" r:id="rId14"/>
    <sheet name="Temas" sheetId="21" state="hidden" r:id="rId15"/>
    <sheet name="Facebook" sheetId="25" state="hidden" r:id="rId16"/>
    <sheet name="Facturación Abril" sheetId="11" state="hidden" r:id="rId17"/>
    <sheet name="Facturación Mayo" sheetId="12" state="hidden" r:id="rId18"/>
    <sheet name="Enfagrow Share" sheetId="9" state="hidden" r:id="rId19"/>
    <sheet name="MENSUAL" sheetId="8" state="hidden" r:id="rId20"/>
  </sheets>
  <definedNames>
    <definedName name="_xlnm._FilterDatabase" localSheetId="18" hidden="1">'Enfagrow Share'!$A$1:$B$14</definedName>
    <definedName name="COMPRA" localSheetId="18">#REF!</definedName>
    <definedName name="COMPRA" localSheetId="4">#REF!</definedName>
    <definedName name="COMPRA" localSheetId="5">#REF!</definedName>
    <definedName name="COMPRA" localSheetId="3">#REF!</definedName>
    <definedName name="COMPRA" localSheetId="6">#REF!</definedName>
    <definedName name="COMPRA" localSheetId="2">#REF!</definedName>
    <definedName name="COMPRA">#REF!</definedName>
    <definedName name="erik" localSheetId="18">#REF!</definedName>
    <definedName name="erik" localSheetId="4">#REF!</definedName>
    <definedName name="erik" localSheetId="5">#REF!</definedName>
    <definedName name="erik" localSheetId="3">#REF!</definedName>
    <definedName name="erik" localSheetId="6">#REF!</definedName>
    <definedName name="erik" localSheetId="2">#REF!</definedName>
    <definedName name="erik">#REF!</definedName>
    <definedName name="FORMATO" localSheetId="18">#REF!</definedName>
    <definedName name="FORMATO" localSheetId="4">#REF!</definedName>
    <definedName name="FORMATO" localSheetId="5">#REF!</definedName>
    <definedName name="FORMATO" localSheetId="3">#REF!</definedName>
    <definedName name="FORMATO" localSheetId="6">#REF!</definedName>
    <definedName name="FORMATO" localSheetId="2">#REF!</definedName>
    <definedName name="FORMATO">#REF!</definedName>
    <definedName name="NEGOCIACION" localSheetId="18">#REF!</definedName>
    <definedName name="NEGOCIACION" localSheetId="4">#REF!</definedName>
    <definedName name="NEGOCIACION" localSheetId="5">#REF!</definedName>
    <definedName name="NEGOCIACION" localSheetId="3">#REF!</definedName>
    <definedName name="NEGOCIACION" localSheetId="6">#REF!</definedName>
    <definedName name="NEGOCIACION" localSheetId="2">#REF!</definedName>
    <definedName name="NEGOCIACION">#REF!</definedName>
    <definedName name="None" localSheetId="18">#REF!</definedName>
    <definedName name="None" localSheetId="4">#REF!</definedName>
    <definedName name="None" localSheetId="5">#REF!</definedName>
    <definedName name="None" localSheetId="3">#REF!</definedName>
    <definedName name="None" localSheetId="6">#REF!</definedName>
    <definedName name="None" localSheetId="2">#REF!</definedName>
    <definedName name="None">#REF!</definedName>
    <definedName name="numero" localSheetId="18">#REF!</definedName>
    <definedName name="numero" localSheetId="4">#REF!</definedName>
    <definedName name="numero" localSheetId="5">#REF!</definedName>
    <definedName name="numero" localSheetId="3">#REF!</definedName>
    <definedName name="numero" localSheetId="6">#REF!</definedName>
    <definedName name="numero" localSheetId="2">#REF!</definedName>
    <definedName name="numero">#REF!</definedName>
    <definedName name="Objetivo" localSheetId="18">#REF!</definedName>
    <definedName name="Objetivo" localSheetId="4">#REF!</definedName>
    <definedName name="Objetivo" localSheetId="5">#REF!</definedName>
    <definedName name="Objetivo" localSheetId="3">#REF!</definedName>
    <definedName name="Objetivo" localSheetId="6">#REF!</definedName>
    <definedName name="Objetivo" localSheetId="2">#REF!</definedName>
    <definedName name="Objetivo">#REF!</definedName>
    <definedName name="SECCIÓM" localSheetId="18">#REF!</definedName>
    <definedName name="SECCIÓM" localSheetId="4">#REF!</definedName>
    <definedName name="SECCIÓM" localSheetId="5">#REF!</definedName>
    <definedName name="SECCIÓM" localSheetId="3">#REF!</definedName>
    <definedName name="SECCIÓM" localSheetId="6">#REF!</definedName>
    <definedName name="SECCIÓM" localSheetId="2">#REF!</definedName>
    <definedName name="SECCIÓM">#REF!</definedName>
    <definedName name="SECCION" localSheetId="18">#REF!</definedName>
    <definedName name="SECCION" localSheetId="4">#REF!</definedName>
    <definedName name="SECCION" localSheetId="5">#REF!</definedName>
    <definedName name="SECCION" localSheetId="3">#REF!</definedName>
    <definedName name="SECCION" localSheetId="6">#REF!</definedName>
    <definedName name="SECCION" localSheetId="2">#REF!</definedName>
    <definedName name="SECCION">#REF!</definedName>
    <definedName name="servicio" localSheetId="18">#REF!</definedName>
    <definedName name="servicio" localSheetId="4">#REF!</definedName>
    <definedName name="servicio" localSheetId="5">#REF!</definedName>
    <definedName name="servicio" localSheetId="3">#REF!</definedName>
    <definedName name="servicio" localSheetId="6">#REF!</definedName>
    <definedName name="servicio" localSheetId="2">#REF!</definedName>
    <definedName name="servicio">#REF!</definedName>
    <definedName name="TAMAÑO" localSheetId="18">#REF!</definedName>
    <definedName name="TAMAÑO" localSheetId="4">#REF!</definedName>
    <definedName name="TAMAÑO" localSheetId="5">#REF!</definedName>
    <definedName name="TAMAÑO" localSheetId="3">#REF!</definedName>
    <definedName name="TAMAÑO" localSheetId="6">#REF!</definedName>
    <definedName name="TAMAÑO" localSheetId="2">#REF!</definedName>
    <definedName name="TAMAÑO">#REF!</definedName>
    <definedName name="TIPO" localSheetId="18">#REF!</definedName>
    <definedName name="TIPO" localSheetId="4">#REF!</definedName>
    <definedName name="TIPO" localSheetId="5">#REF!</definedName>
    <definedName name="TIPO" localSheetId="3">#REF!</definedName>
    <definedName name="TIPO" localSheetId="6">#REF!</definedName>
    <definedName name="TIPO" localSheetId="2">#REF!</definedName>
    <definedName name="TIPO">#REF!</definedName>
    <definedName name="WEB" localSheetId="18">#REF!</definedName>
    <definedName name="WEB" localSheetId="4">#REF!</definedName>
    <definedName name="WEB" localSheetId="5">#REF!</definedName>
    <definedName name="WEB" localSheetId="3">#REF!</definedName>
    <definedName name="WEB" localSheetId="6">#REF!</definedName>
    <definedName name="WEB" localSheetId="2">#REF!</definedName>
    <definedName name="WEB">#REF!</definedName>
  </definedNames>
  <calcPr calcId="162913"/>
</workbook>
</file>

<file path=xl/calcChain.xml><?xml version="1.0" encoding="utf-8"?>
<calcChain xmlns="http://schemas.openxmlformats.org/spreadsheetml/2006/main">
  <c r="J32" i="10" l="1"/>
  <c r="K32" i="10"/>
  <c r="J33" i="10"/>
  <c r="K33" i="10"/>
  <c r="J34" i="10"/>
  <c r="K34" i="10"/>
  <c r="P15" i="10" l="1"/>
  <c r="K37" i="10" s="1"/>
  <c r="P16" i="10"/>
  <c r="P17" i="10"/>
  <c r="P18" i="10"/>
  <c r="J38" i="10" s="1"/>
  <c r="P19" i="10"/>
  <c r="J37" i="10" l="1"/>
  <c r="K38" i="10"/>
  <c r="P26" i="10"/>
  <c r="P25" i="10"/>
  <c r="Q15" i="10" l="1"/>
  <c r="Q16" i="10"/>
  <c r="Q17" i="10"/>
  <c r="Q18" i="10"/>
  <c r="Q19" i="10"/>
  <c r="L22" i="10" l="1"/>
  <c r="H22" i="10" s="1"/>
  <c r="N22" i="10" s="1"/>
  <c r="L21" i="10"/>
  <c r="H21" i="10" s="1"/>
  <c r="N21" i="10" s="1"/>
  <c r="L20" i="10"/>
  <c r="H20" i="10" s="1"/>
  <c r="N20" i="10" s="1"/>
  <c r="L19" i="10"/>
  <c r="H19" i="10" s="1"/>
  <c r="N19" i="10" s="1"/>
  <c r="L16" i="10"/>
  <c r="H16" i="10" s="1"/>
  <c r="N16" i="10" s="1"/>
  <c r="L17" i="10"/>
  <c r="H17" i="10" s="1"/>
  <c r="N17" i="10" s="1"/>
  <c r="L18" i="10"/>
  <c r="H18" i="10" s="1"/>
  <c r="N18" i="10" s="1"/>
  <c r="L15" i="10"/>
  <c r="C21" i="9"/>
  <c r="C20" i="9"/>
  <c r="P33" i="10"/>
  <c r="O11" i="25"/>
  <c r="N19" i="25"/>
  <c r="N18" i="25"/>
  <c r="N21" i="25"/>
  <c r="M27" i="31"/>
  <c r="G15" i="31"/>
  <c r="I15" i="31"/>
  <c r="G16" i="31"/>
  <c r="I16" i="31"/>
  <c r="I17" i="31"/>
  <c r="I18" i="31"/>
  <c r="G19" i="31"/>
  <c r="I19" i="31"/>
  <c r="G20" i="31"/>
  <c r="I20" i="31"/>
  <c r="I21" i="31"/>
  <c r="I22" i="31"/>
  <c r="I23" i="31"/>
  <c r="I24" i="31"/>
  <c r="I25" i="31"/>
  <c r="I26" i="31"/>
  <c r="I27" i="31"/>
  <c r="N40" i="31"/>
  <c r="M29" i="33"/>
  <c r="N29" i="33"/>
  <c r="M28" i="33"/>
  <c r="N28" i="33"/>
  <c r="N30" i="33"/>
  <c r="M31" i="33"/>
  <c r="N31" i="33"/>
  <c r="N32" i="33"/>
  <c r="M29" i="34"/>
  <c r="N29" i="34"/>
  <c r="M30" i="34"/>
  <c r="N30" i="34"/>
  <c r="N31" i="34"/>
  <c r="M32" i="34"/>
  <c r="N32" i="34"/>
  <c r="N33" i="34"/>
  <c r="M29" i="35"/>
  <c r="N19" i="33"/>
  <c r="N18" i="33"/>
  <c r="M29" i="31"/>
  <c r="N29" i="31"/>
  <c r="M30" i="31"/>
  <c r="N30" i="31"/>
  <c r="N31" i="31"/>
  <c r="M32" i="31"/>
  <c r="N32" i="31"/>
  <c r="N33" i="31"/>
  <c r="N21" i="35"/>
  <c r="I21" i="35"/>
  <c r="G21" i="35"/>
  <c r="J21" i="35"/>
  <c r="N21" i="34"/>
  <c r="I21" i="34"/>
  <c r="G15" i="34"/>
  <c r="I15" i="34"/>
  <c r="I16" i="34"/>
  <c r="I17" i="34"/>
  <c r="G18" i="34"/>
  <c r="I18" i="34"/>
  <c r="G19" i="34"/>
  <c r="I19" i="34"/>
  <c r="I20" i="34"/>
  <c r="I22" i="34"/>
  <c r="I23" i="34"/>
  <c r="I24" i="34"/>
  <c r="I25" i="34"/>
  <c r="I26" i="34"/>
  <c r="I27" i="34"/>
  <c r="G21" i="34"/>
  <c r="J21" i="34"/>
  <c r="M28" i="32"/>
  <c r="N18" i="32"/>
  <c r="I18" i="32"/>
  <c r="G18" i="32"/>
  <c r="J18" i="32"/>
  <c r="N17" i="32"/>
  <c r="I17" i="32"/>
  <c r="G17" i="32"/>
  <c r="J17" i="32"/>
  <c r="S15" i="31"/>
  <c r="N15" i="31"/>
  <c r="N16" i="31"/>
  <c r="N17" i="31"/>
  <c r="N18" i="31"/>
  <c r="N19" i="31"/>
  <c r="N20" i="31"/>
  <c r="N21" i="31"/>
  <c r="N22" i="31"/>
  <c r="N23" i="31"/>
  <c r="N24" i="31"/>
  <c r="N25" i="31"/>
  <c r="N26" i="31"/>
  <c r="N27" i="31"/>
  <c r="K15" i="31"/>
  <c r="U53" i="35"/>
  <c r="U52" i="35"/>
  <c r="U51" i="35"/>
  <c r="U50" i="35"/>
  <c r="U49" i="35"/>
  <c r="M32" i="35"/>
  <c r="N32" i="35"/>
  <c r="N31" i="35"/>
  <c r="M30" i="35"/>
  <c r="N30" i="35"/>
  <c r="N29" i="35"/>
  <c r="M27" i="35"/>
  <c r="V26" i="35"/>
  <c r="N26" i="35"/>
  <c r="I26" i="35"/>
  <c r="G26" i="35"/>
  <c r="K26" i="35"/>
  <c r="N25" i="35"/>
  <c r="I25" i="35"/>
  <c r="G25" i="35"/>
  <c r="K25" i="35"/>
  <c r="N24" i="35"/>
  <c r="I24" i="35"/>
  <c r="G24" i="35"/>
  <c r="K24" i="35"/>
  <c r="U23" i="35"/>
  <c r="V23" i="35"/>
  <c r="V27" i="35"/>
  <c r="N23" i="35"/>
  <c r="I23" i="35"/>
  <c r="G23" i="35"/>
  <c r="K23" i="35"/>
  <c r="N22" i="35"/>
  <c r="I22" i="35"/>
  <c r="G22" i="35"/>
  <c r="J22" i="35"/>
  <c r="N20" i="35"/>
  <c r="I20" i="35"/>
  <c r="G20" i="35"/>
  <c r="J20" i="35"/>
  <c r="N19" i="35"/>
  <c r="G19" i="35"/>
  <c r="I19" i="35"/>
  <c r="N18" i="35"/>
  <c r="G18" i="35"/>
  <c r="I18" i="35"/>
  <c r="K18" i="35"/>
  <c r="N17" i="35"/>
  <c r="I17" i="35"/>
  <c r="G17" i="35"/>
  <c r="J17" i="35"/>
  <c r="N16" i="35"/>
  <c r="I16" i="35"/>
  <c r="G16" i="35"/>
  <c r="J16" i="35"/>
  <c r="N15" i="35"/>
  <c r="G15" i="35"/>
  <c r="C8" i="35"/>
  <c r="U53" i="34"/>
  <c r="U52" i="34"/>
  <c r="U51" i="34"/>
  <c r="U50" i="34"/>
  <c r="U49" i="34"/>
  <c r="M27" i="34"/>
  <c r="V26" i="34"/>
  <c r="N26" i="34"/>
  <c r="G26" i="34"/>
  <c r="K26" i="34"/>
  <c r="N25" i="34"/>
  <c r="G25" i="34"/>
  <c r="K25" i="34"/>
  <c r="N24" i="34"/>
  <c r="G24" i="34"/>
  <c r="K24" i="34"/>
  <c r="U23" i="34"/>
  <c r="V23" i="34"/>
  <c r="V27" i="34"/>
  <c r="N23" i="34"/>
  <c r="G23" i="34"/>
  <c r="K23" i="34"/>
  <c r="N22" i="34"/>
  <c r="G22" i="34"/>
  <c r="J22" i="34"/>
  <c r="N20" i="34"/>
  <c r="G20" i="34"/>
  <c r="J20" i="34"/>
  <c r="N19" i="34"/>
  <c r="K19" i="34"/>
  <c r="N18" i="34"/>
  <c r="K18" i="34"/>
  <c r="N17" i="34"/>
  <c r="G17" i="34"/>
  <c r="J17" i="34"/>
  <c r="N16" i="34"/>
  <c r="G16" i="34"/>
  <c r="J16" i="34"/>
  <c r="N15" i="34"/>
  <c r="C8" i="34"/>
  <c r="U52" i="33"/>
  <c r="U51" i="33"/>
  <c r="U50" i="33"/>
  <c r="U49" i="33"/>
  <c r="U48" i="33"/>
  <c r="M26" i="33"/>
  <c r="V25" i="33"/>
  <c r="N25" i="33"/>
  <c r="I25" i="33"/>
  <c r="G25" i="33"/>
  <c r="K25" i="33"/>
  <c r="N24" i="33"/>
  <c r="I24" i="33"/>
  <c r="G24" i="33"/>
  <c r="K24" i="33"/>
  <c r="N23" i="33"/>
  <c r="I23" i="33"/>
  <c r="G23" i="33"/>
  <c r="K23" i="33"/>
  <c r="U22" i="33"/>
  <c r="V22" i="33"/>
  <c r="V26" i="33"/>
  <c r="N22" i="33"/>
  <c r="I22" i="33"/>
  <c r="G22" i="33"/>
  <c r="K22" i="33"/>
  <c r="N21" i="33"/>
  <c r="I21" i="33"/>
  <c r="G21" i="33"/>
  <c r="J21" i="33"/>
  <c r="N20" i="33"/>
  <c r="I20" i="33"/>
  <c r="G20" i="33"/>
  <c r="J20" i="33"/>
  <c r="G19" i="33"/>
  <c r="I19" i="33"/>
  <c r="K19" i="33"/>
  <c r="G18" i="33"/>
  <c r="I18" i="33"/>
  <c r="K18" i="33"/>
  <c r="N17" i="33"/>
  <c r="I17" i="33"/>
  <c r="G17" i="33"/>
  <c r="J17" i="33"/>
  <c r="N16" i="33"/>
  <c r="I16" i="33"/>
  <c r="G16" i="33"/>
  <c r="J16" i="33"/>
  <c r="N15" i="33"/>
  <c r="G15" i="33"/>
  <c r="I15" i="33"/>
  <c r="C8" i="33"/>
  <c r="U54" i="32"/>
  <c r="U53" i="32"/>
  <c r="U52" i="32"/>
  <c r="U51" i="32"/>
  <c r="U50" i="32"/>
  <c r="M33" i="32"/>
  <c r="N33" i="32"/>
  <c r="N32" i="32"/>
  <c r="M31" i="32"/>
  <c r="M30" i="32"/>
  <c r="N30" i="32"/>
  <c r="N31" i="32"/>
  <c r="N34" i="32"/>
  <c r="V27" i="32"/>
  <c r="N27" i="32"/>
  <c r="I27" i="32"/>
  <c r="G27" i="32"/>
  <c r="K27" i="32"/>
  <c r="N26" i="32"/>
  <c r="I26" i="32"/>
  <c r="G26" i="32"/>
  <c r="K26" i="32"/>
  <c r="N25" i="32"/>
  <c r="I25" i="32"/>
  <c r="G25" i="32"/>
  <c r="K25" i="32"/>
  <c r="U24" i="32"/>
  <c r="V24" i="32"/>
  <c r="V28" i="32"/>
  <c r="N24" i="32"/>
  <c r="I24" i="32"/>
  <c r="G24" i="32"/>
  <c r="K24" i="32"/>
  <c r="N23" i="32"/>
  <c r="I23" i="32"/>
  <c r="G23" i="32"/>
  <c r="J23" i="32"/>
  <c r="N22" i="32"/>
  <c r="I22" i="32"/>
  <c r="G22" i="32"/>
  <c r="J22" i="32"/>
  <c r="N21" i="32"/>
  <c r="G21" i="32"/>
  <c r="I21" i="32"/>
  <c r="K21" i="32"/>
  <c r="N20" i="32"/>
  <c r="G20" i="32"/>
  <c r="I20" i="32"/>
  <c r="K20" i="32"/>
  <c r="N19" i="32"/>
  <c r="I19" i="32"/>
  <c r="G15" i="32"/>
  <c r="I15" i="32"/>
  <c r="I16" i="32"/>
  <c r="I28" i="32"/>
  <c r="G16" i="32"/>
  <c r="G19" i="32"/>
  <c r="G28" i="32"/>
  <c r="H28" i="32"/>
  <c r="J19" i="32"/>
  <c r="N16" i="32"/>
  <c r="J16" i="32"/>
  <c r="N15" i="32"/>
  <c r="N28" i="32"/>
  <c r="C8" i="32"/>
  <c r="U53" i="31"/>
  <c r="U52" i="31"/>
  <c r="U51" i="31"/>
  <c r="U50" i="31"/>
  <c r="U49" i="31"/>
  <c r="V26" i="31"/>
  <c r="G26" i="31"/>
  <c r="K26" i="31"/>
  <c r="G25" i="31"/>
  <c r="K25" i="31"/>
  <c r="G24" i="31"/>
  <c r="K24" i="31"/>
  <c r="U23" i="31"/>
  <c r="V23" i="31"/>
  <c r="V27" i="31"/>
  <c r="G23" i="31"/>
  <c r="K23" i="31"/>
  <c r="G22" i="31"/>
  <c r="J22" i="31"/>
  <c r="G21" i="31"/>
  <c r="J21" i="31"/>
  <c r="K20" i="31"/>
  <c r="K19" i="31"/>
  <c r="G18" i="31"/>
  <c r="J18" i="31"/>
  <c r="G17" i="31"/>
  <c r="J17" i="31"/>
  <c r="G27" i="31"/>
  <c r="H27" i="31"/>
  <c r="K16" i="31"/>
  <c r="C8" i="31"/>
  <c r="M33" i="35"/>
  <c r="N33" i="35"/>
  <c r="I15" i="35"/>
  <c r="K15" i="35"/>
  <c r="M34" i="32"/>
  <c r="M36" i="32"/>
  <c r="M33" i="31"/>
  <c r="M35" i="31"/>
  <c r="K19" i="35"/>
  <c r="K15" i="34"/>
  <c r="K15" i="33"/>
  <c r="K15" i="32"/>
  <c r="I27" i="35"/>
  <c r="M24" i="26"/>
  <c r="U47" i="27"/>
  <c r="U46" i="27"/>
  <c r="U45" i="27"/>
  <c r="U44" i="27"/>
  <c r="U43" i="27"/>
  <c r="M26" i="27"/>
  <c r="N26" i="27"/>
  <c r="M25" i="27"/>
  <c r="N25" i="27"/>
  <c r="M22" i="27"/>
  <c r="V21" i="27"/>
  <c r="N21" i="27"/>
  <c r="U20" i="27"/>
  <c r="V20" i="27"/>
  <c r="V22" i="27"/>
  <c r="N20" i="27"/>
  <c r="N19" i="27"/>
  <c r="M18" i="27"/>
  <c r="K18" i="27"/>
  <c r="N17" i="27"/>
  <c r="G17" i="27"/>
  <c r="I17" i="27"/>
  <c r="K17" i="27"/>
  <c r="N16" i="27"/>
  <c r="G16" i="27"/>
  <c r="I16" i="27"/>
  <c r="N15" i="27"/>
  <c r="I22" i="27"/>
  <c r="N22" i="27"/>
  <c r="N24" i="27"/>
  <c r="N27" i="27"/>
  <c r="M27" i="27"/>
  <c r="M29" i="27"/>
  <c r="K16" i="27"/>
  <c r="G18" i="27"/>
  <c r="G22" i="27"/>
  <c r="H22" i="27"/>
  <c r="N29" i="27"/>
  <c r="S15" i="27"/>
  <c r="S16" i="27"/>
  <c r="O29" i="27"/>
  <c r="O18" i="27"/>
  <c r="N36" i="27"/>
  <c r="O19" i="27"/>
  <c r="O16" i="27"/>
  <c r="O17" i="27"/>
  <c r="O20" i="27"/>
  <c r="O21" i="27"/>
  <c r="O22" i="27"/>
  <c r="O15" i="27"/>
  <c r="O27" i="27"/>
  <c r="G16" i="26"/>
  <c r="I16" i="26"/>
  <c r="I22" i="26"/>
  <c r="U47" i="26"/>
  <c r="U46" i="26"/>
  <c r="U45" i="26"/>
  <c r="U44" i="26"/>
  <c r="U43" i="26"/>
  <c r="N26" i="26"/>
  <c r="N25" i="26"/>
  <c r="N24" i="26"/>
  <c r="N27" i="26"/>
  <c r="V21" i="26"/>
  <c r="N21" i="26"/>
  <c r="U20" i="26"/>
  <c r="V20" i="26"/>
  <c r="N20" i="26"/>
  <c r="N19" i="26"/>
  <c r="M18" i="26"/>
  <c r="M22" i="26"/>
  <c r="N17" i="26"/>
  <c r="N16" i="26"/>
  <c r="N22" i="26"/>
  <c r="V22" i="26"/>
  <c r="G22" i="26"/>
  <c r="H22" i="26"/>
  <c r="N29" i="26"/>
  <c r="O19" i="26"/>
  <c r="M27" i="26"/>
  <c r="M29" i="26"/>
  <c r="O13" i="25"/>
  <c r="I13" i="25"/>
  <c r="J13" i="25"/>
  <c r="M13" i="25"/>
  <c r="I20" i="23"/>
  <c r="I19" i="23"/>
  <c r="M25" i="23"/>
  <c r="N25" i="23"/>
  <c r="M26" i="23"/>
  <c r="N26" i="23"/>
  <c r="M27" i="23"/>
  <c r="N27" i="23"/>
  <c r="N28" i="23"/>
  <c r="N15" i="23"/>
  <c r="N16" i="23"/>
  <c r="N17" i="23"/>
  <c r="N19" i="23"/>
  <c r="N20" i="23"/>
  <c r="N21" i="23"/>
  <c r="N22" i="23"/>
  <c r="N23" i="23"/>
  <c r="N30" i="23"/>
  <c r="N37" i="23"/>
  <c r="I11" i="25"/>
  <c r="J11" i="25"/>
  <c r="M11" i="25"/>
  <c r="I15" i="25"/>
  <c r="J15" i="25"/>
  <c r="M15" i="25"/>
  <c r="O15" i="25"/>
  <c r="O14" i="25"/>
  <c r="I14" i="25"/>
  <c r="J14" i="25"/>
  <c r="M14" i="25"/>
  <c r="M18" i="24"/>
  <c r="M24" i="24"/>
  <c r="M25" i="24"/>
  <c r="M22" i="24"/>
  <c r="O12" i="25"/>
  <c r="O19" i="25"/>
  <c r="I12" i="25"/>
  <c r="J12" i="25"/>
  <c r="M12" i="25"/>
  <c r="C6" i="25"/>
  <c r="I17" i="22"/>
  <c r="G17" i="22"/>
  <c r="K17" i="22"/>
  <c r="I16" i="22"/>
  <c r="I22" i="22"/>
  <c r="U47" i="24"/>
  <c r="U46" i="24"/>
  <c r="U45" i="24"/>
  <c r="U44" i="24"/>
  <c r="U43" i="24"/>
  <c r="M26" i="24"/>
  <c r="N26" i="24"/>
  <c r="N25" i="24"/>
  <c r="V21" i="24"/>
  <c r="N21" i="24"/>
  <c r="U20" i="24"/>
  <c r="V20" i="24"/>
  <c r="V22" i="24"/>
  <c r="N20" i="24"/>
  <c r="N19" i="24"/>
  <c r="K18" i="24"/>
  <c r="G18" i="24"/>
  <c r="N17" i="24"/>
  <c r="G17" i="24"/>
  <c r="N16" i="24"/>
  <c r="G16" i="24"/>
  <c r="I16" i="24"/>
  <c r="K16" i="24"/>
  <c r="N15" i="24"/>
  <c r="G20" i="23"/>
  <c r="K20" i="23"/>
  <c r="G19" i="23"/>
  <c r="K19" i="23"/>
  <c r="U48" i="23"/>
  <c r="U47" i="23"/>
  <c r="U46" i="23"/>
  <c r="U45" i="23"/>
  <c r="U44" i="23"/>
  <c r="V22" i="23"/>
  <c r="U21" i="23"/>
  <c r="V21" i="23"/>
  <c r="V23" i="23"/>
  <c r="M18" i="23"/>
  <c r="K18" i="23"/>
  <c r="G18" i="23"/>
  <c r="M24" i="22"/>
  <c r="N24" i="22"/>
  <c r="N25" i="22"/>
  <c r="N26" i="22"/>
  <c r="N27" i="22"/>
  <c r="U47" i="22"/>
  <c r="U46" i="22"/>
  <c r="U45" i="22"/>
  <c r="U44" i="22"/>
  <c r="U43" i="22"/>
  <c r="V21" i="22"/>
  <c r="N21" i="22"/>
  <c r="U20" i="22"/>
  <c r="V20" i="22"/>
  <c r="N20" i="22"/>
  <c r="N19" i="22"/>
  <c r="M18" i="22"/>
  <c r="N17" i="22"/>
  <c r="N16" i="22"/>
  <c r="N22" i="22"/>
  <c r="N22" i="24"/>
  <c r="G22" i="24"/>
  <c r="M27" i="24"/>
  <c r="N24" i="24"/>
  <c r="N27" i="24"/>
  <c r="I17" i="24"/>
  <c r="K17" i="24"/>
  <c r="G23" i="23"/>
  <c r="I23" i="23"/>
  <c r="M28" i="23"/>
  <c r="M23" i="23"/>
  <c r="V22" i="22"/>
  <c r="M27" i="22"/>
  <c r="M22" i="22"/>
  <c r="N29" i="24"/>
  <c r="O22" i="24"/>
  <c r="O27" i="24"/>
  <c r="I22" i="24"/>
  <c r="H22" i="24"/>
  <c r="M29" i="24"/>
  <c r="H23" i="23"/>
  <c r="M30" i="23"/>
  <c r="O30" i="23"/>
  <c r="O19" i="23"/>
  <c r="O23" i="23"/>
  <c r="N36" i="24"/>
  <c r="S15" i="24"/>
  <c r="S16" i="24"/>
  <c r="O17" i="24"/>
  <c r="O29" i="24"/>
  <c r="O18" i="24"/>
  <c r="O15" i="24"/>
  <c r="O16" i="24"/>
  <c r="O21" i="24"/>
  <c r="O20" i="24"/>
  <c r="O19" i="24"/>
  <c r="O18" i="23"/>
  <c r="O20" i="23"/>
  <c r="S15" i="23"/>
  <c r="S16" i="23"/>
  <c r="O21" i="23"/>
  <c r="O17" i="23"/>
  <c r="O15" i="23"/>
  <c r="O16" i="23"/>
  <c r="O22" i="23"/>
  <c r="O28" i="23"/>
  <c r="M20" i="12"/>
  <c r="M20" i="11"/>
  <c r="M26" i="11"/>
  <c r="N26" i="11"/>
  <c r="M26" i="12"/>
  <c r="N26" i="12"/>
  <c r="M25" i="12"/>
  <c r="N25" i="12"/>
  <c r="N18" i="12"/>
  <c r="M18" i="12"/>
  <c r="N19" i="12"/>
  <c r="M19" i="12"/>
  <c r="M24" i="12"/>
  <c r="N20" i="12"/>
  <c r="G19" i="12"/>
  <c r="I19" i="12"/>
  <c r="K19" i="12"/>
  <c r="N20" i="11"/>
  <c r="N19" i="11"/>
  <c r="M19" i="11"/>
  <c r="N18" i="11"/>
  <c r="M18" i="11"/>
  <c r="N15" i="11"/>
  <c r="G19" i="11"/>
  <c r="I19" i="11"/>
  <c r="K19" i="11"/>
  <c r="K18" i="12"/>
  <c r="N17" i="12"/>
  <c r="G17" i="12"/>
  <c r="I17" i="12"/>
  <c r="K17" i="12"/>
  <c r="N16" i="12"/>
  <c r="N15" i="12"/>
  <c r="G15" i="12"/>
  <c r="I15" i="12"/>
  <c r="K18" i="11"/>
  <c r="N17" i="11"/>
  <c r="G17" i="11"/>
  <c r="I17" i="11"/>
  <c r="K17" i="11"/>
  <c r="N16" i="11"/>
  <c r="G16" i="11"/>
  <c r="I16" i="11"/>
  <c r="K16" i="11"/>
  <c r="N24" i="12"/>
  <c r="N27" i="12"/>
  <c r="M22" i="11"/>
  <c r="N22" i="12"/>
  <c r="K15" i="12"/>
  <c r="M22" i="12"/>
  <c r="G16" i="12"/>
  <c r="I16" i="12"/>
  <c r="K16" i="12"/>
  <c r="M25" i="11"/>
  <c r="N25" i="11"/>
  <c r="G15" i="11"/>
  <c r="M24" i="11"/>
  <c r="N29" i="12"/>
  <c r="M27" i="12"/>
  <c r="M29" i="12"/>
  <c r="I22" i="12"/>
  <c r="G22" i="12"/>
  <c r="I15" i="11"/>
  <c r="G22" i="11"/>
  <c r="N24" i="11"/>
  <c r="N27" i="11"/>
  <c r="M27" i="11"/>
  <c r="M29" i="11"/>
  <c r="N22" i="11"/>
  <c r="N36" i="12"/>
  <c r="N35" i="12"/>
  <c r="H22" i="12"/>
  <c r="O21" i="12"/>
  <c r="S15" i="12"/>
  <c r="S16" i="12"/>
  <c r="O15" i="12"/>
  <c r="O19" i="12"/>
  <c r="O29" i="12"/>
  <c r="O20" i="12"/>
  <c r="O16" i="12"/>
  <c r="O18" i="12"/>
  <c r="O17" i="12"/>
  <c r="O22" i="12"/>
  <c r="O27" i="12"/>
  <c r="I22" i="11"/>
  <c r="H22" i="11"/>
  <c r="K15" i="11"/>
  <c r="N29" i="11"/>
  <c r="O22" i="11"/>
  <c r="O27" i="11"/>
  <c r="O29" i="11"/>
  <c r="O21" i="11"/>
  <c r="S15" i="11"/>
  <c r="S16" i="11"/>
  <c r="N36" i="11"/>
  <c r="N35" i="11"/>
  <c r="O19" i="11"/>
  <c r="O20" i="11"/>
  <c r="O18" i="11"/>
  <c r="O17" i="11"/>
  <c r="O16" i="11"/>
  <c r="O15" i="11"/>
  <c r="C19" i="9"/>
  <c r="C18" i="9"/>
  <c r="C16" i="9"/>
  <c r="C22" i="9"/>
  <c r="D17" i="9" s="1"/>
  <c r="C17" i="9"/>
  <c r="H22" i="8"/>
  <c r="E23" i="8"/>
  <c r="F23" i="8"/>
  <c r="H23" i="8"/>
  <c r="H24" i="8"/>
  <c r="I22" i="8"/>
  <c r="I23" i="8"/>
  <c r="I24" i="8"/>
  <c r="F18" i="8"/>
  <c r="F19" i="8"/>
  <c r="E18" i="8"/>
  <c r="H18" i="8"/>
  <c r="I18" i="8"/>
  <c r="E19" i="8"/>
  <c r="F26" i="8"/>
  <c r="E26" i="8"/>
  <c r="F24" i="8"/>
  <c r="E24" i="8"/>
  <c r="E28" i="8"/>
  <c r="E30" i="8"/>
  <c r="H17" i="8"/>
  <c r="F28" i="8"/>
  <c r="F30" i="8"/>
  <c r="F31" i="8"/>
  <c r="F32" i="8"/>
  <c r="E31" i="8"/>
  <c r="E32" i="8"/>
  <c r="H27" i="8"/>
  <c r="I27" i="8"/>
  <c r="I17" i="8"/>
  <c r="H19" i="8"/>
  <c r="H28" i="8"/>
  <c r="I28" i="8"/>
  <c r="H30" i="8"/>
  <c r="H31" i="8"/>
  <c r="H32" i="8"/>
  <c r="I19" i="8"/>
  <c r="I30" i="8"/>
  <c r="I31" i="8"/>
  <c r="I32" i="8"/>
  <c r="M29" i="22"/>
  <c r="G16" i="22"/>
  <c r="G22" i="22"/>
  <c r="N29" i="22"/>
  <c r="H22" i="22"/>
  <c r="K16" i="22"/>
  <c r="O27" i="26"/>
  <c r="O17" i="26"/>
  <c r="O22" i="26"/>
  <c r="O29" i="26"/>
  <c r="N36" i="26"/>
  <c r="S15" i="26"/>
  <c r="S16" i="26"/>
  <c r="O21" i="26"/>
  <c r="O20" i="26"/>
  <c r="O18" i="26"/>
  <c r="O16" i="26"/>
  <c r="N36" i="22"/>
  <c r="O19" i="22"/>
  <c r="O16" i="22"/>
  <c r="S15" i="22"/>
  <c r="S16" i="22"/>
  <c r="O21" i="22"/>
  <c r="O20" i="22"/>
  <c r="O17" i="22"/>
  <c r="O18" i="22"/>
  <c r="O29" i="22"/>
  <c r="O27" i="22"/>
  <c r="O22" i="22"/>
  <c r="G27" i="34"/>
  <c r="H27" i="34"/>
  <c r="M33" i="34"/>
  <c r="M35" i="34"/>
  <c r="M35" i="35"/>
  <c r="G27" i="35"/>
  <c r="H27" i="35"/>
  <c r="O18" i="25"/>
  <c r="O21" i="25"/>
  <c r="N27" i="35"/>
  <c r="N35" i="35"/>
  <c r="O17" i="35"/>
  <c r="N27" i="34"/>
  <c r="N26" i="33"/>
  <c r="N36" i="32"/>
  <c r="O16" i="32"/>
  <c r="N35" i="31"/>
  <c r="G26" i="33"/>
  <c r="N34" i="33"/>
  <c r="O32" i="33"/>
  <c r="M32" i="33"/>
  <c r="M34" i="33"/>
  <c r="I26" i="33"/>
  <c r="H26" i="33"/>
  <c r="P19" i="25"/>
  <c r="O28" i="32"/>
  <c r="O23" i="32"/>
  <c r="O22" i="32"/>
  <c r="O17" i="32"/>
  <c r="N42" i="35"/>
  <c r="O24" i="35"/>
  <c r="O25" i="35"/>
  <c r="O21" i="35"/>
  <c r="O35" i="35"/>
  <c r="O26" i="35"/>
  <c r="S15" i="35"/>
  <c r="S18" i="35"/>
  <c r="O15" i="35"/>
  <c r="O20" i="35"/>
  <c r="O33" i="35"/>
  <c r="O16" i="35"/>
  <c r="O18" i="35"/>
  <c r="O23" i="35"/>
  <c r="O22" i="35"/>
  <c r="O27" i="35"/>
  <c r="O19" i="35"/>
  <c r="N35" i="34"/>
  <c r="O25" i="32"/>
  <c r="O27" i="32"/>
  <c r="O36" i="32"/>
  <c r="N43" i="32"/>
  <c r="O18" i="32"/>
  <c r="S15" i="32"/>
  <c r="S20" i="32"/>
  <c r="O26" i="32"/>
  <c r="O34" i="32"/>
  <c r="O15" i="32"/>
  <c r="O19" i="32"/>
  <c r="O21" i="32"/>
  <c r="O24" i="32"/>
  <c r="O20" i="32"/>
  <c r="O26" i="31"/>
  <c r="O24" i="31"/>
  <c r="O20" i="31"/>
  <c r="O23" i="31"/>
  <c r="N42" i="31"/>
  <c r="O15" i="31"/>
  <c r="O17" i="31"/>
  <c r="O22" i="31"/>
  <c r="O25" i="31"/>
  <c r="O21" i="31"/>
  <c r="S16" i="31"/>
  <c r="S19" i="31"/>
  <c r="O19" i="31"/>
  <c r="N41" i="31"/>
  <c r="N41" i="32"/>
  <c r="N42" i="32"/>
  <c r="N39" i="33"/>
  <c r="N40" i="33"/>
  <c r="N40" i="34"/>
  <c r="N41" i="34"/>
  <c r="N40" i="35"/>
  <c r="N41" i="35"/>
  <c r="O24" i="25"/>
  <c r="O35" i="31"/>
  <c r="O16" i="31"/>
  <c r="O18" i="31"/>
  <c r="O33" i="31"/>
  <c r="O27" i="31"/>
  <c r="O23" i="33"/>
  <c r="O24" i="33"/>
  <c r="O16" i="33"/>
  <c r="O34" i="33"/>
  <c r="O21" i="33"/>
  <c r="O17" i="33"/>
  <c r="O22" i="33"/>
  <c r="N41" i="33"/>
  <c r="O26" i="33"/>
  <c r="S15" i="33"/>
  <c r="S18" i="33"/>
  <c r="O18" i="33"/>
  <c r="O25" i="33"/>
  <c r="O20" i="33"/>
  <c r="O15" i="33"/>
  <c r="O19" i="33"/>
  <c r="P11" i="25"/>
  <c r="P18" i="25"/>
  <c r="P14" i="25"/>
  <c r="P13" i="25"/>
  <c r="P15" i="25"/>
  <c r="P12" i="25"/>
  <c r="O24" i="34"/>
  <c r="O35" i="34"/>
  <c r="S15" i="34"/>
  <c r="S18" i="34"/>
  <c r="N42" i="34"/>
  <c r="O17" i="34"/>
  <c r="O21" i="34"/>
  <c r="O23" i="34"/>
  <c r="O26" i="34"/>
  <c r="O25" i="34"/>
  <c r="O33" i="34"/>
  <c r="O19" i="34"/>
  <c r="O15" i="34"/>
  <c r="O20" i="34"/>
  <c r="O16" i="34"/>
  <c r="O18" i="34"/>
  <c r="O22" i="34"/>
  <c r="O27" i="34"/>
  <c r="O26" i="25"/>
  <c r="O25" i="25"/>
  <c r="P21" i="25"/>
  <c r="P23" i="10"/>
  <c r="Q23" i="10" l="1"/>
  <c r="R22" i="10" s="1"/>
  <c r="Q26" i="10"/>
  <c r="L23" i="10"/>
  <c r="H15" i="10"/>
  <c r="H23" i="10" s="1"/>
  <c r="R17" i="10"/>
  <c r="D20" i="9"/>
  <c r="Q25" i="10"/>
  <c r="D18" i="9"/>
  <c r="R19" i="10"/>
  <c r="P27" i="10"/>
  <c r="P29" i="10" s="1"/>
  <c r="P34" i="10" s="1"/>
  <c r="D21" i="9"/>
  <c r="D19" i="9"/>
  <c r="D16" i="9"/>
  <c r="D23" i="9" s="1"/>
  <c r="R16" i="10" l="1"/>
  <c r="R21" i="10"/>
  <c r="R15" i="10"/>
  <c r="R20" i="10"/>
  <c r="R18" i="10"/>
  <c r="J23" i="10"/>
  <c r="Q27" i="10"/>
  <c r="Q29" i="10" s="1"/>
  <c r="R27" i="10" s="1"/>
  <c r="N15" i="10"/>
  <c r="R23" i="10" l="1"/>
  <c r="Q34" i="10"/>
  <c r="N34" i="22" s="1"/>
  <c r="N35" i="22" s="1"/>
  <c r="N34" i="26" s="1"/>
  <c r="N35" i="26" s="1"/>
  <c r="N35" i="23" s="1"/>
  <c r="N36" i="23" s="1"/>
  <c r="N34" i="27" s="1"/>
  <c r="N35" i="27" s="1"/>
  <c r="N34" i="24" s="1"/>
  <c r="N35" i="24" s="1"/>
  <c r="R29" i="10"/>
</calcChain>
</file>

<file path=xl/sharedStrings.xml><?xml version="1.0" encoding="utf-8"?>
<sst xmlns="http://schemas.openxmlformats.org/spreadsheetml/2006/main" count="1009" uniqueCount="234">
  <si>
    <t>CPC</t>
  </si>
  <si>
    <t>GOOGLE DISPLAY</t>
  </si>
  <si>
    <t>IGV</t>
  </si>
  <si>
    <t>CLIENTE</t>
  </si>
  <si>
    <t>CAMPAÑA</t>
  </si>
  <si>
    <t>OBJETIVO</t>
  </si>
  <si>
    <t>FECHA DEL PLAN</t>
  </si>
  <si>
    <t>MEDIO</t>
  </si>
  <si>
    <t>TIPO DE COMPRA</t>
  </si>
  <si>
    <t>ITEM</t>
  </si>
  <si>
    <t>ABRIL</t>
  </si>
  <si>
    <t>TOTAL</t>
  </si>
  <si>
    <t>INVERSIÓN</t>
  </si>
  <si>
    <t>CLICS</t>
  </si>
  <si>
    <t>Twitter</t>
  </si>
  <si>
    <t>SUB -TOTAL</t>
  </si>
  <si>
    <t>TIPO DE CAMBIO</t>
  </si>
  <si>
    <t>Branding</t>
  </si>
  <si>
    <t>FORMATO</t>
  </si>
  <si>
    <t>SEGMENTACIÓN</t>
  </si>
  <si>
    <t>FECHA DE PUBLICACIÓN</t>
  </si>
  <si>
    <t>CTR ESTIMADO</t>
  </si>
  <si>
    <t>IMPRESIONES</t>
  </si>
  <si>
    <t>CPM ESTIMADO</t>
  </si>
  <si>
    <t>TOTAL $</t>
  </si>
  <si>
    <t>TOTAL S/,</t>
  </si>
  <si>
    <t>CONSUMO GLOBAL DE LA CAMPAÑA</t>
  </si>
  <si>
    <t>TOTAL INVERSIÓN</t>
  </si>
  <si>
    <t>TOTAL CAMPAÑA (SIN IGV)</t>
  </si>
  <si>
    <r>
      <rPr>
        <b/>
        <sz val="12"/>
        <color theme="1"/>
        <rFont val="Calibri"/>
        <family val="2"/>
        <scheme val="minor"/>
      </rPr>
      <t xml:space="preserve">Banners estándar: </t>
    </r>
    <r>
      <rPr>
        <sz val="12"/>
        <color theme="1"/>
        <rFont val="Calibri"/>
        <family val="2"/>
        <scheme val="minor"/>
      </rPr>
      <t>300x250, 728x90, 160x600</t>
    </r>
  </si>
  <si>
    <t>PERU RED</t>
  </si>
  <si>
    <t>Intereses</t>
  </si>
  <si>
    <t>MEAD JOHNSON</t>
  </si>
  <si>
    <t>Enfamon</t>
  </si>
  <si>
    <t>MAYO</t>
  </si>
  <si>
    <t>SET UP</t>
  </si>
  <si>
    <t>FACEBOOK</t>
  </si>
  <si>
    <t>CPC*</t>
  </si>
  <si>
    <t>CAMPAÑA: ENFAMON</t>
  </si>
  <si>
    <t>Categorías</t>
  </si>
  <si>
    <t>Gestionadas</t>
  </si>
  <si>
    <t>Implementación y optimización de Facebook</t>
  </si>
  <si>
    <t>Implementación y optimización de Google Display</t>
  </si>
  <si>
    <t>%</t>
  </si>
  <si>
    <t>MAMITIPS</t>
  </si>
  <si>
    <t>Auspicio</t>
  </si>
  <si>
    <t>IMS CONNECT</t>
  </si>
  <si>
    <t>Contextos: Women Interests / Parenting: Child Care / Early Childhoof Education / Childerns Literature</t>
  </si>
  <si>
    <t>PRE ROLL - 30 SEGUNDOS/ REACH MEDIA</t>
  </si>
  <si>
    <t>CPV</t>
  </si>
  <si>
    <t>Enfagrow</t>
  </si>
  <si>
    <t>$</t>
  </si>
  <si>
    <t>$ x mes</t>
  </si>
  <si>
    <t>CAMPAÑA: ENFAGROW</t>
  </si>
  <si>
    <t>DISPLAY</t>
  </si>
  <si>
    <t>MAMI TIPS</t>
  </si>
  <si>
    <t>IMS</t>
  </si>
  <si>
    <r>
      <rPr>
        <b/>
        <sz val="12"/>
        <color theme="1"/>
        <rFont val="Calibri"/>
        <family val="2"/>
        <scheme val="minor"/>
      </rPr>
      <t xml:space="preserve">Banners estándar: </t>
    </r>
    <r>
      <rPr>
        <sz val="12"/>
        <color theme="1"/>
        <rFont val="Calibri"/>
        <family val="2"/>
        <scheme val="minor"/>
      </rPr>
      <t>300x250, 728x90</t>
    </r>
  </si>
  <si>
    <t>Implementación Adserver TAG</t>
  </si>
  <si>
    <t>TAG</t>
  </si>
  <si>
    <t>Mayo</t>
  </si>
  <si>
    <t>Abril</t>
  </si>
  <si>
    <t>PPA</t>
  </si>
  <si>
    <t>PPV</t>
  </si>
  <si>
    <t>POR CONFIRMAR</t>
  </si>
  <si>
    <t>11 de Mayo al 06 de Junio</t>
  </si>
  <si>
    <t>PPTO POR POST</t>
  </si>
  <si>
    <t>AOD</t>
  </si>
  <si>
    <t>CPM</t>
  </si>
  <si>
    <t>ECO</t>
  </si>
  <si>
    <t>06 de Julio al 31 de Julio</t>
  </si>
  <si>
    <t>Banners estándar: 300x250, 728x90, 160x600</t>
  </si>
  <si>
    <t>IMS - YAHOO MUJER</t>
  </si>
  <si>
    <t>ROS</t>
  </si>
  <si>
    <t>Banners estándar: 120x600, 160x600, 300x250, 468x60, 728x90</t>
  </si>
  <si>
    <t>TEMAS</t>
  </si>
  <si>
    <t>INTERESES</t>
  </si>
  <si>
    <t>AUDIENCIAS DE MERCAD</t>
  </si>
  <si>
    <t>CASA Y JARDIN / MEJORA DEL HOGAR</t>
  </si>
  <si>
    <t>CASA Y JARDIN / MOBILIARIO DOMESTICO</t>
  </si>
  <si>
    <t>CASA Y JARDIN / SERVICIOS PARA CASA Y JARDIN / SERVICIOS DE DECORACION Y DISEÑO  DE INTERIORES</t>
  </si>
  <si>
    <t>PRODUCTOS PARA BEBES Y NIÑOS / ALIMENTACIÓN PARA BEBES Y NIÑOS DE CORTA EDAD</t>
  </si>
  <si>
    <t>PRODUCTOS PARA BEBES Y NIÑOS / ALIMENTACIÓN PARA BEBES Y NIÑOS DE CORTA EDAD / COMIDAD PARA NIÑOS DE CORTA EDAD</t>
  </si>
  <si>
    <t>PRODUCTOS PARA BEBES Y NIÑOS / ALIMENTACIÓN PARA BEBES Y NIÑOS DE CORTA EDAD / PRODUCTOS PARA LA ALIMENTACIÓN DE BEBES</t>
  </si>
  <si>
    <t>PRODUCTOS PARA BEBES Y NIÑOS / CUIDADO INFANTIL Y EDUCACIÓN</t>
  </si>
  <si>
    <t>PRODUCTOS PARA BEBES Y NIÑOS /  EDUCACIÓN INFANTIL</t>
  </si>
  <si>
    <t>PRODUCTOS PARA BEBES Y NIÑOS / ROPA PARA BEBES Y NIÑOS</t>
  </si>
  <si>
    <t>PRODUCTOS Y SERVICIOS DE BELLEZA / MAQUILLAJE Y COSMETICA</t>
  </si>
  <si>
    <t>PRODUCTOS Y SERVICIOS DE BELLEZA / PRODUCTOS PARA EL CUIDADO DE LA PIEL</t>
  </si>
  <si>
    <t>AUDIENCIAS AFINES</t>
  </si>
  <si>
    <t>CENTRADOS EN LA FAMILIA</t>
  </si>
  <si>
    <t>ADICTOS A LAS NOTICIAS Y LECTORES ÁVIDOS / AFICIONADOS A LOS MEDIOS DE COMUNICACIÓN PARA MUJERES</t>
  </si>
  <si>
    <t>ADICTOS A LAS NOTICIAS Y LECTORES ÁVIDO / ENTUSIASTAS DE LAS NOTICIAS DE ENTRETENIMIENTO Y FAMOSOS</t>
  </si>
  <si>
    <t>ADICTOS A LAS NOTICIAS Y LECTORES ÁVIDOS / ENTUSIASTAS DE LAS NOTICIAS LOCALES</t>
  </si>
  <si>
    <t>ADICTOS A LAS NOTICIAS Y LECTORES ÁVIDOS / AFICIONADOS A LA MODA</t>
  </si>
  <si>
    <t>Juegos</t>
  </si>
  <si>
    <t>Juegos educativos</t>
  </si>
  <si>
    <t>Libros y literatura</t>
  </si>
  <si>
    <t>Literatura infantil</t>
  </si>
  <si>
    <t>Salud</t>
  </si>
  <si>
    <t>Pediatría</t>
  </si>
  <si>
    <t>Empleo y educación &gt; Educación</t>
  </si>
  <si>
    <t>Educación infantil</t>
  </si>
  <si>
    <t>Gente y Sociedad &gt; Familia y relaciones &gt; Familia &gt; Crianza de los hijos</t>
  </si>
  <si>
    <t>Cuidado de niños</t>
  </si>
  <si>
    <t>Gente y Sociedad &gt; Familia y relaciones &gt; Familia</t>
  </si>
  <si>
    <t>Crianza de los hijos</t>
  </si>
  <si>
    <t>Embarazo y maternidad</t>
  </si>
  <si>
    <t>Gente y Sociedad &gt; Familia y relaciones &gt; Familia &gt; Crianza de los hijos &gt; Bebés y niños pequeños</t>
  </si>
  <si>
    <t>Alimentos para bebés y leche maternizada</t>
  </si>
  <si>
    <t>Bebés y niños pequeños</t>
  </si>
  <si>
    <t>Cuidado e higiene del bebé</t>
  </si>
  <si>
    <t>Juguetes para bebés y niños pequeños</t>
  </si>
  <si>
    <t>Arte y entretenimiento &gt; Cómic y animación</t>
  </si>
  <si>
    <t>Dibujos animados</t>
  </si>
  <si>
    <t>Empleo y educación &gt; Educación &gt; Educación infantil</t>
  </si>
  <si>
    <t>Educación preescolar</t>
  </si>
  <si>
    <t>Arte y entretenimiento &gt; Televisión y vídeo &gt; Programas de televisión &gt; Series dramáticas</t>
  </si>
  <si>
    <t>Telenovelas</t>
  </si>
  <si>
    <t>IMS - I MUJER</t>
  </si>
  <si>
    <t>Contextual Targeting</t>
  </si>
  <si>
    <t>Audience Targeting</t>
  </si>
  <si>
    <t>CPC ESTIMADO</t>
  </si>
  <si>
    <t>INTERESES (Audiencias Afines - Audiencias de Mercado)</t>
  </si>
  <si>
    <t>Cliente:</t>
  </si>
  <si>
    <t>ENFAGROW</t>
  </si>
  <si>
    <t>Campaña:</t>
  </si>
  <si>
    <t>IMAN</t>
  </si>
  <si>
    <t>Objetivo:</t>
  </si>
  <si>
    <t>Engagement</t>
  </si>
  <si>
    <t>Fecha de plan:</t>
  </si>
  <si>
    <t>Tipo de cambio:</t>
  </si>
  <si>
    <t>Medios</t>
  </si>
  <si>
    <t>Formato</t>
  </si>
  <si>
    <t>Motivo</t>
  </si>
  <si>
    <t>Sección</t>
  </si>
  <si>
    <t>Targeting</t>
  </si>
  <si>
    <t>Público potencial</t>
  </si>
  <si>
    <t>Negociación</t>
  </si>
  <si>
    <t>Impresiones</t>
  </si>
  <si>
    <t>Clics</t>
  </si>
  <si>
    <t>CTR %</t>
  </si>
  <si>
    <t>CPM Dólar</t>
  </si>
  <si>
    <t>CPC Dólar</t>
  </si>
  <si>
    <t>Costo Dólar</t>
  </si>
  <si>
    <t>Costo Soles</t>
  </si>
  <si>
    <t>% de inversión</t>
  </si>
  <si>
    <t>Días</t>
  </si>
  <si>
    <t>Inicio</t>
  </si>
  <si>
    <t>Fin</t>
  </si>
  <si>
    <t>Facebook</t>
  </si>
  <si>
    <t xml:space="preserve"> Mobile y desktop</t>
  </si>
  <si>
    <t>Set up y optimización</t>
  </si>
  <si>
    <t>TAGG</t>
  </si>
  <si>
    <t>Total</t>
  </si>
  <si>
    <t xml:space="preserve">IMAN </t>
  </si>
  <si>
    <t>M- 25-40 Perú / Intereses: Familia y Paternidad</t>
  </si>
  <si>
    <t>M- 25-40 Perú / Padres niños 1- 5 años / 3- 5 años</t>
  </si>
  <si>
    <t>07 de Agosto al 31 de Agosto</t>
  </si>
  <si>
    <t>*Montos no incluyen IGV</t>
  </si>
  <si>
    <t>TEADS</t>
  </si>
  <si>
    <t>CPC/CPM/CPV</t>
  </si>
  <si>
    <t>CPV/CPM /CPC ESTIMADO</t>
  </si>
  <si>
    <t>VIDEO- IN READ</t>
  </si>
  <si>
    <t>21 de Agosto al 31 de Agosto</t>
  </si>
  <si>
    <t>VISTAS</t>
  </si>
  <si>
    <t>CPV ESTIMADO</t>
  </si>
  <si>
    <t>YOU TUBE</t>
  </si>
  <si>
    <t>CLICS /VISTAS</t>
  </si>
  <si>
    <t>Implementación y optimización de YouTube</t>
  </si>
  <si>
    <t xml:space="preserve">Implementación y optimización de </t>
  </si>
  <si>
    <t>True View - InStream</t>
  </si>
  <si>
    <t>Muj - 25.40 / Intereses</t>
  </si>
  <si>
    <t>28/08 al 31 /08</t>
  </si>
  <si>
    <t>YAHOO NATIVES ADS</t>
  </si>
  <si>
    <t>CONTEXTUAL - PERFORMANCE</t>
  </si>
  <si>
    <t xml:space="preserve">MUJERES -25-44 (Family and Parenting) / Computers and device
</t>
  </si>
  <si>
    <t>VIDEO</t>
  </si>
  <si>
    <t>GOOGLE LIGHTBOX</t>
  </si>
  <si>
    <t>HEADWAY DIGITAL</t>
  </si>
  <si>
    <t>MMCC</t>
  </si>
  <si>
    <t>HTLM5 MOBILE</t>
  </si>
  <si>
    <t>IMPAKTU</t>
  </si>
  <si>
    <t xml:space="preserve">Implementación y optimización de Google </t>
  </si>
  <si>
    <t>Mujeres 25- 40 INTERESES / TEMAS</t>
  </si>
  <si>
    <t>Mujeres 25 -40 INTERESES: Maternidad / Paternidad / Presencia de niños en el hogar / Familia</t>
  </si>
  <si>
    <t>Mobile Mujeres 25 - 41</t>
  </si>
  <si>
    <t xml:space="preserve">CAMPAÑA: ENFAGROW </t>
  </si>
  <si>
    <t>ANIMATED CUBE DISPLAY / ANIMATED CUBE MOBILE</t>
  </si>
  <si>
    <t>Desktop Mujeres 25 - 40</t>
  </si>
  <si>
    <t>Sites Mujeres 25-40</t>
  </si>
  <si>
    <t>13/10/2015 - 30/11/2015</t>
  </si>
  <si>
    <t>14/10/2015 - 31/10/2015</t>
  </si>
  <si>
    <t>1/11/2015 - 30/11/2015</t>
  </si>
  <si>
    <t>VIDEO / Branded Pre Roll - Pre roll</t>
  </si>
  <si>
    <t>Desktop / Mobile: Mujeres 25 - 40</t>
  </si>
  <si>
    <t>inicio</t>
  </si>
  <si>
    <t>saldo</t>
  </si>
  <si>
    <t>inversión $</t>
  </si>
  <si>
    <t>PROMO GALLINITA 1</t>
  </si>
  <si>
    <t>PROMO GALLINITA 2</t>
  </si>
  <si>
    <t>PROMO GALLINITA 3</t>
  </si>
  <si>
    <t>Montos no incluyen IGV</t>
  </si>
  <si>
    <t>MOTIVO</t>
  </si>
  <si>
    <t>Observaciones:</t>
  </si>
  <si>
    <t xml:space="preserve">CLICS </t>
  </si>
  <si>
    <t>VTR ESTIMADO</t>
  </si>
  <si>
    <t>PRESUPUESTO</t>
  </si>
  <si>
    <t>SALDO</t>
  </si>
  <si>
    <t xml:space="preserve">MUJERES 25 -44 INTERESES: Maternidad / Paternidad </t>
  </si>
  <si>
    <t>Segentación Facebook</t>
  </si>
  <si>
    <t>Reach &amp; Frequency</t>
  </si>
  <si>
    <t>CAMPAÑA: BRANDING ENFABEBE / ENFAGROW NEUROCOMPLETE</t>
  </si>
  <si>
    <t>ANUNCIO 6</t>
  </si>
  <si>
    <t>ANUNCIO 7</t>
  </si>
  <si>
    <t>ANUNCIO 8</t>
  </si>
  <si>
    <t>15/02/2017 - 21/02/2017</t>
  </si>
  <si>
    <t>22/02/2017 - 28/02/2017</t>
  </si>
  <si>
    <t>PPA 1</t>
  </si>
  <si>
    <t>PROMO Mi Vasito y Mi Platito</t>
  </si>
  <si>
    <t>03/02/2017 - 09/02/2017</t>
  </si>
  <si>
    <t>PPL 2</t>
  </si>
  <si>
    <t>PREGUNTAS PARA TU PEDIATRA</t>
  </si>
  <si>
    <t>PPA 3</t>
  </si>
  <si>
    <t>NO HAY SENTIMIENTO MÁS PURO, GRANDE Y SINCERO QUE SER MAMÁ</t>
  </si>
  <si>
    <t>10/02/2017 - 16/02/2017</t>
  </si>
  <si>
    <r>
      <rPr>
        <b/>
        <sz val="11"/>
        <color theme="1"/>
        <rFont val="Calibri"/>
        <family val="2"/>
        <scheme val="minor"/>
      </rPr>
      <t>Segmentación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Lugar - Viviendo en:</t>
    </r>
    <r>
      <rPr>
        <sz val="11"/>
        <color theme="1"/>
        <rFont val="Calibri"/>
        <family val="2"/>
        <scheme val="minor"/>
      </rPr>
      <t xml:space="preserve"> Perú
</t>
    </r>
    <r>
      <rPr>
        <b/>
        <sz val="11"/>
        <color theme="1"/>
        <rFont val="Calibri"/>
        <family val="2"/>
        <scheme val="minor"/>
      </rPr>
      <t>Edad:</t>
    </r>
    <r>
      <rPr>
        <sz val="11"/>
        <color theme="1"/>
        <rFont val="Calibri"/>
        <family val="2"/>
        <scheme val="minor"/>
      </rPr>
      <t xml:space="preserve"> 25 - 44
</t>
    </r>
    <r>
      <rPr>
        <b/>
        <sz val="11"/>
        <color theme="1"/>
        <rFont val="Calibri"/>
        <family val="2"/>
        <scheme val="minor"/>
      </rPr>
      <t>Sexo:</t>
    </r>
    <r>
      <rPr>
        <sz val="11"/>
        <color theme="1"/>
        <rFont val="Calibri"/>
        <family val="2"/>
        <scheme val="minor"/>
      </rPr>
      <t xml:space="preserve"> Mujeres
Personas que ven: Intereses: The Common Sense Book of Baby and Child Care, Maternidad, Cute Baby, Juguetes, Nana (trabajo), pediatra, Paternidad, Leche en polvo, mama baby care school, Pre-kindergarten, Family child care, Pediatric Nursing (journal), Revista Soy Mamá y Mujer, Día del Niño, matrimonio, Educación preescolar, Revista Padres e Hijos, Cuidado de niños, Padres/madres, Niños, Maternal-child nursing, Guardería, Dia de la Madre, Infancia, childcare, Ropa para niños, Matrimonio, childcare worker, Familia, OshKosh B'Gosh, Children's television series, Enfermería pediátrica, kindergarden, Children's song, Playsuit (children's clothing), Similac o Mi Pediatra Online, New Parents ,  (01-02 Years) Parents with Toddlers o (03-05 Years) Parents with Preschoolers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 xml:space="preserve">
Sección de noticias de la computadora, Sección de noticias del celular</t>
    </r>
  </si>
  <si>
    <t>PPA 4</t>
  </si>
  <si>
    <t>GATEO</t>
  </si>
  <si>
    <t>PPA 5</t>
  </si>
  <si>
    <t>21/02/2017 - 23/02/2017</t>
  </si>
  <si>
    <t>24/02/2017 - 25/02/2017</t>
  </si>
  <si>
    <t>WEBORA</t>
  </si>
  <si>
    <t>WEBO VIVAKI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</si>
</sst>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[$$-409]#,##0.00"/>
    <numFmt numFmtId="165" formatCode="&quot;S/.&quot;\ #,##0.00"/>
    <numFmt numFmtId="166" formatCode="_ * #,##0_ ;_ * \-#,##0_ ;_ * &quot;-&quot;??_ ;_ @_ "/>
    <numFmt numFmtId="167" formatCode="_-[$$-409]* #,##0.00_ ;_-[$$-409]* \-#,##0.00\ ;_-[$$-409]* &quot;-&quot;??_ ;_-@_ "/>
    <numFmt numFmtId="168" formatCode="_ [$S/.-280A]\ * #,##0.00_ ;_ [$S/.-280A]\ * \-#,##0.00_ ;_ [$S/.-280A]\ * &quot;-&quot;??_ ;_ @_ "/>
    <numFmt numFmtId="169" formatCode="[$$-240A]\ #,##0.00"/>
    <numFmt numFmtId="170" formatCode="[$$-240A]\ #,##0"/>
    <numFmt numFmtId="171" formatCode="#,##0.0"/>
    <numFmt numFmtId="172" formatCode="_(* #,##0_);_(* \(#,##0\);_(* &quot;-&quot;??_);_(@_)"/>
    <numFmt numFmtId="173" formatCode="_ [$S/.-280A]\ * #,##0_ ;_ [$S/.-280A]\ * \-#,##0_ ;_ [$S/.-280A]\ * &quot;-&quot;_ ;_ @_ "/>
    <numFmt numFmtId="174" formatCode="_-[$$-1009]* #,##0.00_-;\-[$$-1009]* #,##0.00_-;_-[$$-1009]* &quot;-&quot;??_-;_-@_-"/>
    <numFmt numFmtId="175" formatCode="&quot;$&quot;\ #,##0.00"/>
    <numFmt numFmtId="176" formatCode="0.0%"/>
    <numFmt numFmtId="177" formatCode="[$$-540A]#,##0.00_ ;\-[$$-540A]#,##0.00\ "/>
  </numFmts>
  <fonts count="4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0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72C6"/>
      <name val="Segoe UI"/>
      <family val="2"/>
    </font>
    <font>
      <b/>
      <sz val="12"/>
      <color rgb="FF000000"/>
      <name val="Segoe UI"/>
      <family val="2"/>
    </font>
    <font>
      <b/>
      <sz val="12"/>
      <color theme="1"/>
      <name val="Times New Roman"/>
      <family val="1"/>
    </font>
    <font>
      <b/>
      <sz val="16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555555"/>
      <name val="Arial"/>
      <family val="2"/>
    </font>
    <font>
      <b/>
      <sz val="10"/>
      <color theme="0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222222"/>
      <name val="Arial"/>
      <family val="2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4"/>
      <name val="Calibri"/>
      <family val="2"/>
      <scheme val="minor"/>
    </font>
    <font>
      <u/>
      <sz val="14"/>
      <name val="Calibri"/>
      <family val="2"/>
      <scheme val="minor"/>
    </font>
    <font>
      <sz val="14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2D619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164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</cellStyleXfs>
  <cellXfs count="457">
    <xf numFmtId="164" fontId="0" fillId="0" borderId="0" xfId="0"/>
    <xf numFmtId="164" fontId="8" fillId="0" borderId="0" xfId="0" applyFont="1"/>
    <xf numFmtId="164" fontId="9" fillId="0" borderId="0" xfId="0" applyFont="1" applyAlignment="1">
      <alignment vertical="center"/>
    </xf>
    <xf numFmtId="164" fontId="7" fillId="3" borderId="0" xfId="0" applyFont="1" applyFill="1"/>
    <xf numFmtId="164" fontId="10" fillId="0" borderId="0" xfId="0" applyFont="1"/>
    <xf numFmtId="164" fontId="0" fillId="3" borderId="0" xfId="0" applyFill="1" applyAlignment="1">
      <alignment vertical="center"/>
    </xf>
    <xf numFmtId="164" fontId="11" fillId="2" borderId="1" xfId="0" applyFont="1" applyFill="1" applyBorder="1" applyAlignment="1">
      <alignment vertical="center"/>
    </xf>
    <xf numFmtId="164" fontId="0" fillId="3" borderId="0" xfId="0" applyFill="1" applyBorder="1" applyAlignment="1">
      <alignment vertical="center"/>
    </xf>
    <xf numFmtId="164" fontId="11" fillId="3" borderId="0" xfId="0" applyFont="1" applyFill="1" applyBorder="1" applyAlignment="1">
      <alignment vertical="center"/>
    </xf>
    <xf numFmtId="164" fontId="12" fillId="3" borderId="0" xfId="0" applyFont="1" applyFill="1" applyBorder="1" applyAlignment="1">
      <alignment horizontal="left" vertical="center"/>
    </xf>
    <xf numFmtId="164" fontId="0" fillId="3" borderId="0" xfId="0" applyFill="1" applyBorder="1" applyAlignment="1">
      <alignment horizontal="left" vertical="center"/>
    </xf>
    <xf numFmtId="164" fontId="6" fillId="3" borderId="0" xfId="0" applyFont="1" applyFill="1" applyAlignment="1">
      <alignment vertical="center"/>
    </xf>
    <xf numFmtId="14" fontId="12" fillId="3" borderId="0" xfId="0" applyNumberFormat="1" applyFont="1" applyFill="1" applyBorder="1" applyAlignment="1">
      <alignment horizontal="left" vertical="center"/>
    </xf>
    <xf numFmtId="164" fontId="6" fillId="3" borderId="0" xfId="0" applyFont="1" applyFill="1" applyBorder="1" applyAlignment="1">
      <alignment horizontal="left" vertical="center"/>
    </xf>
    <xf numFmtId="164" fontId="6" fillId="3" borderId="0" xfId="0" applyFont="1" applyFill="1" applyBorder="1" applyAlignment="1">
      <alignment vertical="center"/>
    </xf>
    <xf numFmtId="164" fontId="0" fillId="3" borderId="0" xfId="0" applyFill="1" applyAlignment="1">
      <alignment horizontal="center" vertical="center" wrapText="1"/>
    </xf>
    <xf numFmtId="164" fontId="11" fillId="2" borderId="2" xfId="0" applyFont="1" applyFill="1" applyBorder="1" applyAlignment="1">
      <alignment horizontal="center" vertical="center" wrapText="1"/>
    </xf>
    <xf numFmtId="164" fontId="11" fillId="2" borderId="4" xfId="0" applyFont="1" applyFill="1" applyBorder="1" applyAlignment="1">
      <alignment horizontal="center" vertical="center" wrapText="1"/>
    </xf>
    <xf numFmtId="164" fontId="11" fillId="2" borderId="3" xfId="0" applyFont="1" applyFill="1" applyBorder="1" applyAlignment="1">
      <alignment horizontal="center" vertical="center" wrapText="1"/>
    </xf>
    <xf numFmtId="164" fontId="13" fillId="3" borderId="0" xfId="0" applyFont="1" applyFill="1" applyAlignment="1">
      <alignment vertical="center"/>
    </xf>
    <xf numFmtId="164" fontId="14" fillId="3" borderId="0" xfId="0" applyFont="1" applyFill="1" applyAlignment="1">
      <alignment vertical="center"/>
    </xf>
    <xf numFmtId="164" fontId="2" fillId="3" borderId="0" xfId="0" applyFont="1" applyFill="1" applyAlignment="1">
      <alignment vertical="center"/>
    </xf>
    <xf numFmtId="164" fontId="3" fillId="4" borderId="7" xfId="0" applyFont="1" applyFill="1" applyBorder="1" applyAlignment="1">
      <alignment horizontal="left" vertical="center"/>
    </xf>
    <xf numFmtId="3" fontId="3" fillId="4" borderId="7" xfId="0" applyNumberFormat="1" applyFont="1" applyFill="1" applyBorder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vertical="center"/>
    </xf>
    <xf numFmtId="164" fontId="3" fillId="3" borderId="10" xfId="0" applyNumberFormat="1" applyFont="1" applyFill="1" applyBorder="1" applyAlignment="1">
      <alignment horizontal="left" vertical="center"/>
    </xf>
    <xf numFmtId="167" fontId="3" fillId="0" borderId="10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164" fontId="2" fillId="5" borderId="14" xfId="0" applyNumberFormat="1" applyFont="1" applyFill="1" applyBorder="1" applyAlignment="1">
      <alignment horizontal="left" vertical="center"/>
    </xf>
    <xf numFmtId="167" fontId="2" fillId="5" borderId="15" xfId="0" applyNumberFormat="1" applyFont="1" applyFill="1" applyBorder="1" applyAlignment="1">
      <alignment horizontal="center" vertical="center"/>
    </xf>
    <xf numFmtId="164" fontId="2" fillId="3" borderId="17" xfId="0" applyNumberFormat="1" applyFont="1" applyFill="1" applyBorder="1" applyAlignment="1">
      <alignment horizontal="center" vertical="center"/>
    </xf>
    <xf numFmtId="164" fontId="2" fillId="5" borderId="18" xfId="0" applyNumberFormat="1" applyFont="1" applyFill="1" applyBorder="1" applyAlignment="1">
      <alignment horizontal="center" vertical="center"/>
    </xf>
    <xf numFmtId="3" fontId="13" fillId="3" borderId="0" xfId="0" applyNumberFormat="1" applyFont="1" applyFill="1" applyAlignment="1">
      <alignment vertical="center"/>
    </xf>
    <xf numFmtId="164" fontId="15" fillId="3" borderId="0" xfId="0" applyFont="1" applyFill="1" applyAlignment="1">
      <alignment vertical="center"/>
    </xf>
    <xf numFmtId="164" fontId="6" fillId="0" borderId="0" xfId="0" applyFont="1" applyAlignment="1">
      <alignment vertical="center"/>
    </xf>
    <xf numFmtId="168" fontId="2" fillId="4" borderId="8" xfId="0" applyNumberFormat="1" applyFont="1" applyFill="1" applyBorder="1" applyAlignment="1">
      <alignment horizontal="center" vertical="center"/>
    </xf>
    <xf numFmtId="168" fontId="2" fillId="3" borderId="11" xfId="0" applyNumberFormat="1" applyFont="1" applyFill="1" applyBorder="1" applyAlignment="1">
      <alignment horizontal="center" vertical="center"/>
    </xf>
    <xf numFmtId="168" fontId="2" fillId="5" borderId="18" xfId="0" applyNumberFormat="1" applyFont="1" applyFill="1" applyBorder="1" applyAlignment="1">
      <alignment horizontal="center" vertical="center"/>
    </xf>
    <xf numFmtId="164" fontId="0" fillId="3" borderId="0" xfId="0" applyFill="1" applyAlignment="1">
      <alignment horizontal="center" vertical="center"/>
    </xf>
    <xf numFmtId="164" fontId="0" fillId="3" borderId="0" xfId="0" applyFill="1" applyBorder="1" applyAlignment="1">
      <alignment horizontal="center" vertical="center"/>
    </xf>
    <xf numFmtId="164" fontId="12" fillId="3" borderId="0" xfId="0" applyFont="1" applyFill="1" applyBorder="1" applyAlignment="1">
      <alignment horizontal="center" vertical="center" wrapText="1"/>
    </xf>
    <xf numFmtId="164" fontId="12" fillId="0" borderId="0" xfId="0" applyFont="1" applyAlignment="1">
      <alignment horizontal="center" vertical="center" wrapText="1"/>
    </xf>
    <xf numFmtId="164" fontId="5" fillId="3" borderId="0" xfId="0" applyFont="1" applyFill="1" applyBorder="1" applyAlignment="1">
      <alignment vertical="center"/>
    </xf>
    <xf numFmtId="164" fontId="13" fillId="3" borderId="20" xfId="0" applyFont="1" applyFill="1" applyBorder="1" applyAlignment="1">
      <alignment horizontal="center" vertical="center" wrapText="1"/>
    </xf>
    <xf numFmtId="16" fontId="13" fillId="3" borderId="20" xfId="0" applyNumberFormat="1" applyFont="1" applyFill="1" applyBorder="1" applyAlignment="1">
      <alignment horizontal="center" vertical="center" wrapText="1"/>
    </xf>
    <xf numFmtId="3" fontId="13" fillId="3" borderId="20" xfId="1" applyNumberFormat="1" applyFont="1" applyFill="1" applyBorder="1" applyAlignment="1">
      <alignment horizontal="center" vertical="center"/>
    </xf>
    <xf numFmtId="10" fontId="13" fillId="3" borderId="20" xfId="0" applyNumberFormat="1" applyFont="1" applyFill="1" applyBorder="1" applyAlignment="1">
      <alignment horizontal="center" vertical="center"/>
    </xf>
    <xf numFmtId="169" fontId="13" fillId="3" borderId="20" xfId="0" applyNumberFormat="1" applyFont="1" applyFill="1" applyBorder="1" applyAlignment="1">
      <alignment horizontal="center" vertical="center"/>
    </xf>
    <xf numFmtId="164" fontId="13" fillId="3" borderId="20" xfId="0" applyNumberFormat="1" applyFont="1" applyFill="1" applyBorder="1" applyAlignment="1">
      <alignment horizontal="center" vertical="center"/>
    </xf>
    <xf numFmtId="170" fontId="13" fillId="3" borderId="10" xfId="0" applyNumberFormat="1" applyFont="1" applyFill="1" applyBorder="1" applyAlignment="1">
      <alignment horizontal="center" vertical="center"/>
    </xf>
    <xf numFmtId="165" fontId="12" fillId="3" borderId="20" xfId="0" applyNumberFormat="1" applyFont="1" applyFill="1" applyBorder="1" applyAlignment="1">
      <alignment horizontal="center" vertical="center"/>
    </xf>
    <xf numFmtId="171" fontId="4" fillId="3" borderId="0" xfId="0" applyNumberFormat="1" applyFont="1" applyFill="1" applyAlignment="1">
      <alignment horizontal="center" vertical="center"/>
    </xf>
    <xf numFmtId="164" fontId="13" fillId="3" borderId="20" xfId="0" applyFont="1" applyFill="1" applyBorder="1" applyAlignment="1">
      <alignment vertical="center" wrapText="1"/>
    </xf>
    <xf numFmtId="170" fontId="12" fillId="3" borderId="0" xfId="0" applyNumberFormat="1" applyFont="1" applyFill="1" applyBorder="1" applyAlignment="1">
      <alignment horizontal="center" vertical="center"/>
    </xf>
    <xf numFmtId="171" fontId="6" fillId="3" borderId="0" xfId="0" applyNumberFormat="1" applyFont="1" applyFill="1" applyAlignment="1">
      <alignment horizontal="center" vertical="center"/>
    </xf>
    <xf numFmtId="164" fontId="12" fillId="3" borderId="0" xfId="0" applyFont="1" applyFill="1" applyBorder="1" applyAlignment="1">
      <alignment horizontal="center" vertical="center"/>
    </xf>
    <xf numFmtId="164" fontId="13" fillId="3" borderId="0" xfId="0" applyFont="1" applyFill="1" applyBorder="1" applyAlignment="1">
      <alignment vertical="center" wrapText="1"/>
    </xf>
    <xf numFmtId="164" fontId="13" fillId="3" borderId="0" xfId="0" applyFont="1" applyFill="1" applyBorder="1" applyAlignment="1">
      <alignment horizontal="left" vertical="center" wrapText="1"/>
    </xf>
    <xf numFmtId="16" fontId="13" fillId="3" borderId="0" xfId="0" applyNumberFormat="1" applyFont="1" applyFill="1" applyBorder="1" applyAlignment="1">
      <alignment horizontal="center" vertical="center" wrapText="1"/>
    </xf>
    <xf numFmtId="164" fontId="13" fillId="3" borderId="0" xfId="0" applyFont="1" applyFill="1" applyBorder="1" applyAlignment="1">
      <alignment horizontal="center" vertical="center" wrapText="1"/>
    </xf>
    <xf numFmtId="172" fontId="13" fillId="3" borderId="0" xfId="1" applyNumberFormat="1" applyFont="1" applyFill="1" applyBorder="1" applyAlignment="1">
      <alignment horizontal="center" vertical="center"/>
    </xf>
    <xf numFmtId="10" fontId="13" fillId="3" borderId="0" xfId="0" applyNumberFormat="1" applyFont="1" applyFill="1" applyBorder="1" applyAlignment="1">
      <alignment horizontal="center" vertical="center"/>
    </xf>
    <xf numFmtId="166" fontId="13" fillId="3" borderId="0" xfId="1" applyNumberFormat="1" applyFont="1" applyFill="1" applyBorder="1" applyAlignment="1">
      <alignment horizontal="center" vertical="center"/>
    </xf>
    <xf numFmtId="169" fontId="13" fillId="3" borderId="0" xfId="0" applyNumberFormat="1" applyFont="1" applyFill="1" applyBorder="1" applyAlignment="1">
      <alignment horizontal="center" vertical="center"/>
    </xf>
    <xf numFmtId="164" fontId="13" fillId="3" borderId="0" xfId="0" applyNumberFormat="1" applyFont="1" applyFill="1" applyBorder="1" applyAlignment="1">
      <alignment horizontal="center" vertical="center"/>
    </xf>
    <xf numFmtId="170" fontId="13" fillId="3" borderId="0" xfId="0" applyNumberFormat="1" applyFont="1" applyFill="1" applyBorder="1" applyAlignment="1">
      <alignment horizontal="center" vertical="center"/>
    </xf>
    <xf numFmtId="165" fontId="13" fillId="3" borderId="0" xfId="0" applyNumberFormat="1" applyFont="1" applyFill="1" applyBorder="1" applyAlignment="1">
      <alignment horizontal="center" vertical="center"/>
    </xf>
    <xf numFmtId="165" fontId="11" fillId="2" borderId="20" xfId="0" applyNumberFormat="1" applyFont="1" applyFill="1" applyBorder="1" applyAlignment="1">
      <alignment horizontal="center" vertical="center"/>
    </xf>
    <xf numFmtId="169" fontId="11" fillId="2" borderId="20" xfId="0" applyNumberFormat="1" applyFont="1" applyFill="1" applyBorder="1" applyAlignment="1">
      <alignment horizontal="center" vertical="center"/>
    </xf>
    <xf numFmtId="172" fontId="13" fillId="3" borderId="0" xfId="0" applyNumberFormat="1" applyFont="1" applyFill="1" applyAlignment="1">
      <alignment vertical="center"/>
    </xf>
    <xf numFmtId="171" fontId="6" fillId="3" borderId="0" xfId="0" applyNumberFormat="1" applyFont="1" applyFill="1" applyAlignment="1">
      <alignment vertical="center"/>
    </xf>
    <xf numFmtId="171" fontId="0" fillId="3" borderId="0" xfId="0" applyNumberFormat="1" applyFill="1" applyAlignment="1">
      <alignment vertical="center"/>
    </xf>
    <xf numFmtId="171" fontId="0" fillId="3" borderId="0" xfId="0" applyNumberFormat="1" applyFill="1" applyAlignment="1">
      <alignment horizontal="center" vertical="center"/>
    </xf>
    <xf numFmtId="164" fontId="12" fillId="0" borderId="20" xfId="0" applyFont="1" applyFill="1" applyBorder="1" applyAlignment="1">
      <alignment horizontal="center" vertical="center"/>
    </xf>
    <xf numFmtId="164" fontId="12" fillId="0" borderId="20" xfId="0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165" fontId="5" fillId="7" borderId="1" xfId="0" applyNumberFormat="1" applyFont="1" applyFill="1" applyBorder="1" applyAlignment="1">
      <alignment horizontal="center" vertical="center"/>
    </xf>
    <xf numFmtId="164" fontId="12" fillId="3" borderId="20" xfId="0" applyFont="1" applyFill="1" applyBorder="1" applyAlignment="1">
      <alignment horizontal="center" vertical="center" wrapText="1"/>
    </xf>
    <xf numFmtId="174" fontId="5" fillId="2" borderId="1" xfId="0" applyNumberFormat="1" applyFont="1" applyFill="1" applyBorder="1" applyAlignment="1">
      <alignment horizontal="center" vertical="center"/>
    </xf>
    <xf numFmtId="174" fontId="5" fillId="6" borderId="1" xfId="0" applyNumberFormat="1" applyFont="1" applyFill="1" applyBorder="1" applyAlignment="1">
      <alignment horizontal="center" vertical="center"/>
    </xf>
    <xf numFmtId="174" fontId="5" fillId="7" borderId="1" xfId="0" applyNumberFormat="1" applyFont="1" applyFill="1" applyBorder="1" applyAlignment="1">
      <alignment horizontal="center" vertical="center"/>
    </xf>
    <xf numFmtId="164" fontId="12" fillId="5" borderId="21" xfId="0" applyFont="1" applyFill="1" applyBorder="1" applyAlignment="1">
      <alignment horizontal="center" vertical="center"/>
    </xf>
    <xf numFmtId="169" fontId="12" fillId="5" borderId="16" xfId="0" applyNumberFormat="1" applyFont="1" applyFill="1" applyBorder="1" applyAlignment="1">
      <alignment horizontal="center" vertical="center"/>
    </xf>
    <xf numFmtId="165" fontId="12" fillId="5" borderId="16" xfId="0" applyNumberFormat="1" applyFont="1" applyFill="1" applyBorder="1" applyAlignment="1">
      <alignment horizontal="center" vertical="center"/>
    </xf>
    <xf numFmtId="10" fontId="11" fillId="0" borderId="14" xfId="0" applyNumberFormat="1" applyFont="1" applyFill="1" applyBorder="1" applyAlignment="1">
      <alignment horizontal="center" vertical="center"/>
    </xf>
    <xf numFmtId="170" fontId="12" fillId="0" borderId="0" xfId="0" applyNumberFormat="1" applyFont="1" applyFill="1" applyBorder="1" applyAlignment="1">
      <alignment horizontal="center" vertical="center"/>
    </xf>
    <xf numFmtId="164" fontId="6" fillId="0" borderId="0" xfId="0" applyFont="1" applyFill="1" applyAlignment="1">
      <alignment vertical="center"/>
    </xf>
    <xf numFmtId="171" fontId="6" fillId="0" borderId="0" xfId="0" applyNumberFormat="1" applyFont="1" applyFill="1" applyAlignment="1">
      <alignment horizontal="center" vertical="center"/>
    </xf>
    <xf numFmtId="164" fontId="8" fillId="0" borderId="0" xfId="0" applyFont="1" applyFill="1"/>
    <xf numFmtId="3" fontId="16" fillId="0" borderId="14" xfId="1" applyNumberFormat="1" applyFont="1" applyFill="1" applyBorder="1" applyAlignment="1">
      <alignment horizontal="center" vertical="center"/>
    </xf>
    <xf numFmtId="9" fontId="16" fillId="0" borderId="20" xfId="11" applyFont="1" applyFill="1" applyBorder="1" applyAlignment="1">
      <alignment horizontal="center" vertical="center"/>
    </xf>
    <xf numFmtId="9" fontId="16" fillId="0" borderId="16" xfId="11" applyFont="1" applyFill="1" applyBorder="1" applyAlignment="1">
      <alignment horizontal="center" vertical="center"/>
    </xf>
    <xf numFmtId="169" fontId="16" fillId="0" borderId="4" xfId="0" applyNumberFormat="1" applyFont="1" applyFill="1" applyBorder="1" applyAlignment="1">
      <alignment horizontal="center" vertical="center"/>
    </xf>
    <xf numFmtId="169" fontId="16" fillId="0" borderId="22" xfId="0" applyNumberFormat="1" applyFont="1" applyFill="1" applyBorder="1" applyAlignment="1">
      <alignment horizontal="center" vertical="center"/>
    </xf>
    <xf numFmtId="170" fontId="16" fillId="0" borderId="0" xfId="0" applyNumberFormat="1" applyFont="1" applyFill="1" applyBorder="1" applyAlignment="1">
      <alignment horizontal="center" vertical="center"/>
    </xf>
    <xf numFmtId="169" fontId="16" fillId="0" borderId="16" xfId="0" applyNumberFormat="1" applyFont="1" applyFill="1" applyBorder="1" applyAlignment="1">
      <alignment horizontal="center" vertical="center"/>
    </xf>
    <xf numFmtId="3" fontId="11" fillId="0" borderId="0" xfId="1" applyNumberFormat="1" applyFont="1" applyFill="1" applyBorder="1" applyAlignment="1">
      <alignment horizontal="center" vertical="center"/>
    </xf>
    <xf numFmtId="10" fontId="11" fillId="0" borderId="0" xfId="0" applyNumberFormat="1" applyFont="1" applyFill="1" applyBorder="1" applyAlignment="1">
      <alignment horizontal="center" vertical="center"/>
    </xf>
    <xf numFmtId="169" fontId="11" fillId="0" borderId="0" xfId="0" applyNumberFormat="1" applyFont="1" applyFill="1" applyBorder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171" fontId="6" fillId="0" borderId="0" xfId="0" applyNumberFormat="1" applyFont="1" applyFill="1" applyBorder="1" applyAlignment="1">
      <alignment horizontal="center" vertical="center"/>
    </xf>
    <xf numFmtId="169" fontId="16" fillId="0" borderId="20" xfId="0" applyNumberFormat="1" applyFont="1" applyFill="1" applyBorder="1" applyAlignment="1">
      <alignment horizontal="center" vertical="center"/>
    </xf>
    <xf numFmtId="164" fontId="11" fillId="0" borderId="19" xfId="0" applyFont="1" applyFill="1" applyBorder="1" applyAlignment="1">
      <alignment horizontal="right" vertical="center"/>
    </xf>
    <xf numFmtId="164" fontId="11" fillId="0" borderId="25" xfId="0" applyFont="1" applyFill="1" applyBorder="1" applyAlignment="1">
      <alignment horizontal="right" vertical="center"/>
    </xf>
    <xf numFmtId="10" fontId="11" fillId="0" borderId="4" xfId="0" applyNumberFormat="1" applyFont="1" applyFill="1" applyBorder="1" applyAlignment="1">
      <alignment horizontal="center" vertical="center"/>
    </xf>
    <xf numFmtId="3" fontId="16" fillId="0" borderId="4" xfId="1" applyNumberFormat="1" applyFont="1" applyFill="1" applyBorder="1" applyAlignment="1">
      <alignment horizontal="center" vertical="center"/>
    </xf>
    <xf numFmtId="3" fontId="11" fillId="2" borderId="20" xfId="1" applyNumberFormat="1" applyFont="1" applyFill="1" applyBorder="1" applyAlignment="1">
      <alignment horizontal="center" vertical="center"/>
    </xf>
    <xf numFmtId="10" fontId="11" fillId="2" borderId="20" xfId="0" applyNumberFormat="1" applyFont="1" applyFill="1" applyBorder="1" applyAlignment="1">
      <alignment horizontal="center" vertical="center"/>
    </xf>
    <xf numFmtId="164" fontId="11" fillId="2" borderId="21" xfId="0" applyFont="1" applyFill="1" applyBorder="1" applyAlignment="1">
      <alignment horizontal="center" vertical="center" wrapText="1"/>
    </xf>
    <xf numFmtId="164" fontId="5" fillId="2" borderId="21" xfId="0" applyFont="1" applyFill="1" applyBorder="1" applyAlignment="1">
      <alignment vertical="center"/>
    </xf>
    <xf numFmtId="164" fontId="5" fillId="2" borderId="4" xfId="0" applyFont="1" applyFill="1" applyBorder="1" applyAlignment="1">
      <alignment vertical="center"/>
    </xf>
    <xf numFmtId="9" fontId="0" fillId="3" borderId="0" xfId="11" applyFont="1" applyFill="1" applyAlignment="1">
      <alignment vertical="center"/>
    </xf>
    <xf numFmtId="9" fontId="0" fillId="3" borderId="0" xfId="11" applyFont="1" applyFill="1" applyBorder="1" applyAlignment="1">
      <alignment vertical="center"/>
    </xf>
    <xf numFmtId="9" fontId="11" fillId="2" borderId="22" xfId="11" applyFont="1" applyFill="1" applyBorder="1" applyAlignment="1">
      <alignment horizontal="center" vertical="center" wrapText="1"/>
    </xf>
    <xf numFmtId="9" fontId="5" fillId="2" borderId="22" xfId="11" applyFont="1" applyFill="1" applyBorder="1" applyAlignment="1">
      <alignment vertical="center"/>
    </xf>
    <xf numFmtId="9" fontId="12" fillId="3" borderId="16" xfId="11" applyFont="1" applyFill="1" applyBorder="1" applyAlignment="1">
      <alignment horizontal="center" vertical="center"/>
    </xf>
    <xf numFmtId="9" fontId="12" fillId="3" borderId="20" xfId="11" applyFont="1" applyFill="1" applyBorder="1" applyAlignment="1">
      <alignment horizontal="center" vertical="center"/>
    </xf>
    <xf numFmtId="9" fontId="11" fillId="2" borderId="20" xfId="11" applyFont="1" applyFill="1" applyBorder="1" applyAlignment="1">
      <alignment horizontal="center" vertical="center"/>
    </xf>
    <xf numFmtId="9" fontId="11" fillId="0" borderId="0" xfId="11" applyFont="1" applyFill="1" applyBorder="1" applyAlignment="1">
      <alignment horizontal="center" vertical="center"/>
    </xf>
    <xf numFmtId="9" fontId="12" fillId="3" borderId="0" xfId="11" applyFont="1" applyFill="1" applyBorder="1" applyAlignment="1">
      <alignment horizontal="center" vertical="center"/>
    </xf>
    <xf numFmtId="9" fontId="13" fillId="3" borderId="0" xfId="11" applyFont="1" applyFill="1" applyBorder="1" applyAlignment="1">
      <alignment horizontal="center" vertical="center"/>
    </xf>
    <xf numFmtId="9" fontId="6" fillId="3" borderId="0" xfId="11" applyFont="1" applyFill="1" applyAlignment="1">
      <alignment vertical="center"/>
    </xf>
    <xf numFmtId="9" fontId="8" fillId="0" borderId="0" xfId="11" applyFont="1"/>
    <xf numFmtId="9" fontId="12" fillId="5" borderId="20" xfId="11" applyFont="1" applyFill="1" applyBorder="1" applyAlignment="1">
      <alignment horizontal="center" vertical="center"/>
    </xf>
    <xf numFmtId="164" fontId="12" fillId="0" borderId="24" xfId="0" applyFont="1" applyFill="1" applyBorder="1" applyAlignment="1">
      <alignment horizontal="center" vertical="center"/>
    </xf>
    <xf numFmtId="164" fontId="12" fillId="8" borderId="20" xfId="0" applyFont="1" applyFill="1" applyBorder="1" applyAlignment="1">
      <alignment horizontal="center" vertical="center" wrapText="1"/>
    </xf>
    <xf numFmtId="173" fontId="6" fillId="3" borderId="0" xfId="0" applyNumberFormat="1" applyFont="1" applyFill="1" applyAlignment="1">
      <alignment horizontal="center" vertical="center"/>
    </xf>
    <xf numFmtId="164" fontId="18" fillId="3" borderId="0" xfId="0" applyFont="1" applyFill="1" applyAlignment="1">
      <alignment horizontal="center" vertical="center"/>
    </xf>
    <xf numFmtId="175" fontId="11" fillId="2" borderId="20" xfId="2" applyNumberFormat="1" applyFont="1" applyFill="1" applyBorder="1" applyAlignment="1">
      <alignment horizontal="center" vertical="center"/>
    </xf>
    <xf numFmtId="164" fontId="12" fillId="5" borderId="21" xfId="0" applyFont="1" applyFill="1" applyBorder="1" applyAlignment="1">
      <alignment horizontal="center" vertical="center"/>
    </xf>
    <xf numFmtId="164" fontId="12" fillId="0" borderId="24" xfId="0" applyFont="1" applyFill="1" applyBorder="1" applyAlignment="1">
      <alignment horizontal="center" vertical="center"/>
    </xf>
    <xf numFmtId="164" fontId="12" fillId="0" borderId="16" xfId="0" applyFont="1" applyFill="1" applyBorder="1" applyAlignment="1">
      <alignment horizontal="center" vertical="center"/>
    </xf>
    <xf numFmtId="164" fontId="12" fillId="0" borderId="20" xfId="0" applyFont="1" applyFill="1" applyBorder="1" applyAlignment="1">
      <alignment vertical="center" wrapText="1"/>
    </xf>
    <xf numFmtId="164" fontId="13" fillId="0" borderId="20" xfId="0" applyFont="1" applyFill="1" applyBorder="1" applyAlignment="1">
      <alignment horizontal="center" vertical="center" wrapText="1"/>
    </xf>
    <xf numFmtId="3" fontId="13" fillId="0" borderId="20" xfId="1" applyNumberFormat="1" applyFont="1" applyFill="1" applyBorder="1" applyAlignment="1">
      <alignment horizontal="center" vertical="center"/>
    </xf>
    <xf numFmtId="10" fontId="13" fillId="0" borderId="20" xfId="0" applyNumberFormat="1" applyFont="1" applyFill="1" applyBorder="1" applyAlignment="1">
      <alignment horizontal="center" vertical="center"/>
    </xf>
    <xf numFmtId="169" fontId="13" fillId="0" borderId="20" xfId="0" applyNumberFormat="1" applyFont="1" applyFill="1" applyBorder="1" applyAlignment="1">
      <alignment horizontal="center" vertical="center"/>
    </xf>
    <xf numFmtId="170" fontId="13" fillId="0" borderId="10" xfId="0" applyNumberFormat="1" applyFont="1" applyFill="1" applyBorder="1" applyAlignment="1">
      <alignment horizontal="center" vertical="center"/>
    </xf>
    <xf numFmtId="169" fontId="12" fillId="0" borderId="20" xfId="0" applyNumberFormat="1" applyFont="1" applyFill="1" applyBorder="1" applyAlignment="1">
      <alignment horizontal="center" vertical="center"/>
    </xf>
    <xf numFmtId="164" fontId="8" fillId="0" borderId="20" xfId="0" applyFont="1" applyBorder="1" applyAlignment="1">
      <alignment horizontal="center" vertical="center"/>
    </xf>
    <xf numFmtId="164" fontId="11" fillId="2" borderId="0" xfId="0" applyFont="1" applyFill="1" applyBorder="1" applyAlignment="1">
      <alignment vertical="center"/>
    </xf>
    <xf numFmtId="44" fontId="8" fillId="9" borderId="20" xfId="2" applyFont="1" applyFill="1" applyBorder="1"/>
    <xf numFmtId="164" fontId="19" fillId="0" borderId="0" xfId="0" applyFont="1"/>
    <xf numFmtId="44" fontId="20" fillId="0" borderId="0" xfId="2" applyFont="1"/>
    <xf numFmtId="44" fontId="21" fillId="0" borderId="0" xfId="2" applyFont="1"/>
    <xf numFmtId="164" fontId="8" fillId="8" borderId="0" xfId="0" applyFont="1" applyFill="1"/>
    <xf numFmtId="164" fontId="9" fillId="0" borderId="20" xfId="0" applyFont="1" applyBorder="1" applyAlignment="1">
      <alignment horizontal="center" vertical="center"/>
    </xf>
    <xf numFmtId="164" fontId="22" fillId="8" borderId="20" xfId="0" applyFont="1" applyFill="1" applyBorder="1"/>
    <xf numFmtId="164" fontId="22" fillId="8" borderId="20" xfId="0" applyFont="1" applyFill="1" applyBorder="1" applyAlignment="1">
      <alignment horizontal="center"/>
    </xf>
    <xf numFmtId="166" fontId="12" fillId="0" borderId="20" xfId="1" applyNumberFormat="1" applyFont="1" applyFill="1" applyBorder="1" applyAlignment="1">
      <alignment horizontal="center" vertical="center" wrapText="1"/>
    </xf>
    <xf numFmtId="44" fontId="8" fillId="0" borderId="0" xfId="2" applyFont="1"/>
    <xf numFmtId="175" fontId="11" fillId="0" borderId="0" xfId="2" applyNumberFormat="1" applyFont="1" applyFill="1" applyBorder="1" applyAlignment="1">
      <alignment horizontal="center" vertical="center"/>
    </xf>
    <xf numFmtId="169" fontId="12" fillId="0" borderId="16" xfId="0" applyNumberFormat="1" applyFont="1" applyFill="1" applyBorder="1" applyAlignment="1">
      <alignment vertical="center"/>
    </xf>
    <xf numFmtId="164" fontId="13" fillId="0" borderId="16" xfId="0" applyNumberFormat="1" applyFont="1" applyFill="1" applyBorder="1" applyAlignment="1">
      <alignment vertical="center"/>
    </xf>
    <xf numFmtId="169" fontId="12" fillId="0" borderId="20" xfId="0" applyNumberFormat="1" applyFont="1" applyFill="1" applyBorder="1" applyAlignment="1">
      <alignment vertical="center"/>
    </xf>
    <xf numFmtId="165" fontId="12" fillId="0" borderId="24" xfId="0" applyNumberFormat="1" applyFont="1" applyFill="1" applyBorder="1" applyAlignment="1">
      <alignment horizontal="center" vertical="center"/>
    </xf>
    <xf numFmtId="164" fontId="12" fillId="3" borderId="20" xfId="0" applyFont="1" applyFill="1" applyBorder="1" applyAlignment="1">
      <alignment vertical="center" wrapText="1"/>
    </xf>
    <xf numFmtId="164" fontId="6" fillId="8" borderId="0" xfId="0" applyFont="1" applyFill="1"/>
    <xf numFmtId="166" fontId="12" fillId="0" borderId="0" xfId="1" applyNumberFormat="1" applyFont="1"/>
    <xf numFmtId="164" fontId="23" fillId="0" borderId="0" xfId="0" applyFont="1"/>
    <xf numFmtId="164" fontId="24" fillId="0" borderId="0" xfId="0" applyFont="1" applyAlignment="1">
      <alignment vertical="center"/>
    </xf>
    <xf numFmtId="166" fontId="0" fillId="0" borderId="0" xfId="1" applyNumberFormat="1" applyFont="1"/>
    <xf numFmtId="164" fontId="0" fillId="8" borderId="0" xfId="0" applyFill="1"/>
    <xf numFmtId="164" fontId="12" fillId="0" borderId="24" xfId="0" applyFont="1" applyFill="1" applyBorder="1" applyAlignment="1">
      <alignment horizontal="center" vertical="center" wrapText="1"/>
    </xf>
    <xf numFmtId="164" fontId="0" fillId="0" borderId="0" xfId="0" applyFill="1"/>
    <xf numFmtId="166" fontId="12" fillId="0" borderId="0" xfId="1" applyNumberFormat="1" applyFont="1" applyFill="1"/>
    <xf numFmtId="164" fontId="24" fillId="0" borderId="0" xfId="0" applyFont="1" applyFill="1" applyAlignment="1">
      <alignment vertical="center"/>
    </xf>
    <xf numFmtId="164" fontId="23" fillId="0" borderId="0" xfId="0" applyFont="1" applyFill="1"/>
    <xf numFmtId="164" fontId="5" fillId="2" borderId="26" xfId="0" applyFont="1" applyFill="1" applyBorder="1"/>
    <xf numFmtId="1" fontId="0" fillId="0" borderId="0" xfId="0" applyNumberFormat="1"/>
    <xf numFmtId="9" fontId="0" fillId="0" borderId="0" xfId="11" applyFont="1"/>
    <xf numFmtId="43" fontId="0" fillId="0" borderId="0" xfId="0" applyNumberFormat="1"/>
    <xf numFmtId="164" fontId="25" fillId="10" borderId="26" xfId="4" applyFont="1" applyFill="1" applyBorder="1" applyAlignment="1">
      <alignment horizontal="center" vertical="center"/>
    </xf>
    <xf numFmtId="164" fontId="25" fillId="10" borderId="26" xfId="4" applyFont="1" applyFill="1" applyBorder="1" applyAlignment="1">
      <alignment horizontal="center" vertical="center" wrapText="1"/>
    </xf>
    <xf numFmtId="164" fontId="26" fillId="0" borderId="27" xfId="0" applyFont="1" applyBorder="1" applyAlignment="1">
      <alignment horizontal="center" vertical="center" wrapText="1"/>
    </xf>
    <xf numFmtId="164" fontId="26" fillId="0" borderId="26" xfId="0" applyFont="1" applyBorder="1" applyAlignment="1">
      <alignment horizontal="center" vertical="center"/>
    </xf>
    <xf numFmtId="164" fontId="26" fillId="0" borderId="26" xfId="0" applyFont="1" applyBorder="1" applyAlignment="1">
      <alignment horizontal="center" vertical="center" wrapText="1"/>
    </xf>
    <xf numFmtId="164" fontId="26" fillId="0" borderId="26" xfId="0" applyFont="1" applyBorder="1" applyAlignment="1">
      <alignment horizontal="left" vertical="center" wrapText="1"/>
    </xf>
    <xf numFmtId="166" fontId="26" fillId="0" borderId="26" xfId="1" applyNumberFormat="1" applyFont="1" applyBorder="1" applyAlignment="1">
      <alignment horizontal="left" vertical="center"/>
    </xf>
    <xf numFmtId="166" fontId="26" fillId="0" borderId="26" xfId="1" applyNumberFormat="1" applyFont="1" applyBorder="1" applyAlignment="1">
      <alignment horizontal="center" vertical="center"/>
    </xf>
    <xf numFmtId="176" fontId="26" fillId="3" borderId="26" xfId="11" applyNumberFormat="1" applyFont="1" applyFill="1" applyBorder="1" applyAlignment="1">
      <alignment vertical="center"/>
    </xf>
    <xf numFmtId="167" fontId="26" fillId="3" borderId="26" xfId="0" applyNumberFormat="1" applyFont="1" applyFill="1" applyBorder="1" applyAlignment="1">
      <alignment vertical="center"/>
    </xf>
    <xf numFmtId="167" fontId="26" fillId="0" borderId="26" xfId="0" applyNumberFormat="1" applyFont="1" applyBorder="1" applyAlignment="1">
      <alignment vertical="center"/>
    </xf>
    <xf numFmtId="167" fontId="26" fillId="0" borderId="26" xfId="0" applyNumberFormat="1" applyFont="1" applyBorder="1" applyAlignment="1">
      <alignment horizontal="center" vertical="center"/>
    </xf>
    <xf numFmtId="168" fontId="26" fillId="0" borderId="26" xfId="0" applyNumberFormat="1" applyFont="1" applyBorder="1" applyAlignment="1">
      <alignment horizontal="center" vertical="center"/>
    </xf>
    <xf numFmtId="9" fontId="26" fillId="0" borderId="26" xfId="11" applyFont="1" applyBorder="1" applyAlignment="1">
      <alignment horizontal="right" vertical="center"/>
    </xf>
    <xf numFmtId="1" fontId="26" fillId="0" borderId="26" xfId="1" applyNumberFormat="1" applyFont="1" applyBorder="1" applyAlignment="1">
      <alignment horizontal="center" vertical="center"/>
    </xf>
    <xf numFmtId="164" fontId="0" fillId="0" borderId="0" xfId="0" applyAlignment="1">
      <alignment vertical="top"/>
    </xf>
    <xf numFmtId="9" fontId="27" fillId="11" borderId="26" xfId="0" applyNumberFormat="1" applyFont="1" applyFill="1" applyBorder="1" applyAlignment="1"/>
    <xf numFmtId="167" fontId="28" fillId="11" borderId="26" xfId="0" applyNumberFormat="1" applyFont="1" applyFill="1" applyBorder="1" applyAlignment="1"/>
    <xf numFmtId="168" fontId="28" fillId="11" borderId="26" xfId="0" applyNumberFormat="1" applyFont="1" applyFill="1" applyBorder="1" applyAlignment="1"/>
    <xf numFmtId="9" fontId="28" fillId="11" borderId="26" xfId="11" applyFont="1" applyFill="1" applyBorder="1" applyAlignment="1"/>
    <xf numFmtId="164" fontId="0" fillId="11" borderId="26" xfId="0" applyFill="1" applyBorder="1"/>
    <xf numFmtId="164" fontId="27" fillId="11" borderId="28" xfId="0" applyFont="1" applyFill="1" applyBorder="1" applyAlignment="1">
      <alignment horizontal="center"/>
    </xf>
    <xf numFmtId="164" fontId="27" fillId="11" borderId="29" xfId="0" applyFont="1" applyFill="1" applyBorder="1" applyAlignment="1">
      <alignment horizontal="center"/>
    </xf>
    <xf numFmtId="164" fontId="27" fillId="11" borderId="30" xfId="0" applyFont="1" applyFill="1" applyBorder="1" applyAlignment="1">
      <alignment horizontal="center"/>
    </xf>
    <xf numFmtId="164" fontId="0" fillId="11" borderId="28" xfId="0" applyFill="1" applyBorder="1" applyAlignment="1">
      <alignment horizontal="center"/>
    </xf>
    <xf numFmtId="164" fontId="0" fillId="11" borderId="29" xfId="0" applyFill="1" applyBorder="1" applyAlignment="1">
      <alignment horizontal="center"/>
    </xf>
    <xf numFmtId="164" fontId="0" fillId="11" borderId="30" xfId="0" applyFill="1" applyBorder="1" applyAlignment="1">
      <alignment horizontal="center"/>
    </xf>
    <xf numFmtId="164" fontId="0" fillId="2" borderId="26" xfId="0" applyFill="1" applyBorder="1"/>
    <xf numFmtId="167" fontId="0" fillId="0" borderId="0" xfId="0" applyNumberFormat="1"/>
    <xf numFmtId="164" fontId="0" fillId="0" borderId="0" xfId="0" applyBorder="1" applyAlignment="1">
      <alignment vertical="top"/>
    </xf>
    <xf numFmtId="44" fontId="4" fillId="9" borderId="20" xfId="2" applyFont="1" applyFill="1" applyBorder="1"/>
    <xf numFmtId="164" fontId="29" fillId="0" borderId="0" xfId="0" applyFont="1" applyFill="1" applyAlignment="1">
      <alignment vertical="top"/>
    </xf>
    <xf numFmtId="164" fontId="0" fillId="0" borderId="0" xfId="0" applyFill="1" applyAlignment="1">
      <alignment vertical="top"/>
    </xf>
    <xf numFmtId="164" fontId="11" fillId="12" borderId="20" xfId="0" applyFont="1" applyFill="1" applyBorder="1" applyAlignment="1">
      <alignment horizontal="center" vertical="center" wrapText="1"/>
    </xf>
    <xf numFmtId="3" fontId="11" fillId="12" borderId="20" xfId="1" applyNumberFormat="1" applyFont="1" applyFill="1" applyBorder="1" applyAlignment="1">
      <alignment horizontal="center" vertical="center"/>
    </xf>
    <xf numFmtId="10" fontId="11" fillId="12" borderId="20" xfId="0" applyNumberFormat="1" applyFont="1" applyFill="1" applyBorder="1" applyAlignment="1">
      <alignment horizontal="center" vertical="center"/>
    </xf>
    <xf numFmtId="164" fontId="11" fillId="12" borderId="21" xfId="0" applyFont="1" applyFill="1" applyBorder="1" applyAlignment="1">
      <alignment horizontal="center" vertical="center" wrapText="1"/>
    </xf>
    <xf numFmtId="164" fontId="11" fillId="12" borderId="4" xfId="0" applyFont="1" applyFill="1" applyBorder="1" applyAlignment="1">
      <alignment horizontal="center" vertical="center" wrapText="1"/>
    </xf>
    <xf numFmtId="9" fontId="11" fillId="12" borderId="22" xfId="11" applyFont="1" applyFill="1" applyBorder="1" applyAlignment="1">
      <alignment horizontal="center" vertical="center" wrapText="1"/>
    </xf>
    <xf numFmtId="164" fontId="5" fillId="12" borderId="21" xfId="0" applyFont="1" applyFill="1" applyBorder="1" applyAlignment="1">
      <alignment vertical="center"/>
    </xf>
    <xf numFmtId="164" fontId="5" fillId="12" borderId="4" xfId="0" applyFont="1" applyFill="1" applyBorder="1" applyAlignment="1">
      <alignment vertical="center"/>
    </xf>
    <xf numFmtId="9" fontId="5" fillId="12" borderId="22" xfId="11" applyFont="1" applyFill="1" applyBorder="1" applyAlignment="1">
      <alignment vertical="center"/>
    </xf>
    <xf numFmtId="169" fontId="11" fillId="12" borderId="20" xfId="0" applyNumberFormat="1" applyFont="1" applyFill="1" applyBorder="1" applyAlignment="1">
      <alignment horizontal="center" vertical="center"/>
    </xf>
    <xf numFmtId="165" fontId="11" fillId="12" borderId="20" xfId="0" applyNumberFormat="1" applyFont="1" applyFill="1" applyBorder="1" applyAlignment="1">
      <alignment horizontal="center" vertical="center"/>
    </xf>
    <xf numFmtId="9" fontId="11" fillId="12" borderId="20" xfId="11" applyFont="1" applyFill="1" applyBorder="1" applyAlignment="1">
      <alignment horizontal="center" vertical="center"/>
    </xf>
    <xf numFmtId="164" fontId="11" fillId="12" borderId="1" xfId="0" applyFont="1" applyFill="1" applyBorder="1" applyAlignment="1">
      <alignment vertical="center"/>
    </xf>
    <xf numFmtId="175" fontId="11" fillId="12" borderId="20" xfId="2" applyNumberFormat="1" applyFont="1" applyFill="1" applyBorder="1" applyAlignment="1">
      <alignment horizontal="center" vertical="center"/>
    </xf>
    <xf numFmtId="164" fontId="11" fillId="12" borderId="2" xfId="0" applyFont="1" applyFill="1" applyBorder="1" applyAlignment="1">
      <alignment horizontal="center" vertical="center" wrapText="1"/>
    </xf>
    <xf numFmtId="164" fontId="11" fillId="12" borderId="3" xfId="0" applyFont="1" applyFill="1" applyBorder="1" applyAlignment="1">
      <alignment horizontal="center" vertical="center" wrapText="1"/>
    </xf>
    <xf numFmtId="164" fontId="11" fillId="12" borderId="20" xfId="0" applyFont="1" applyFill="1" applyBorder="1" applyAlignment="1">
      <alignment vertical="center"/>
    </xf>
    <xf numFmtId="9" fontId="11" fillId="12" borderId="20" xfId="11" applyFont="1" applyFill="1" applyBorder="1" applyAlignment="1">
      <alignment horizontal="center" vertical="center" wrapText="1"/>
    </xf>
    <xf numFmtId="164" fontId="5" fillId="12" borderId="26" xfId="0" applyFont="1" applyFill="1" applyBorder="1"/>
    <xf numFmtId="164" fontId="25" fillId="12" borderId="26" xfId="4" applyFont="1" applyFill="1" applyBorder="1" applyAlignment="1">
      <alignment horizontal="center" vertical="center"/>
    </xf>
    <xf numFmtId="164" fontId="25" fillId="12" borderId="26" xfId="4" applyFont="1" applyFill="1" applyBorder="1" applyAlignment="1">
      <alignment horizontal="center" vertical="center" wrapText="1"/>
    </xf>
    <xf numFmtId="164" fontId="0" fillId="12" borderId="26" xfId="0" applyFill="1" applyBorder="1"/>
    <xf numFmtId="167" fontId="5" fillId="12" borderId="26" xfId="0" applyNumberFormat="1" applyFont="1" applyFill="1" applyBorder="1"/>
    <xf numFmtId="168" fontId="5" fillId="12" borderId="26" xfId="0" applyNumberFormat="1" applyFont="1" applyFill="1" applyBorder="1"/>
    <xf numFmtId="9" fontId="5" fillId="12" borderId="26" xfId="11" applyFont="1" applyFill="1" applyBorder="1"/>
    <xf numFmtId="16" fontId="26" fillId="0" borderId="26" xfId="0" applyNumberFormat="1" applyFont="1" applyFill="1" applyBorder="1" applyAlignment="1">
      <alignment horizontal="center" vertical="center"/>
    </xf>
    <xf numFmtId="164" fontId="30" fillId="0" borderId="0" xfId="0" applyFont="1"/>
    <xf numFmtId="164" fontId="30" fillId="0" borderId="0" xfId="0" applyFont="1" applyFill="1"/>
    <xf numFmtId="165" fontId="12" fillId="0" borderId="24" xfId="0" applyNumberFormat="1" applyFont="1" applyFill="1" applyBorder="1" applyAlignment="1">
      <alignment horizontal="center" vertical="center"/>
    </xf>
    <xf numFmtId="165" fontId="12" fillId="0" borderId="24" xfId="0" applyNumberFormat="1" applyFont="1" applyFill="1" applyBorder="1" applyAlignment="1">
      <alignment horizontal="center" vertical="center"/>
    </xf>
    <xf numFmtId="10" fontId="11" fillId="0" borderId="20" xfId="0" applyNumberFormat="1" applyFont="1" applyFill="1" applyBorder="1" applyAlignment="1">
      <alignment horizontal="center" vertical="center"/>
    </xf>
    <xf numFmtId="3" fontId="16" fillId="0" borderId="20" xfId="1" applyNumberFormat="1" applyFont="1" applyFill="1" applyBorder="1" applyAlignment="1">
      <alignment horizontal="center" vertical="center"/>
    </xf>
    <xf numFmtId="164" fontId="12" fillId="0" borderId="24" xfId="0" applyFont="1" applyFill="1" applyBorder="1" applyAlignment="1">
      <alignment vertical="center"/>
    </xf>
    <xf numFmtId="164" fontId="12" fillId="0" borderId="20" xfId="0" applyFont="1" applyFill="1" applyBorder="1" applyAlignment="1">
      <alignment vertical="center"/>
    </xf>
    <xf numFmtId="164" fontId="31" fillId="3" borderId="20" xfId="0" applyFont="1" applyFill="1" applyBorder="1" applyAlignment="1">
      <alignment horizontal="center" vertical="center" wrapText="1"/>
    </xf>
    <xf numFmtId="3" fontId="31" fillId="3" borderId="20" xfId="1" applyNumberFormat="1" applyFont="1" applyFill="1" applyBorder="1" applyAlignment="1">
      <alignment horizontal="center" vertical="center"/>
    </xf>
    <xf numFmtId="10" fontId="31" fillId="3" borderId="20" xfId="0" applyNumberFormat="1" applyFont="1" applyFill="1" applyBorder="1" applyAlignment="1">
      <alignment horizontal="center" vertical="center"/>
    </xf>
    <xf numFmtId="169" fontId="31" fillId="3" borderId="20" xfId="0" applyNumberFormat="1" applyFont="1" applyFill="1" applyBorder="1" applyAlignment="1">
      <alignment horizontal="center" vertical="center"/>
    </xf>
    <xf numFmtId="164" fontId="31" fillId="3" borderId="20" xfId="0" applyNumberFormat="1" applyFont="1" applyFill="1" applyBorder="1" applyAlignment="1">
      <alignment horizontal="center" vertical="center"/>
    </xf>
    <xf numFmtId="170" fontId="31" fillId="3" borderId="10" xfId="0" applyNumberFormat="1" applyFont="1" applyFill="1" applyBorder="1" applyAlignment="1">
      <alignment horizontal="center" vertical="center"/>
    </xf>
    <xf numFmtId="170" fontId="18" fillId="0" borderId="20" xfId="0" applyNumberFormat="1" applyFont="1" applyFill="1" applyBorder="1" applyAlignment="1">
      <alignment horizontal="center" vertical="center"/>
    </xf>
    <xf numFmtId="165" fontId="18" fillId="3" borderId="20" xfId="0" applyNumberFormat="1" applyFont="1" applyFill="1" applyBorder="1" applyAlignment="1">
      <alignment horizontal="center" vertical="center"/>
    </xf>
    <xf numFmtId="9" fontId="18" fillId="3" borderId="20" xfId="11" applyFont="1" applyFill="1" applyBorder="1" applyAlignment="1">
      <alignment horizontal="center" vertical="center"/>
    </xf>
    <xf numFmtId="164" fontId="31" fillId="0" borderId="20" xfId="0" applyFont="1" applyFill="1" applyBorder="1" applyAlignment="1">
      <alignment horizontal="center" vertical="center" wrapText="1"/>
    </xf>
    <xf numFmtId="10" fontId="31" fillId="0" borderId="20" xfId="0" applyNumberFormat="1" applyFont="1" applyFill="1" applyBorder="1" applyAlignment="1">
      <alignment horizontal="center" vertical="center"/>
    </xf>
    <xf numFmtId="169" fontId="31" fillId="0" borderId="20" xfId="0" applyNumberFormat="1" applyFont="1" applyFill="1" applyBorder="1" applyAlignment="1">
      <alignment horizontal="center" vertical="center"/>
    </xf>
    <xf numFmtId="169" fontId="18" fillId="0" borderId="16" xfId="0" applyNumberFormat="1" applyFont="1" applyFill="1" applyBorder="1" applyAlignment="1">
      <alignment horizontal="center" vertical="center"/>
    </xf>
    <xf numFmtId="165" fontId="18" fillId="0" borderId="24" xfId="0" applyNumberFormat="1" applyFont="1" applyFill="1" applyBorder="1" applyAlignment="1">
      <alignment horizontal="center" vertical="center"/>
    </xf>
    <xf numFmtId="164" fontId="12" fillId="3" borderId="0" xfId="0" applyFont="1" applyFill="1" applyAlignment="1">
      <alignment vertical="center"/>
    </xf>
    <xf numFmtId="171" fontId="12" fillId="3" borderId="0" xfId="0" applyNumberFormat="1" applyFont="1" applyFill="1" applyAlignment="1">
      <alignment horizontal="center" vertical="center"/>
    </xf>
    <xf numFmtId="164" fontId="13" fillId="0" borderId="0" xfId="0" applyFont="1"/>
    <xf numFmtId="164" fontId="12" fillId="0" borderId="20" xfId="0" applyFont="1" applyBorder="1" applyAlignment="1">
      <alignment horizontal="center" vertical="center"/>
    </xf>
    <xf numFmtId="164" fontId="18" fillId="3" borderId="0" xfId="0" applyFont="1" applyFill="1" applyAlignment="1">
      <alignment vertical="center"/>
    </xf>
    <xf numFmtId="170" fontId="18" fillId="3" borderId="0" xfId="0" applyNumberFormat="1" applyFont="1" applyFill="1" applyBorder="1" applyAlignment="1">
      <alignment horizontal="center" vertical="center"/>
    </xf>
    <xf numFmtId="169" fontId="32" fillId="12" borderId="20" xfId="0" applyNumberFormat="1" applyFont="1" applyFill="1" applyBorder="1" applyAlignment="1">
      <alignment horizontal="center" vertical="center"/>
    </xf>
    <xf numFmtId="165" fontId="32" fillId="12" borderId="20" xfId="0" applyNumberFormat="1" applyFont="1" applyFill="1" applyBorder="1" applyAlignment="1">
      <alignment horizontal="center" vertical="center"/>
    </xf>
    <xf numFmtId="9" fontId="32" fillId="12" borderId="20" xfId="11" applyFont="1" applyFill="1" applyBorder="1" applyAlignment="1">
      <alignment horizontal="center" vertical="center"/>
    </xf>
    <xf numFmtId="171" fontId="18" fillId="3" borderId="0" xfId="0" applyNumberFormat="1" applyFont="1" applyFill="1" applyAlignment="1">
      <alignment horizontal="center" vertical="center"/>
    </xf>
    <xf numFmtId="164" fontId="31" fillId="0" borderId="0" xfId="0" applyFont="1"/>
    <xf numFmtId="169" fontId="18" fillId="5" borderId="16" xfId="0" applyNumberFormat="1" applyFont="1" applyFill="1" applyBorder="1" applyAlignment="1">
      <alignment horizontal="center" vertical="center"/>
    </xf>
    <xf numFmtId="165" fontId="18" fillId="5" borderId="16" xfId="0" applyNumberFormat="1" applyFont="1" applyFill="1" applyBorder="1" applyAlignment="1">
      <alignment horizontal="center" vertical="center"/>
    </xf>
    <xf numFmtId="9" fontId="18" fillId="5" borderId="20" xfId="11" applyFont="1" applyFill="1" applyBorder="1" applyAlignment="1">
      <alignment horizontal="center" vertical="center"/>
    </xf>
    <xf numFmtId="164" fontId="31" fillId="3" borderId="0" xfId="0" applyFont="1" applyFill="1" applyAlignment="1">
      <alignment vertical="center"/>
    </xf>
    <xf numFmtId="164" fontId="18" fillId="3" borderId="0" xfId="0" applyFont="1" applyFill="1" applyBorder="1" applyAlignment="1">
      <alignment horizontal="center" vertical="center"/>
    </xf>
    <xf numFmtId="164" fontId="31" fillId="3" borderId="0" xfId="0" applyFont="1" applyFill="1" applyBorder="1" applyAlignment="1">
      <alignment vertical="center" wrapText="1"/>
    </xf>
    <xf numFmtId="164" fontId="31" fillId="3" borderId="0" xfId="0" applyFont="1" applyFill="1" applyBorder="1" applyAlignment="1">
      <alignment horizontal="left" vertical="center" wrapText="1"/>
    </xf>
    <xf numFmtId="16" fontId="31" fillId="3" borderId="0" xfId="0" applyNumberFormat="1" applyFont="1" applyFill="1" applyBorder="1" applyAlignment="1">
      <alignment horizontal="center" vertical="center" wrapText="1"/>
    </xf>
    <xf numFmtId="164" fontId="31" fillId="3" borderId="0" xfId="0" applyFont="1" applyFill="1" applyBorder="1" applyAlignment="1">
      <alignment horizontal="center" vertical="center" wrapText="1"/>
    </xf>
    <xf numFmtId="172" fontId="31" fillId="3" borderId="0" xfId="1" applyNumberFormat="1" applyFont="1" applyFill="1" applyBorder="1" applyAlignment="1">
      <alignment horizontal="center" vertical="center"/>
    </xf>
    <xf numFmtId="10" fontId="31" fillId="3" borderId="0" xfId="0" applyNumberFormat="1" applyFont="1" applyFill="1" applyBorder="1" applyAlignment="1">
      <alignment horizontal="center" vertical="center"/>
    </xf>
    <xf numFmtId="166" fontId="31" fillId="3" borderId="0" xfId="1" applyNumberFormat="1" applyFont="1" applyFill="1" applyBorder="1" applyAlignment="1">
      <alignment horizontal="center" vertical="center"/>
    </xf>
    <xf numFmtId="169" fontId="31" fillId="3" borderId="0" xfId="0" applyNumberFormat="1" applyFont="1" applyFill="1" applyBorder="1" applyAlignment="1">
      <alignment horizontal="center" vertical="center"/>
    </xf>
    <xf numFmtId="164" fontId="31" fillId="3" borderId="0" xfId="0" applyNumberFormat="1" applyFont="1" applyFill="1" applyBorder="1" applyAlignment="1">
      <alignment horizontal="center" vertical="center"/>
    </xf>
    <xf numFmtId="170" fontId="31" fillId="3" borderId="0" xfId="0" applyNumberFormat="1" applyFont="1" applyFill="1" applyBorder="1" applyAlignment="1">
      <alignment horizontal="center" vertical="center"/>
    </xf>
    <xf numFmtId="165" fontId="31" fillId="3" borderId="0" xfId="0" applyNumberFormat="1" applyFont="1" applyFill="1" applyBorder="1" applyAlignment="1">
      <alignment horizontal="center" vertical="center"/>
    </xf>
    <xf numFmtId="9" fontId="31" fillId="3" borderId="0" xfId="11" applyFont="1" applyFill="1" applyBorder="1" applyAlignment="1">
      <alignment horizontal="center" vertical="center"/>
    </xf>
    <xf numFmtId="171" fontId="31" fillId="3" borderId="0" xfId="0" applyNumberFormat="1" applyFont="1" applyFill="1" applyAlignment="1">
      <alignment horizontal="center" vertical="center"/>
    </xf>
    <xf numFmtId="164" fontId="33" fillId="3" borderId="0" xfId="0" applyFont="1" applyFill="1" applyAlignment="1">
      <alignment vertical="center"/>
    </xf>
    <xf numFmtId="164" fontId="31" fillId="3" borderId="0" xfId="0" applyFont="1" applyFill="1" applyBorder="1" applyAlignment="1">
      <alignment vertical="center"/>
    </xf>
    <xf numFmtId="9" fontId="31" fillId="3" borderId="0" xfId="11" applyFont="1" applyFill="1" applyAlignment="1">
      <alignment vertical="center"/>
    </xf>
    <xf numFmtId="172" fontId="31" fillId="3" borderId="0" xfId="0" applyNumberFormat="1" applyFont="1" applyFill="1" applyAlignment="1">
      <alignment vertical="center"/>
    </xf>
    <xf numFmtId="171" fontId="18" fillId="3" borderId="0" xfId="0" applyNumberFormat="1" applyFont="1" applyFill="1" applyAlignment="1">
      <alignment vertical="center"/>
    </xf>
    <xf numFmtId="173" fontId="18" fillId="3" borderId="0" xfId="0" applyNumberFormat="1" applyFont="1" applyFill="1" applyAlignment="1">
      <alignment horizontal="center" vertical="center"/>
    </xf>
    <xf numFmtId="9" fontId="18" fillId="3" borderId="0" xfId="11" applyFont="1" applyFill="1" applyAlignment="1">
      <alignment vertical="center"/>
    </xf>
    <xf numFmtId="171" fontId="31" fillId="3" borderId="0" xfId="0" applyNumberFormat="1" applyFont="1" applyFill="1" applyAlignment="1">
      <alignment vertical="center"/>
    </xf>
    <xf numFmtId="164" fontId="31" fillId="3" borderId="0" xfId="0" applyFont="1" applyFill="1" applyAlignment="1">
      <alignment horizontal="center" vertical="center"/>
    </xf>
    <xf numFmtId="44" fontId="31" fillId="9" borderId="20" xfId="2" applyFont="1" applyFill="1" applyBorder="1"/>
    <xf numFmtId="164" fontId="18" fillId="0" borderId="0" xfId="0" applyFont="1" applyAlignment="1">
      <alignment vertical="center"/>
    </xf>
    <xf numFmtId="164" fontId="34" fillId="0" borderId="0" xfId="0" applyFont="1"/>
    <xf numFmtId="9" fontId="31" fillId="0" borderId="0" xfId="11" applyFont="1"/>
    <xf numFmtId="175" fontId="32" fillId="12" borderId="20" xfId="2" applyNumberFormat="1" applyFont="1" applyFill="1" applyBorder="1" applyAlignment="1">
      <alignment horizontal="center" vertical="center"/>
    </xf>
    <xf numFmtId="164" fontId="18" fillId="0" borderId="0" xfId="0" applyFont="1" applyFill="1" applyAlignment="1">
      <alignment vertical="center"/>
    </xf>
    <xf numFmtId="9" fontId="36" fillId="0" borderId="20" xfId="11" applyFont="1" applyFill="1" applyBorder="1" applyAlignment="1">
      <alignment horizontal="center" vertical="center"/>
    </xf>
    <xf numFmtId="10" fontId="32" fillId="0" borderId="4" xfId="0" applyNumberFormat="1" applyFont="1" applyFill="1" applyBorder="1" applyAlignment="1">
      <alignment horizontal="center" vertical="center"/>
    </xf>
    <xf numFmtId="3" fontId="36" fillId="0" borderId="4" xfId="1" applyNumberFormat="1" applyFont="1" applyFill="1" applyBorder="1" applyAlignment="1">
      <alignment horizontal="center" vertical="center"/>
    </xf>
    <xf numFmtId="169" fontId="36" fillId="0" borderId="4" xfId="0" applyNumberFormat="1" applyFont="1" applyFill="1" applyBorder="1" applyAlignment="1">
      <alignment horizontal="center" vertical="center"/>
    </xf>
    <xf numFmtId="169" fontId="36" fillId="0" borderId="22" xfId="0" applyNumberFormat="1" applyFont="1" applyFill="1" applyBorder="1" applyAlignment="1">
      <alignment horizontal="center" vertical="center"/>
    </xf>
    <xf numFmtId="170" fontId="36" fillId="0" borderId="0" xfId="0" applyNumberFormat="1" applyFont="1" applyFill="1" applyBorder="1" applyAlignment="1">
      <alignment horizontal="center" vertical="center"/>
    </xf>
    <xf numFmtId="169" fontId="36" fillId="0" borderId="20" xfId="0" applyNumberFormat="1" applyFont="1" applyFill="1" applyBorder="1" applyAlignment="1">
      <alignment horizontal="center" vertical="center"/>
    </xf>
    <xf numFmtId="9" fontId="18" fillId="3" borderId="0" xfId="11" applyFont="1" applyFill="1" applyBorder="1" applyAlignment="1">
      <alignment horizontal="center" vertical="center"/>
    </xf>
    <xf numFmtId="171" fontId="18" fillId="0" borderId="0" xfId="0" applyNumberFormat="1" applyFont="1" applyFill="1" applyAlignment="1">
      <alignment horizontal="center" vertical="center"/>
    </xf>
    <xf numFmtId="164" fontId="31" fillId="0" borderId="0" xfId="0" applyFont="1" applyFill="1"/>
    <xf numFmtId="9" fontId="36" fillId="0" borderId="16" xfId="11" applyFont="1" applyFill="1" applyBorder="1" applyAlignment="1">
      <alignment horizontal="center" vertical="center"/>
    </xf>
    <xf numFmtId="10" fontId="32" fillId="0" borderId="14" xfId="0" applyNumberFormat="1" applyFont="1" applyFill="1" applyBorder="1" applyAlignment="1">
      <alignment horizontal="center" vertical="center"/>
    </xf>
    <xf numFmtId="3" fontId="36" fillId="0" borderId="14" xfId="1" applyNumberFormat="1" applyFont="1" applyFill="1" applyBorder="1" applyAlignment="1">
      <alignment horizontal="center" vertical="center"/>
    </xf>
    <xf numFmtId="169" fontId="36" fillId="0" borderId="16" xfId="0" applyNumberFormat="1" applyFont="1" applyFill="1" applyBorder="1" applyAlignment="1">
      <alignment horizontal="center" vertical="center"/>
    </xf>
    <xf numFmtId="164" fontId="18" fillId="3" borderId="20" xfId="0" applyFont="1" applyFill="1" applyBorder="1" applyAlignment="1">
      <alignment horizontal="center" wrapText="1"/>
    </xf>
    <xf numFmtId="169" fontId="18" fillId="0" borderId="20" xfId="0" applyNumberFormat="1" applyFont="1" applyFill="1" applyBorder="1" applyAlignment="1">
      <alignment horizontal="center" vertical="center"/>
    </xf>
    <xf numFmtId="164" fontId="18" fillId="3" borderId="20" xfId="0" applyFont="1" applyFill="1" applyBorder="1" applyAlignment="1">
      <alignment horizontal="center" vertical="center" wrapText="1"/>
    </xf>
    <xf numFmtId="164" fontId="18" fillId="0" borderId="20" xfId="0" applyFont="1" applyFill="1" applyBorder="1" applyAlignment="1">
      <alignment horizontal="center" vertical="center" wrapText="1"/>
    </xf>
    <xf numFmtId="16" fontId="18" fillId="3" borderId="20" xfId="0" applyNumberFormat="1" applyFont="1" applyFill="1" applyBorder="1" applyAlignment="1">
      <alignment horizontal="center" vertical="center" wrapText="1"/>
    </xf>
    <xf numFmtId="164" fontId="18" fillId="0" borderId="20" xfId="0" applyFont="1" applyFill="1" applyBorder="1" applyAlignment="1">
      <alignment horizontal="center" vertical="center"/>
    </xf>
    <xf numFmtId="164" fontId="36" fillId="3" borderId="20" xfId="0" applyFont="1" applyFill="1" applyBorder="1" applyAlignment="1">
      <alignment horizontal="center" vertical="center" wrapText="1"/>
    </xf>
    <xf numFmtId="10" fontId="35" fillId="3" borderId="20" xfId="0" applyNumberFormat="1" applyFont="1" applyFill="1" applyBorder="1" applyAlignment="1">
      <alignment horizontal="center" vertical="center"/>
    </xf>
    <xf numFmtId="3" fontId="35" fillId="3" borderId="20" xfId="1" applyNumberFormat="1" applyFont="1" applyFill="1" applyBorder="1" applyAlignment="1">
      <alignment horizontal="center" vertical="center"/>
    </xf>
    <xf numFmtId="164" fontId="37" fillId="3" borderId="20" xfId="0" applyNumberFormat="1" applyFont="1" applyFill="1" applyBorder="1" applyAlignment="1">
      <alignment horizontal="center" vertical="center"/>
    </xf>
    <xf numFmtId="169" fontId="37" fillId="3" borderId="20" xfId="0" applyNumberFormat="1" applyFont="1" applyFill="1" applyBorder="1" applyAlignment="1">
      <alignment horizontal="center" vertical="center"/>
    </xf>
    <xf numFmtId="164" fontId="18" fillId="13" borderId="24" xfId="0" applyFont="1" applyFill="1" applyBorder="1" applyAlignment="1">
      <alignment horizontal="center" vertical="center" wrapText="1"/>
    </xf>
    <xf numFmtId="165" fontId="31" fillId="9" borderId="20" xfId="2" applyNumberFormat="1" applyFont="1" applyFill="1" applyBorder="1"/>
    <xf numFmtId="164" fontId="18" fillId="0" borderId="0" xfId="0" applyFont="1"/>
    <xf numFmtId="1" fontId="26" fillId="0" borderId="26" xfId="1" applyNumberFormat="1" applyFont="1" applyFill="1" applyBorder="1" applyAlignment="1">
      <alignment horizontal="center" vertical="center"/>
    </xf>
    <xf numFmtId="164" fontId="39" fillId="3" borderId="20" xfId="0" applyFont="1" applyFill="1" applyBorder="1" applyAlignment="1">
      <alignment horizontal="center" vertical="center" wrapText="1"/>
    </xf>
    <xf numFmtId="164" fontId="40" fillId="3" borderId="0" xfId="0" applyFont="1" applyFill="1" applyAlignment="1">
      <alignment vertical="center"/>
    </xf>
    <xf numFmtId="164" fontId="11" fillId="14" borderId="1" xfId="0" applyFont="1" applyFill="1" applyBorder="1" applyAlignment="1">
      <alignment vertical="center"/>
    </xf>
    <xf numFmtId="164" fontId="11" fillId="14" borderId="20" xfId="0" applyFont="1" applyFill="1" applyBorder="1" applyAlignment="1">
      <alignment horizontal="center" vertical="center" wrapText="1"/>
    </xf>
    <xf numFmtId="164" fontId="11" fillId="14" borderId="21" xfId="0" applyFont="1" applyFill="1" applyBorder="1" applyAlignment="1">
      <alignment horizontal="center" vertical="center" wrapText="1"/>
    </xf>
    <xf numFmtId="164" fontId="11" fillId="14" borderId="4" xfId="0" applyFont="1" applyFill="1" applyBorder="1" applyAlignment="1">
      <alignment horizontal="center" vertical="center" wrapText="1"/>
    </xf>
    <xf numFmtId="9" fontId="11" fillId="14" borderId="22" xfId="11" applyFont="1" applyFill="1" applyBorder="1" applyAlignment="1">
      <alignment horizontal="center" vertical="center" wrapText="1"/>
    </xf>
    <xf numFmtId="164" fontId="5" fillId="14" borderId="21" xfId="0" applyFont="1" applyFill="1" applyBorder="1" applyAlignment="1">
      <alignment vertical="center"/>
    </xf>
    <xf numFmtId="164" fontId="5" fillId="14" borderId="4" xfId="0" applyFont="1" applyFill="1" applyBorder="1" applyAlignment="1">
      <alignment vertical="center"/>
    </xf>
    <xf numFmtId="9" fontId="5" fillId="14" borderId="22" xfId="11" applyFont="1" applyFill="1" applyBorder="1" applyAlignment="1">
      <alignment vertical="center"/>
    </xf>
    <xf numFmtId="3" fontId="11" fillId="14" borderId="20" xfId="1" applyNumberFormat="1" applyFont="1" applyFill="1" applyBorder="1" applyAlignment="1">
      <alignment horizontal="center" vertical="center"/>
    </xf>
    <xf numFmtId="10" fontId="11" fillId="14" borderId="20" xfId="0" applyNumberFormat="1" applyFont="1" applyFill="1" applyBorder="1" applyAlignment="1">
      <alignment horizontal="center" vertical="center"/>
    </xf>
    <xf numFmtId="169" fontId="11" fillId="14" borderId="20" xfId="0" applyNumberFormat="1" applyFont="1" applyFill="1" applyBorder="1" applyAlignment="1">
      <alignment horizontal="center" vertical="center"/>
    </xf>
    <xf numFmtId="165" fontId="11" fillId="14" borderId="20" xfId="0" applyNumberFormat="1" applyFont="1" applyFill="1" applyBorder="1" applyAlignment="1">
      <alignment horizontal="center" vertical="center"/>
    </xf>
    <xf numFmtId="9" fontId="11" fillId="14" borderId="20" xfId="11" applyFont="1" applyFill="1" applyBorder="1" applyAlignment="1">
      <alignment horizontal="center" vertical="center"/>
    </xf>
    <xf numFmtId="169" fontId="32" fillId="14" borderId="20" xfId="0" applyNumberFormat="1" applyFont="1" applyFill="1" applyBorder="1" applyAlignment="1">
      <alignment horizontal="center" vertical="center"/>
    </xf>
    <xf numFmtId="165" fontId="32" fillId="14" borderId="20" xfId="0" applyNumberFormat="1" applyFont="1" applyFill="1" applyBorder="1" applyAlignment="1">
      <alignment horizontal="center" vertical="center"/>
    </xf>
    <xf numFmtId="9" fontId="32" fillId="14" borderId="20" xfId="11" applyFont="1" applyFill="1" applyBorder="1" applyAlignment="1">
      <alignment horizontal="center" vertical="center"/>
    </xf>
    <xf numFmtId="9" fontId="36" fillId="0" borderId="4" xfId="11" applyFont="1" applyFill="1" applyBorder="1" applyAlignment="1">
      <alignment horizontal="center" vertical="center"/>
    </xf>
    <xf numFmtId="9" fontId="36" fillId="0" borderId="14" xfId="11" applyFont="1" applyFill="1" applyBorder="1" applyAlignment="1">
      <alignment horizontal="center" vertical="center"/>
    </xf>
    <xf numFmtId="3" fontId="31" fillId="15" borderId="20" xfId="1" applyNumberFormat="1" applyFont="1" applyFill="1" applyBorder="1" applyAlignment="1">
      <alignment horizontal="center" vertical="center"/>
    </xf>
    <xf numFmtId="164" fontId="41" fillId="3" borderId="0" xfId="0" applyFont="1" applyFill="1" applyAlignment="1">
      <alignment vertical="center"/>
    </xf>
    <xf numFmtId="2" fontId="0" fillId="3" borderId="0" xfId="11" applyNumberFormat="1" applyFont="1" applyFill="1" applyAlignment="1">
      <alignment vertical="center"/>
    </xf>
    <xf numFmtId="177" fontId="8" fillId="0" borderId="0" xfId="2" applyNumberFormat="1" applyFont="1" applyFill="1" applyBorder="1"/>
    <xf numFmtId="164" fontId="8" fillId="0" borderId="0" xfId="0" applyFont="1" applyFill="1" applyBorder="1"/>
    <xf numFmtId="164" fontId="10" fillId="0" borderId="0" xfId="0" applyFont="1" applyFill="1" applyBorder="1"/>
    <xf numFmtId="44" fontId="8" fillId="0" borderId="0" xfId="2" applyNumberFormat="1" applyFont="1" applyFill="1" applyBorder="1"/>
    <xf numFmtId="164" fontId="31" fillId="0" borderId="0" xfId="0" applyFont="1" applyFill="1" applyBorder="1"/>
    <xf numFmtId="164" fontId="34" fillId="0" borderId="0" xfId="0" applyFont="1" applyFill="1" applyBorder="1"/>
    <xf numFmtId="164" fontId="8" fillId="3" borderId="0" xfId="0" applyFont="1" applyFill="1" applyAlignment="1">
      <alignment vertical="center"/>
    </xf>
    <xf numFmtId="164" fontId="8" fillId="3" borderId="0" xfId="0" applyFont="1" applyFill="1" applyBorder="1" applyAlignment="1">
      <alignment vertical="center"/>
    </xf>
    <xf numFmtId="177" fontId="8" fillId="9" borderId="20" xfId="2" applyNumberFormat="1" applyFont="1" applyFill="1" applyBorder="1"/>
    <xf numFmtId="44" fontId="8" fillId="9" borderId="20" xfId="2" applyNumberFormat="1" applyFont="1" applyFill="1" applyBorder="1"/>
    <xf numFmtId="164" fontId="18" fillId="0" borderId="24" xfId="0" applyFont="1" applyFill="1" applyBorder="1" applyAlignment="1">
      <alignment horizontal="center" vertical="center" wrapText="1"/>
    </xf>
    <xf numFmtId="164" fontId="38" fillId="0" borderId="20" xfId="0" applyNumberFormat="1" applyFont="1" applyFill="1" applyBorder="1" applyAlignment="1">
      <alignment horizontal="center" vertical="center"/>
    </xf>
    <xf numFmtId="169" fontId="38" fillId="0" borderId="20" xfId="0" applyNumberFormat="1" applyFont="1" applyFill="1" applyBorder="1" applyAlignment="1">
      <alignment horizontal="center" vertical="center"/>
    </xf>
    <xf numFmtId="16" fontId="18" fillId="0" borderId="20" xfId="0" applyNumberFormat="1" applyFont="1" applyFill="1" applyBorder="1" applyAlignment="1">
      <alignment horizontal="center" vertical="center" wrapText="1"/>
    </xf>
    <xf numFmtId="169" fontId="18" fillId="10" borderId="20" xfId="0" applyNumberFormat="1" applyFont="1" applyFill="1" applyBorder="1" applyAlignment="1">
      <alignment horizontal="center" vertical="center"/>
    </xf>
    <xf numFmtId="164" fontId="31" fillId="3" borderId="0" xfId="0" applyNumberFormat="1" applyFont="1" applyFill="1" applyAlignment="1">
      <alignment vertical="center"/>
    </xf>
    <xf numFmtId="164" fontId="18" fillId="5" borderId="21" xfId="0" applyFont="1" applyFill="1" applyBorder="1" applyAlignment="1">
      <alignment horizontal="center" vertical="center"/>
    </xf>
    <xf numFmtId="164" fontId="18" fillId="5" borderId="4" xfId="0" applyFont="1" applyFill="1" applyBorder="1" applyAlignment="1">
      <alignment horizontal="center" vertical="center"/>
    </xf>
    <xf numFmtId="164" fontId="18" fillId="5" borderId="22" xfId="0" applyFont="1" applyFill="1" applyBorder="1" applyAlignment="1">
      <alignment horizontal="center" vertical="center"/>
    </xf>
    <xf numFmtId="164" fontId="32" fillId="14" borderId="20" xfId="0" applyFont="1" applyFill="1" applyBorder="1" applyAlignment="1">
      <alignment horizontal="right" vertical="center"/>
    </xf>
    <xf numFmtId="164" fontId="35" fillId="0" borderId="21" xfId="0" applyFont="1" applyFill="1" applyBorder="1" applyAlignment="1">
      <alignment horizontal="left" vertical="center"/>
    </xf>
    <xf numFmtId="164" fontId="35" fillId="0" borderId="4" xfId="0" applyFont="1" applyFill="1" applyBorder="1" applyAlignment="1">
      <alignment horizontal="left" vertical="center"/>
    </xf>
    <xf numFmtId="164" fontId="11" fillId="14" borderId="20" xfId="0" applyFont="1" applyFill="1" applyBorder="1" applyAlignment="1">
      <alignment horizontal="right" vertical="center"/>
    </xf>
    <xf numFmtId="169" fontId="11" fillId="14" borderId="21" xfId="0" applyNumberFormat="1" applyFont="1" applyFill="1" applyBorder="1" applyAlignment="1">
      <alignment horizontal="center" vertical="center"/>
    </xf>
    <xf numFmtId="169" fontId="11" fillId="14" borderId="22" xfId="0" applyNumberFormat="1" applyFont="1" applyFill="1" applyBorder="1" applyAlignment="1">
      <alignment horizontal="center" vertical="center"/>
    </xf>
    <xf numFmtId="164" fontId="11" fillId="14" borderId="2" xfId="0" applyFont="1" applyFill="1" applyBorder="1" applyAlignment="1">
      <alignment horizontal="center" vertical="center"/>
    </xf>
    <xf numFmtId="164" fontId="11" fillId="14" borderId="4" xfId="0" applyFont="1" applyFill="1" applyBorder="1" applyAlignment="1">
      <alignment horizontal="center" vertical="center"/>
    </xf>
    <xf numFmtId="164" fontId="11" fillId="14" borderId="3" xfId="0" applyFont="1" applyFill="1" applyBorder="1" applyAlignment="1">
      <alignment horizontal="center" vertical="center"/>
    </xf>
    <xf numFmtId="164" fontId="12" fillId="3" borderId="2" xfId="0" applyFont="1" applyFill="1" applyBorder="1" applyAlignment="1">
      <alignment horizontal="left" vertical="center"/>
    </xf>
    <xf numFmtId="164" fontId="12" fillId="3" borderId="4" xfId="0" applyFont="1" applyFill="1" applyBorder="1" applyAlignment="1">
      <alignment horizontal="left" vertical="center"/>
    </xf>
    <xf numFmtId="164" fontId="12" fillId="3" borderId="3" xfId="0" applyFont="1" applyFill="1" applyBorder="1" applyAlignment="1">
      <alignment horizontal="left" vertical="center"/>
    </xf>
    <xf numFmtId="14" fontId="12" fillId="3" borderId="2" xfId="0" applyNumberFormat="1" applyFont="1" applyFill="1" applyBorder="1" applyAlignment="1">
      <alignment horizontal="left" vertical="center"/>
    </xf>
    <xf numFmtId="14" fontId="12" fillId="3" borderId="4" xfId="0" applyNumberFormat="1" applyFont="1" applyFill="1" applyBorder="1" applyAlignment="1">
      <alignment horizontal="left" vertical="center"/>
    </xf>
    <xf numFmtId="14" fontId="12" fillId="3" borderId="3" xfId="0" applyNumberFormat="1" applyFont="1" applyFill="1" applyBorder="1" applyAlignment="1">
      <alignment horizontal="left" vertical="center"/>
    </xf>
    <xf numFmtId="44" fontId="12" fillId="3" borderId="2" xfId="2" applyNumberFormat="1" applyFont="1" applyFill="1" applyBorder="1" applyAlignment="1">
      <alignment horizontal="left" vertical="center"/>
    </xf>
    <xf numFmtId="44" fontId="12" fillId="3" borderId="4" xfId="2" applyNumberFormat="1" applyFont="1" applyFill="1" applyBorder="1" applyAlignment="1">
      <alignment horizontal="left" vertical="center"/>
    </xf>
    <xf numFmtId="44" fontId="12" fillId="3" borderId="3" xfId="2" applyNumberFormat="1" applyFont="1" applyFill="1" applyBorder="1" applyAlignment="1">
      <alignment horizontal="left" vertical="center"/>
    </xf>
    <xf numFmtId="164" fontId="5" fillId="7" borderId="31" xfId="0" applyFont="1" applyFill="1" applyBorder="1" applyAlignment="1">
      <alignment horizontal="center"/>
    </xf>
    <xf numFmtId="164" fontId="0" fillId="0" borderId="32" xfId="0" applyBorder="1" applyAlignment="1">
      <alignment horizontal="left" vertical="center" wrapText="1"/>
    </xf>
    <xf numFmtId="164" fontId="0" fillId="0" borderId="33" xfId="0" applyBorder="1" applyAlignment="1">
      <alignment horizontal="left" vertical="center"/>
    </xf>
    <xf numFmtId="164" fontId="0" fillId="0" borderId="34" xfId="0" applyBorder="1" applyAlignment="1">
      <alignment horizontal="left" vertical="center"/>
    </xf>
    <xf numFmtId="164" fontId="0" fillId="0" borderId="35" xfId="0" applyBorder="1" applyAlignment="1">
      <alignment horizontal="left" vertical="center"/>
    </xf>
    <xf numFmtId="164" fontId="0" fillId="0" borderId="0" xfId="0" applyBorder="1" applyAlignment="1">
      <alignment horizontal="left" vertical="center"/>
    </xf>
    <xf numFmtId="164" fontId="0" fillId="0" borderId="36" xfId="0" applyBorder="1" applyAlignment="1">
      <alignment horizontal="left" vertical="center"/>
    </xf>
    <xf numFmtId="164" fontId="0" fillId="0" borderId="37" xfId="0" applyBorder="1" applyAlignment="1">
      <alignment horizontal="left" vertical="center"/>
    </xf>
    <xf numFmtId="164" fontId="0" fillId="0" borderId="31" xfId="0" applyBorder="1" applyAlignment="1">
      <alignment horizontal="left" vertical="center"/>
    </xf>
    <xf numFmtId="164" fontId="0" fillId="0" borderId="38" xfId="0" applyBorder="1" applyAlignment="1">
      <alignment horizontal="left" vertical="center"/>
    </xf>
    <xf numFmtId="164" fontId="11" fillId="12" borderId="2" xfId="0" applyFont="1" applyFill="1" applyBorder="1" applyAlignment="1">
      <alignment horizontal="center" vertical="center"/>
    </xf>
    <xf numFmtId="164" fontId="11" fillId="12" borderId="4" xfId="0" applyFont="1" applyFill="1" applyBorder="1" applyAlignment="1">
      <alignment horizontal="center" vertical="center"/>
    </xf>
    <xf numFmtId="164" fontId="11" fillId="12" borderId="3" xfId="0" applyFont="1" applyFill="1" applyBorder="1" applyAlignment="1">
      <alignment horizontal="center" vertical="center"/>
    </xf>
    <xf numFmtId="44" fontId="12" fillId="3" borderId="2" xfId="2" applyFont="1" applyFill="1" applyBorder="1" applyAlignment="1">
      <alignment horizontal="left" vertical="center"/>
    </xf>
    <xf numFmtId="44" fontId="12" fillId="3" borderId="3" xfId="2" applyFont="1" applyFill="1" applyBorder="1" applyAlignment="1">
      <alignment horizontal="left" vertical="center"/>
    </xf>
    <xf numFmtId="164" fontId="32" fillId="12" borderId="20" xfId="0" applyFont="1" applyFill="1" applyBorder="1" applyAlignment="1">
      <alignment horizontal="right" vertical="center"/>
    </xf>
    <xf numFmtId="164" fontId="11" fillId="12" borderId="20" xfId="0" applyFont="1" applyFill="1" applyBorder="1" applyAlignment="1">
      <alignment horizontal="right" vertical="center"/>
    </xf>
    <xf numFmtId="169" fontId="11" fillId="12" borderId="21" xfId="0" applyNumberFormat="1" applyFont="1" applyFill="1" applyBorder="1" applyAlignment="1">
      <alignment horizontal="center" vertical="center"/>
    </xf>
    <xf numFmtId="169" fontId="11" fillId="12" borderId="22" xfId="0" applyNumberFormat="1" applyFont="1" applyFill="1" applyBorder="1" applyAlignment="1">
      <alignment horizontal="center" vertical="center"/>
    </xf>
    <xf numFmtId="164" fontId="12" fillId="5" borderId="21" xfId="0" applyFont="1" applyFill="1" applyBorder="1" applyAlignment="1">
      <alignment horizontal="center" vertical="center"/>
    </xf>
    <xf numFmtId="164" fontId="12" fillId="5" borderId="4" xfId="0" applyFont="1" applyFill="1" applyBorder="1" applyAlignment="1">
      <alignment horizontal="center" vertical="center"/>
    </xf>
    <xf numFmtId="164" fontId="12" fillId="5" borderId="22" xfId="0" applyFont="1" applyFill="1" applyBorder="1" applyAlignment="1">
      <alignment horizontal="center" vertical="center"/>
    </xf>
    <xf numFmtId="164" fontId="8" fillId="0" borderId="21" xfId="0" applyFont="1" applyBorder="1" applyAlignment="1">
      <alignment horizontal="center"/>
    </xf>
    <xf numFmtId="164" fontId="8" fillId="0" borderId="4" xfId="0" applyFont="1" applyBorder="1" applyAlignment="1">
      <alignment horizontal="center"/>
    </xf>
    <xf numFmtId="164" fontId="8" fillId="0" borderId="22" xfId="0" applyFont="1" applyBorder="1" applyAlignment="1">
      <alignment horizontal="center"/>
    </xf>
    <xf numFmtId="164" fontId="12" fillId="0" borderId="24" xfId="0" applyFont="1" applyFill="1" applyBorder="1" applyAlignment="1">
      <alignment horizontal="center" vertical="center"/>
    </xf>
    <xf numFmtId="164" fontId="12" fillId="0" borderId="16" xfId="0" applyFont="1" applyFill="1" applyBorder="1" applyAlignment="1">
      <alignment horizontal="center" vertical="center"/>
    </xf>
    <xf numFmtId="164" fontId="17" fillId="0" borderId="21" xfId="0" applyFont="1" applyFill="1" applyBorder="1" applyAlignment="1">
      <alignment horizontal="left" vertical="center"/>
    </xf>
    <xf numFmtId="164" fontId="17" fillId="0" borderId="4" xfId="0" applyFont="1" applyFill="1" applyBorder="1" applyAlignment="1">
      <alignment horizontal="left" vertical="center"/>
    </xf>
    <xf numFmtId="164" fontId="0" fillId="11" borderId="28" xfId="0" applyFill="1" applyBorder="1" applyAlignment="1">
      <alignment horizontal="center"/>
    </xf>
    <xf numFmtId="164" fontId="0" fillId="11" borderId="29" xfId="0" applyFill="1" applyBorder="1" applyAlignment="1">
      <alignment horizontal="center"/>
    </xf>
    <xf numFmtId="164" fontId="0" fillId="11" borderId="30" xfId="0" applyFill="1" applyBorder="1" applyAlignment="1">
      <alignment horizontal="center"/>
    </xf>
    <xf numFmtId="164" fontId="29" fillId="0" borderId="26" xfId="0" applyFont="1" applyBorder="1" applyAlignment="1">
      <alignment horizontal="center" vertical="center"/>
    </xf>
    <xf numFmtId="14" fontId="29" fillId="0" borderId="26" xfId="0" applyNumberFormat="1" applyFont="1" applyBorder="1" applyAlignment="1">
      <alignment horizontal="center" vertical="center"/>
    </xf>
    <xf numFmtId="44" fontId="29" fillId="0" borderId="26" xfId="2" applyFont="1" applyBorder="1" applyAlignment="1">
      <alignment horizontal="center" vertical="center"/>
    </xf>
    <xf numFmtId="164" fontId="27" fillId="11" borderId="28" xfId="0" applyFont="1" applyFill="1" applyBorder="1" applyAlignment="1">
      <alignment horizontal="center"/>
    </xf>
    <xf numFmtId="164" fontId="27" fillId="11" borderId="29" xfId="0" applyFont="1" applyFill="1" applyBorder="1" applyAlignment="1">
      <alignment horizontal="center"/>
    </xf>
    <xf numFmtId="164" fontId="27" fillId="11" borderId="30" xfId="0" applyFont="1" applyFill="1" applyBorder="1" applyAlignment="1">
      <alignment horizontal="center"/>
    </xf>
    <xf numFmtId="164" fontId="11" fillId="2" borderId="20" xfId="0" applyFont="1" applyFill="1" applyBorder="1" applyAlignment="1">
      <alignment horizontal="right" vertical="center"/>
    </xf>
    <xf numFmtId="169" fontId="12" fillId="0" borderId="24" xfId="0" applyNumberFormat="1" applyFont="1" applyFill="1" applyBorder="1" applyAlignment="1">
      <alignment horizontal="center" vertical="center"/>
    </xf>
    <xf numFmtId="169" fontId="12" fillId="0" borderId="16" xfId="0" applyNumberFormat="1" applyFont="1" applyFill="1" applyBorder="1" applyAlignment="1">
      <alignment horizontal="center" vertical="center"/>
    </xf>
    <xf numFmtId="165" fontId="12" fillId="0" borderId="24" xfId="0" applyNumberFormat="1" applyFont="1" applyFill="1" applyBorder="1" applyAlignment="1">
      <alignment horizontal="center" vertical="center"/>
    </xf>
    <xf numFmtId="165" fontId="12" fillId="0" borderId="16" xfId="0" applyNumberFormat="1" applyFont="1" applyFill="1" applyBorder="1" applyAlignment="1">
      <alignment horizontal="center" vertical="center"/>
    </xf>
    <xf numFmtId="169" fontId="11" fillId="2" borderId="21" xfId="0" applyNumberFormat="1" applyFont="1" applyFill="1" applyBorder="1" applyAlignment="1">
      <alignment horizontal="center" vertical="center"/>
    </xf>
    <xf numFmtId="169" fontId="11" fillId="2" borderId="22" xfId="0" applyNumberFormat="1" applyFont="1" applyFill="1" applyBorder="1" applyAlignment="1">
      <alignment horizontal="center" vertical="center"/>
    </xf>
    <xf numFmtId="164" fontId="11" fillId="2" borderId="2" xfId="0" applyFont="1" applyFill="1" applyBorder="1" applyAlignment="1">
      <alignment horizontal="center" vertical="center"/>
    </xf>
    <xf numFmtId="164" fontId="11" fillId="2" borderId="4" xfId="0" applyFont="1" applyFill="1" applyBorder="1" applyAlignment="1">
      <alignment horizontal="center" vertical="center"/>
    </xf>
    <xf numFmtId="164" fontId="11" fillId="2" borderId="3" xfId="0" applyFont="1" applyFill="1" applyBorder="1" applyAlignment="1">
      <alignment horizontal="center" vertical="center"/>
    </xf>
    <xf numFmtId="164" fontId="12" fillId="0" borderId="10" xfId="0" applyFont="1" applyFill="1" applyBorder="1" applyAlignment="1">
      <alignment horizontal="center" vertical="center"/>
    </xf>
    <xf numFmtId="164" fontId="13" fillId="0" borderId="24" xfId="0" applyNumberFormat="1" applyFont="1" applyFill="1" applyBorder="1" applyAlignment="1">
      <alignment horizontal="center" vertical="center"/>
    </xf>
    <xf numFmtId="164" fontId="13" fillId="0" borderId="16" xfId="0" applyNumberFormat="1" applyFont="1" applyFill="1" applyBorder="1" applyAlignment="1">
      <alignment horizontal="center" vertical="center"/>
    </xf>
    <xf numFmtId="164" fontId="11" fillId="2" borderId="21" xfId="0" applyFont="1" applyFill="1" applyBorder="1" applyAlignment="1">
      <alignment horizontal="center" vertical="center"/>
    </xf>
    <xf numFmtId="164" fontId="11" fillId="2" borderId="22" xfId="0" applyFont="1" applyFill="1" applyBorder="1" applyAlignment="1">
      <alignment horizontal="center" vertical="center"/>
    </xf>
    <xf numFmtId="164" fontId="11" fillId="2" borderId="0" xfId="0" applyFont="1" applyFill="1" applyBorder="1" applyAlignment="1">
      <alignment horizontal="center" vertical="center" wrapText="1"/>
    </xf>
    <xf numFmtId="164" fontId="11" fillId="2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1" fillId="7" borderId="2" xfId="0" applyFont="1" applyFill="1" applyBorder="1" applyAlignment="1">
      <alignment horizontal="center" vertical="center"/>
    </xf>
    <xf numFmtId="164" fontId="11" fillId="7" borderId="4" xfId="0" applyFont="1" applyFill="1" applyBorder="1" applyAlignment="1">
      <alignment horizontal="center" vertical="center"/>
    </xf>
    <xf numFmtId="164" fontId="11" fillId="7" borderId="3" xfId="0" applyFont="1" applyFill="1" applyBorder="1" applyAlignment="1">
      <alignment horizontal="center" vertical="center"/>
    </xf>
    <xf numFmtId="164" fontId="2" fillId="3" borderId="5" xfId="0" applyFont="1" applyFill="1" applyBorder="1" applyAlignment="1">
      <alignment horizontal="center" vertical="center"/>
    </xf>
    <xf numFmtId="164" fontId="2" fillId="3" borderId="9" xfId="0" applyFont="1" applyFill="1" applyBorder="1" applyAlignment="1">
      <alignment horizontal="center" vertical="center"/>
    </xf>
    <xf numFmtId="164" fontId="2" fillId="3" borderId="23" xfId="0" applyFont="1" applyFill="1" applyBorder="1" applyAlignment="1">
      <alignment horizontal="center" vertical="center"/>
    </xf>
    <xf numFmtId="164" fontId="2" fillId="3" borderId="12" xfId="0" applyFont="1" applyFill="1" applyBorder="1" applyAlignment="1">
      <alignment horizontal="center" vertical="center"/>
    </xf>
    <xf numFmtId="164" fontId="3" fillId="3" borderId="6" xfId="0" applyFont="1" applyFill="1" applyBorder="1" applyAlignment="1">
      <alignment horizontal="center" vertical="center"/>
    </xf>
    <xf numFmtId="164" fontId="3" fillId="3" borderId="1" xfId="0" applyFont="1" applyFill="1" applyBorder="1" applyAlignment="1">
      <alignment horizontal="center" vertical="center"/>
    </xf>
    <xf numFmtId="164" fontId="3" fillId="3" borderId="24" xfId="0" applyFont="1" applyFill="1" applyBorder="1" applyAlignment="1">
      <alignment horizontal="center" vertical="center"/>
    </xf>
    <xf numFmtId="164" fontId="3" fillId="3" borderId="13" xfId="0" applyFont="1" applyFill="1" applyBorder="1" applyAlignment="1">
      <alignment horizontal="center" vertical="center"/>
    </xf>
  </cellXfs>
  <cellStyles count="12">
    <cellStyle name="Millares" xfId="1" builtinId="3"/>
    <cellStyle name="Millares 2" xfId="7"/>
    <cellStyle name="Moneda" xfId="2" builtinId="4"/>
    <cellStyle name="Normal" xfId="0" builtinId="0"/>
    <cellStyle name="Normal 2" xfId="6"/>
    <cellStyle name="Normal 2 2" xfId="3"/>
    <cellStyle name="Normal 3" xfId="4"/>
    <cellStyle name="Normal 4" xfId="5"/>
    <cellStyle name="Normal 5" xfId="8"/>
    <cellStyle name="Normal 8" xfId="9"/>
    <cellStyle name="Normal 9 3" xfId="10"/>
    <cellStyle name="Porcentaje" xfId="11" builtinId="5"/>
  </cellStyles>
  <dxfs count="226"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</dxfs>
  <tableStyles count="0" defaultTableStyle="TableStyleMedium9" defaultPivotStyle="PivotStyleLight16"/>
  <colors>
    <mruColors>
      <color rgb="FF2850A0"/>
      <color rgb="FF2D61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Distribución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1B-4CEE-911A-67C80FD08E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1B-4CEE-911A-67C80FD08E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1B-4CEE-911A-67C80FD08E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1B-4CEE-911A-67C80FD08E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1B-4CEE-911A-67C80FD08E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F1B-4CEE-911A-67C80FD08E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F1B-4CEE-911A-67C80FD08E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F1B-4CEE-911A-67C80FD08EB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'Enfagrow Share'!$B$16:$B$21</c:f>
              <c:strCache>
                <c:ptCount val="6"/>
                <c:pt idx="0">
                  <c:v>DISPLAY</c:v>
                </c:pt>
                <c:pt idx="1">
                  <c:v>MAMI TIPS</c:v>
                </c:pt>
                <c:pt idx="2">
                  <c:v>IMS</c:v>
                </c:pt>
                <c:pt idx="3">
                  <c:v>FACEBOOK</c:v>
                </c:pt>
                <c:pt idx="4">
                  <c:v>TAG</c:v>
                </c:pt>
                <c:pt idx="5">
                  <c:v>SET UP</c:v>
                </c:pt>
              </c:strCache>
            </c:strRef>
          </c:cat>
          <c:val>
            <c:numRef>
              <c:f>'Enfagrow Share'!$D$16:$D$21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1B-4CEE-911A-67C80FD08E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639535</xdr:colOff>
      <xdr:row>12</xdr:row>
      <xdr:rowOff>240847</xdr:rowOff>
    </xdr:from>
    <xdr:to>
      <xdr:col>16</xdr:col>
      <xdr:colOff>136071</xdr:colOff>
      <xdr:row>18</xdr:row>
      <xdr:rowOff>231321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0</xdr:row>
      <xdr:rowOff>123825</xdr:rowOff>
    </xdr:from>
    <xdr:to>
      <xdr:col>8</xdr:col>
      <xdr:colOff>711653</xdr:colOff>
      <xdr:row>7</xdr:row>
      <xdr:rowOff>180975</xdr:rowOff>
    </xdr:to>
    <xdr:pic>
      <xdr:nvPicPr>
        <xdr:cNvPr id="8196" name="1 Imagen" descr="Pixel 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39" r="2"/>
        <a:stretch>
          <a:fillRect/>
        </a:stretch>
      </xdr:blipFill>
      <xdr:spPr bwMode="auto">
        <a:xfrm>
          <a:off x="14763750" y="123825"/>
          <a:ext cx="1314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showGridLines="0" tabSelected="1" zoomScale="50" zoomScaleNormal="50" workbookViewId="0">
      <pane ySplit="10" topLeftCell="A11" activePane="bottomLeft" state="frozen"/>
      <selection pane="bottomLeft" activeCell="A11" sqref="A11"/>
    </sheetView>
  </sheetViews>
  <sheetFormatPr baseColWidth="10" defaultRowHeight="21" x14ac:dyDescent="0.35"/>
  <cols>
    <col min="1" max="1" width="4" style="1" customWidth="1"/>
    <col min="2" max="2" width="33.85546875" style="2" customWidth="1"/>
    <col min="3" max="3" width="34.7109375" style="1" customWidth="1"/>
    <col min="4" max="4" width="45.28515625" style="1" customWidth="1"/>
    <col min="5" max="5" width="46.5703125" style="1" customWidth="1"/>
    <col min="6" max="6" width="43.85546875" style="1" customWidth="1"/>
    <col min="7" max="7" width="35.28515625" style="1" customWidth="1"/>
    <col min="8" max="9" width="18.7109375" style="1" customWidth="1"/>
    <col min="10" max="11" width="21.7109375" style="1" customWidth="1"/>
    <col min="12" max="12" width="24.5703125" style="1" customWidth="1"/>
    <col min="13" max="13" width="24.140625" style="1" customWidth="1"/>
    <col min="14" max="14" width="22.85546875" style="1" customWidth="1"/>
    <col min="15" max="15" width="5.140625" style="4" customWidth="1"/>
    <col min="16" max="16" width="21.7109375" style="1" customWidth="1"/>
    <col min="17" max="17" width="25.7109375" style="1" customWidth="1"/>
    <col min="18" max="18" width="19.85546875" style="126" customWidth="1"/>
    <col min="19" max="19" width="15.28515625" style="1" bestFit="1" customWidth="1"/>
    <col min="20" max="20" width="11.42578125" style="1"/>
    <col min="21" max="21" width="15.42578125" style="1" bestFit="1" customWidth="1"/>
    <col min="22" max="22" width="21.85546875" style="1" customWidth="1"/>
    <col min="23" max="23" width="19.5703125" style="1" customWidth="1"/>
    <col min="24" max="16384" width="11.42578125" style="1"/>
  </cols>
  <sheetData>
    <row r="1" spans="1:20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7"/>
      <c r="P1" s="5"/>
      <c r="Q1" s="5"/>
      <c r="R1" s="115"/>
      <c r="S1" s="5"/>
      <c r="T1" s="5"/>
    </row>
    <row r="2" spans="1:20" ht="20.25" customHeight="1" x14ac:dyDescent="0.35">
      <c r="A2" s="5"/>
      <c r="B2" s="332" t="s">
        <v>3</v>
      </c>
      <c r="C2" s="381" t="s">
        <v>32</v>
      </c>
      <c r="D2" s="382"/>
      <c r="E2" s="383"/>
      <c r="F2" s="5"/>
      <c r="G2" s="5"/>
      <c r="H2" s="5"/>
      <c r="I2" s="5"/>
      <c r="J2" s="5"/>
      <c r="K2" s="5"/>
      <c r="L2" s="5"/>
      <c r="M2" s="5"/>
      <c r="N2" s="7"/>
      <c r="O2" s="5"/>
      <c r="P2" s="5"/>
      <c r="Q2" s="5"/>
      <c r="R2" s="115"/>
      <c r="S2" s="5"/>
    </row>
    <row r="3" spans="1:20" ht="3.75" customHeight="1" x14ac:dyDescent="0.35">
      <c r="A3" s="7"/>
      <c r="B3" s="8"/>
      <c r="C3" s="9"/>
      <c r="D3" s="9"/>
      <c r="E3" s="1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116"/>
      <c r="S3" s="7"/>
    </row>
    <row r="4" spans="1:20" ht="14.25" customHeight="1" x14ac:dyDescent="0.35">
      <c r="A4" s="5"/>
      <c r="B4" s="332" t="s">
        <v>4</v>
      </c>
      <c r="C4" s="381" t="s">
        <v>50</v>
      </c>
      <c r="D4" s="382"/>
      <c r="E4" s="383"/>
      <c r="F4" s="5"/>
      <c r="G4" s="5"/>
      <c r="H4" s="5"/>
      <c r="I4" s="5"/>
      <c r="J4" s="5"/>
      <c r="K4" s="5"/>
      <c r="L4" s="5"/>
      <c r="M4" s="5"/>
      <c r="N4" s="7"/>
      <c r="O4" s="5"/>
      <c r="P4" s="5"/>
      <c r="Q4" s="5"/>
      <c r="R4" s="115"/>
      <c r="S4" s="5"/>
    </row>
    <row r="5" spans="1:20" ht="3.75" customHeight="1" x14ac:dyDescent="0.35">
      <c r="A5" s="7"/>
      <c r="B5" s="8"/>
      <c r="C5" s="9"/>
      <c r="D5" s="9"/>
      <c r="E5" s="10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116"/>
      <c r="S5" s="7"/>
    </row>
    <row r="6" spans="1:20" ht="15.75" customHeight="1" x14ac:dyDescent="0.35">
      <c r="A6" s="5"/>
      <c r="B6" s="332" t="s">
        <v>5</v>
      </c>
      <c r="C6" s="381" t="s">
        <v>17</v>
      </c>
      <c r="D6" s="382"/>
      <c r="E6" s="383"/>
      <c r="F6" s="5"/>
      <c r="G6" s="5"/>
      <c r="H6" s="5"/>
      <c r="I6" s="5"/>
      <c r="J6" s="5"/>
      <c r="K6" s="5"/>
      <c r="L6" s="5"/>
      <c r="M6" s="5"/>
      <c r="N6" s="7"/>
      <c r="O6" s="5"/>
      <c r="P6" s="5"/>
      <c r="Q6" s="5"/>
      <c r="R6" s="115"/>
      <c r="S6" s="5"/>
    </row>
    <row r="7" spans="1:20" ht="3.75" customHeight="1" x14ac:dyDescent="0.35">
      <c r="A7" s="7"/>
      <c r="B7" s="8"/>
      <c r="C7" s="9"/>
      <c r="D7" s="9"/>
      <c r="E7" s="10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16"/>
      <c r="S7" s="7"/>
    </row>
    <row r="8" spans="1:20" ht="14.25" customHeight="1" x14ac:dyDescent="0.35">
      <c r="A8" s="5"/>
      <c r="B8" s="332" t="s">
        <v>6</v>
      </c>
      <c r="C8" s="384">
        <v>42767</v>
      </c>
      <c r="D8" s="385"/>
      <c r="E8" s="386"/>
      <c r="F8" s="11"/>
      <c r="G8" s="5"/>
      <c r="H8" s="5"/>
      <c r="I8" s="5"/>
      <c r="J8" s="5"/>
      <c r="K8" s="5"/>
      <c r="L8" s="5"/>
      <c r="M8" s="5"/>
      <c r="N8" s="7"/>
      <c r="O8" s="5"/>
      <c r="P8" s="5"/>
      <c r="Q8" s="5"/>
      <c r="R8" s="115"/>
      <c r="S8" s="41"/>
    </row>
    <row r="9" spans="1:20" ht="3.75" customHeight="1" x14ac:dyDescent="0.35">
      <c r="A9" s="7"/>
      <c r="B9" s="8"/>
      <c r="C9" s="9"/>
      <c r="D9" s="9"/>
      <c r="E9" s="10"/>
      <c r="F9" s="14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116"/>
      <c r="S9" s="42"/>
    </row>
    <row r="10" spans="1:20" s="3" customFormat="1" ht="15.75" customHeight="1" x14ac:dyDescent="0.35">
      <c r="A10" s="5"/>
      <c r="B10" s="332" t="s">
        <v>16</v>
      </c>
      <c r="C10" s="387">
        <v>3.2650000000000001</v>
      </c>
      <c r="D10" s="388"/>
      <c r="E10" s="389"/>
      <c r="F10" s="11"/>
      <c r="G10" s="5"/>
      <c r="H10" s="5"/>
      <c r="I10" s="5"/>
      <c r="J10" s="5"/>
      <c r="K10" s="5"/>
      <c r="L10" s="5"/>
      <c r="M10" s="5"/>
      <c r="N10" s="7"/>
      <c r="O10" s="5"/>
      <c r="P10" s="5"/>
      <c r="Q10" s="5"/>
      <c r="R10" s="115"/>
      <c r="S10" s="41"/>
    </row>
    <row r="11" spans="1:20" s="3" customFormat="1" ht="26.25" customHeight="1" x14ac:dyDescent="0.35">
      <c r="A11" s="5"/>
      <c r="B11" s="5"/>
      <c r="C11" s="41"/>
      <c r="D11" s="41"/>
      <c r="E11" s="5"/>
      <c r="F11" s="5"/>
      <c r="G11" s="5"/>
      <c r="H11" s="5"/>
      <c r="I11" s="5"/>
      <c r="J11" s="352"/>
      <c r="K11" s="5"/>
      <c r="L11" s="5"/>
      <c r="M11" s="5"/>
      <c r="N11" s="5"/>
      <c r="O11" s="7"/>
      <c r="P11" s="5"/>
      <c r="Q11" s="5"/>
      <c r="R11" s="115"/>
      <c r="S11" s="5"/>
      <c r="T11" s="41"/>
    </row>
    <row r="12" spans="1:20" ht="39.75" customHeight="1" x14ac:dyDescent="0.35">
      <c r="A12" s="15"/>
      <c r="B12" s="333" t="s">
        <v>7</v>
      </c>
      <c r="C12" s="333" t="s">
        <v>18</v>
      </c>
      <c r="D12" s="333" t="s">
        <v>203</v>
      </c>
      <c r="E12" s="333" t="s">
        <v>19</v>
      </c>
      <c r="F12" s="333" t="s">
        <v>20</v>
      </c>
      <c r="G12" s="333" t="s">
        <v>8</v>
      </c>
      <c r="H12" s="333" t="s">
        <v>205</v>
      </c>
      <c r="I12" s="333" t="s">
        <v>165</v>
      </c>
      <c r="J12" s="333" t="s">
        <v>21</v>
      </c>
      <c r="K12" s="333" t="s">
        <v>206</v>
      </c>
      <c r="L12" s="333" t="s">
        <v>22</v>
      </c>
      <c r="M12" s="333" t="s">
        <v>68</v>
      </c>
      <c r="N12" s="333" t="s">
        <v>0</v>
      </c>
      <c r="O12" s="43"/>
      <c r="P12" s="334" t="s">
        <v>24</v>
      </c>
      <c r="Q12" s="335" t="s">
        <v>25</v>
      </c>
      <c r="R12" s="336" t="s">
        <v>43</v>
      </c>
      <c r="S12" s="44"/>
      <c r="T12" s="15"/>
    </row>
    <row r="13" spans="1:20" ht="5.25" customHeight="1" x14ac:dyDescent="0.35">
      <c r="A13" s="5"/>
      <c r="B13" s="11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5"/>
      <c r="Q13" s="5"/>
      <c r="R13" s="115"/>
      <c r="S13" s="5"/>
      <c r="T13" s="5"/>
    </row>
    <row r="14" spans="1:20" ht="22.5" customHeight="1" x14ac:dyDescent="0.35">
      <c r="A14" s="5"/>
      <c r="B14" s="378" t="s">
        <v>212</v>
      </c>
      <c r="C14" s="379"/>
      <c r="D14" s="379"/>
      <c r="E14" s="379"/>
      <c r="F14" s="379"/>
      <c r="G14" s="379"/>
      <c r="H14" s="379"/>
      <c r="I14" s="379"/>
      <c r="J14" s="379"/>
      <c r="K14" s="379"/>
      <c r="L14" s="379"/>
      <c r="M14" s="379"/>
      <c r="N14" s="380"/>
      <c r="O14" s="45"/>
      <c r="P14" s="337"/>
      <c r="Q14" s="338"/>
      <c r="R14" s="339"/>
      <c r="S14" s="45"/>
      <c r="T14" s="5"/>
    </row>
    <row r="15" spans="1:20" ht="78" customHeight="1" x14ac:dyDescent="0.35">
      <c r="A15" s="5"/>
      <c r="B15" s="363" t="s">
        <v>36</v>
      </c>
      <c r="C15" s="318" t="s">
        <v>218</v>
      </c>
      <c r="D15" s="318" t="s">
        <v>219</v>
      </c>
      <c r="E15" s="153" t="s">
        <v>209</v>
      </c>
      <c r="F15" s="366" t="s">
        <v>220</v>
      </c>
      <c r="G15" s="330" t="s">
        <v>211</v>
      </c>
      <c r="H15" s="244">
        <f t="shared" ref="H15:H22" si="0">L15*J15</f>
        <v>18666.666666666668</v>
      </c>
      <c r="I15" s="350"/>
      <c r="J15" s="253">
        <v>0.02</v>
      </c>
      <c r="K15" s="350"/>
      <c r="L15" s="244">
        <f t="shared" ref="L15:L18" si="1">P15/M15*1000</f>
        <v>933333.33333333337</v>
      </c>
      <c r="M15" s="364">
        <v>1.5</v>
      </c>
      <c r="N15" s="365">
        <f t="shared" ref="N15:N22" si="2">+P15/H15</f>
        <v>7.4999999999999997E-2</v>
      </c>
      <c r="O15" s="248"/>
      <c r="P15" s="367">
        <f>919.1+480.9</f>
        <v>1400</v>
      </c>
      <c r="Q15" s="250">
        <f t="shared" ref="Q15:Q18" si="3">P15*$C$10</f>
        <v>4571</v>
      </c>
      <c r="R15" s="251">
        <f t="shared" ref="R15:R22" si="4">+Q15/$Q$23</f>
        <v>0.28452161754604166</v>
      </c>
      <c r="S15" s="54"/>
      <c r="T15" s="5"/>
    </row>
    <row r="16" spans="1:20" ht="78" customHeight="1" x14ac:dyDescent="0.35">
      <c r="A16" s="5"/>
      <c r="B16" s="363" t="s">
        <v>36</v>
      </c>
      <c r="C16" s="318" t="s">
        <v>221</v>
      </c>
      <c r="D16" s="318" t="s">
        <v>222</v>
      </c>
      <c r="E16" s="153" t="s">
        <v>209</v>
      </c>
      <c r="F16" s="319" t="s">
        <v>225</v>
      </c>
      <c r="G16" s="330" t="s">
        <v>211</v>
      </c>
      <c r="H16" s="244">
        <f t="shared" si="0"/>
        <v>11277.6</v>
      </c>
      <c r="I16" s="350"/>
      <c r="J16" s="253">
        <v>0.02</v>
      </c>
      <c r="K16" s="350"/>
      <c r="L16" s="244">
        <f t="shared" si="1"/>
        <v>563880</v>
      </c>
      <c r="M16" s="364">
        <v>1.5</v>
      </c>
      <c r="N16" s="365">
        <f t="shared" si="2"/>
        <v>7.4999999999999997E-2</v>
      </c>
      <c r="O16" s="248"/>
      <c r="P16" s="367">
        <f>845.82</f>
        <v>845.82</v>
      </c>
      <c r="Q16" s="250">
        <f t="shared" si="3"/>
        <v>2761.6023000000005</v>
      </c>
      <c r="R16" s="251">
        <f t="shared" si="4"/>
        <v>0.17189576753770927</v>
      </c>
      <c r="S16" s="54"/>
      <c r="T16" s="5"/>
    </row>
    <row r="17" spans="1:20" ht="78" customHeight="1" x14ac:dyDescent="0.35">
      <c r="A17" s="5"/>
      <c r="B17" s="363" t="s">
        <v>36</v>
      </c>
      <c r="C17" s="318" t="s">
        <v>223</v>
      </c>
      <c r="D17" s="318" t="s">
        <v>224</v>
      </c>
      <c r="E17" s="153" t="s">
        <v>209</v>
      </c>
      <c r="F17" s="319" t="s">
        <v>225</v>
      </c>
      <c r="G17" s="330" t="s">
        <v>211</v>
      </c>
      <c r="H17" s="244">
        <f t="shared" si="0"/>
        <v>11338.933333333332</v>
      </c>
      <c r="I17" s="350"/>
      <c r="J17" s="253">
        <v>0.02</v>
      </c>
      <c r="K17" s="350"/>
      <c r="L17" s="244">
        <f t="shared" si="1"/>
        <v>566946.66666666663</v>
      </c>
      <c r="M17" s="364">
        <v>1.5</v>
      </c>
      <c r="N17" s="365">
        <f t="shared" si="2"/>
        <v>7.4999999999999997E-2</v>
      </c>
      <c r="O17" s="248"/>
      <c r="P17" s="367">
        <f t="shared" ref="P17" si="5">919.12-68.7</f>
        <v>850.42</v>
      </c>
      <c r="Q17" s="250">
        <f t="shared" si="3"/>
        <v>2776.6212999999998</v>
      </c>
      <c r="R17" s="251">
        <f t="shared" si="4"/>
        <v>0.17283062428107479</v>
      </c>
      <c r="S17" s="54"/>
      <c r="T17" s="5"/>
    </row>
    <row r="18" spans="1:20" ht="78" customHeight="1" x14ac:dyDescent="0.35">
      <c r="A18" s="5"/>
      <c r="B18" s="363" t="s">
        <v>36</v>
      </c>
      <c r="C18" s="318" t="s">
        <v>227</v>
      </c>
      <c r="D18" s="318" t="s">
        <v>219</v>
      </c>
      <c r="E18" s="153" t="s">
        <v>209</v>
      </c>
      <c r="F18" s="319" t="s">
        <v>230</v>
      </c>
      <c r="G18" s="330" t="s">
        <v>211</v>
      </c>
      <c r="H18" s="244">
        <f t="shared" si="0"/>
        <v>12162</v>
      </c>
      <c r="I18" s="350"/>
      <c r="J18" s="253">
        <v>0.02</v>
      </c>
      <c r="K18" s="350"/>
      <c r="L18" s="244">
        <f t="shared" si="1"/>
        <v>608100</v>
      </c>
      <c r="M18" s="364">
        <v>1.5</v>
      </c>
      <c r="N18" s="365">
        <f t="shared" si="2"/>
        <v>7.4999999999999997E-2</v>
      </c>
      <c r="O18" s="248"/>
      <c r="P18" s="367">
        <f>919.12-68.7+61.73</f>
        <v>912.15</v>
      </c>
      <c r="Q18" s="250">
        <f t="shared" si="3"/>
        <v>2978.16975</v>
      </c>
      <c r="R18" s="251">
        <f t="shared" si="4"/>
        <v>0.18537599531758706</v>
      </c>
      <c r="S18" s="54"/>
      <c r="T18" s="5"/>
    </row>
    <row r="19" spans="1:20" ht="78" customHeight="1" x14ac:dyDescent="0.35">
      <c r="A19" s="5"/>
      <c r="B19" s="363" t="s">
        <v>36</v>
      </c>
      <c r="C19" s="318" t="s">
        <v>229</v>
      </c>
      <c r="D19" s="318" t="s">
        <v>228</v>
      </c>
      <c r="E19" s="153" t="s">
        <v>209</v>
      </c>
      <c r="F19" s="319" t="s">
        <v>231</v>
      </c>
      <c r="G19" s="330" t="s">
        <v>211</v>
      </c>
      <c r="H19" s="244">
        <f t="shared" si="0"/>
        <v>12162</v>
      </c>
      <c r="I19" s="350"/>
      <c r="J19" s="253">
        <v>0.02</v>
      </c>
      <c r="K19" s="350"/>
      <c r="L19" s="244">
        <f t="shared" ref="L19:L22" si="6">P19/M19*1000</f>
        <v>608100</v>
      </c>
      <c r="M19" s="364">
        <v>1.5</v>
      </c>
      <c r="N19" s="365">
        <f t="shared" si="2"/>
        <v>7.4999999999999997E-2</v>
      </c>
      <c r="O19" s="248"/>
      <c r="P19" s="367">
        <f>919.12-68.7+61.73</f>
        <v>912.15</v>
      </c>
      <c r="Q19" s="250">
        <f t="shared" ref="Q19" si="7">P19*$C$10</f>
        <v>2978.16975</v>
      </c>
      <c r="R19" s="251">
        <f t="shared" si="4"/>
        <v>0.18537599531758706</v>
      </c>
      <c r="S19" s="54"/>
      <c r="T19" s="5"/>
    </row>
    <row r="20" spans="1:20" ht="78" hidden="1" customHeight="1" x14ac:dyDescent="0.35">
      <c r="A20" s="5"/>
      <c r="B20" s="363" t="s">
        <v>36</v>
      </c>
      <c r="C20" s="318" t="s">
        <v>213</v>
      </c>
      <c r="D20" s="318" t="s">
        <v>64</v>
      </c>
      <c r="E20" s="153" t="s">
        <v>209</v>
      </c>
      <c r="F20" s="319" t="s">
        <v>216</v>
      </c>
      <c r="G20" s="330" t="s">
        <v>211</v>
      </c>
      <c r="H20" s="244">
        <f t="shared" si="0"/>
        <v>0</v>
      </c>
      <c r="I20" s="350"/>
      <c r="J20" s="253">
        <v>0.02</v>
      </c>
      <c r="K20" s="350"/>
      <c r="L20" s="244">
        <f t="shared" si="6"/>
        <v>0</v>
      </c>
      <c r="M20" s="364">
        <v>1.5</v>
      </c>
      <c r="N20" s="365" t="e">
        <f t="shared" si="2"/>
        <v>#DIV/0!</v>
      </c>
      <c r="O20" s="248"/>
      <c r="P20" s="316"/>
      <c r="Q20" s="250"/>
      <c r="R20" s="251">
        <f t="shared" si="4"/>
        <v>0</v>
      </c>
      <c r="S20" s="54"/>
      <c r="T20" s="5"/>
    </row>
    <row r="21" spans="1:20" ht="78" hidden="1" customHeight="1" x14ac:dyDescent="0.35">
      <c r="A21" s="5"/>
      <c r="B21" s="363" t="s">
        <v>36</v>
      </c>
      <c r="C21" s="318" t="s">
        <v>214</v>
      </c>
      <c r="D21" s="318" t="s">
        <v>64</v>
      </c>
      <c r="E21" s="153" t="s">
        <v>209</v>
      </c>
      <c r="F21" s="319" t="s">
        <v>217</v>
      </c>
      <c r="G21" s="330" t="s">
        <v>211</v>
      </c>
      <c r="H21" s="244">
        <f t="shared" si="0"/>
        <v>0</v>
      </c>
      <c r="I21" s="350"/>
      <c r="J21" s="253">
        <v>0.02</v>
      </c>
      <c r="K21" s="350"/>
      <c r="L21" s="244">
        <f t="shared" si="6"/>
        <v>0</v>
      </c>
      <c r="M21" s="364">
        <v>1.5</v>
      </c>
      <c r="N21" s="365" t="e">
        <f t="shared" si="2"/>
        <v>#DIV/0!</v>
      </c>
      <c r="O21" s="248"/>
      <c r="P21" s="316"/>
      <c r="Q21" s="250"/>
      <c r="R21" s="251">
        <f t="shared" si="4"/>
        <v>0</v>
      </c>
      <c r="S21" s="54"/>
      <c r="T21" s="5"/>
    </row>
    <row r="22" spans="1:20" ht="78" hidden="1" customHeight="1" x14ac:dyDescent="0.35">
      <c r="A22" s="5"/>
      <c r="B22" s="363" t="s">
        <v>36</v>
      </c>
      <c r="C22" s="318" t="s">
        <v>215</v>
      </c>
      <c r="D22" s="318" t="s">
        <v>64</v>
      </c>
      <c r="E22" s="153" t="s">
        <v>209</v>
      </c>
      <c r="F22" s="319" t="s">
        <v>217</v>
      </c>
      <c r="G22" s="330" t="s">
        <v>211</v>
      </c>
      <c r="H22" s="244">
        <f t="shared" si="0"/>
        <v>0</v>
      </c>
      <c r="I22" s="350"/>
      <c r="J22" s="253">
        <v>0.02</v>
      </c>
      <c r="K22" s="350"/>
      <c r="L22" s="244">
        <f t="shared" si="6"/>
        <v>0</v>
      </c>
      <c r="M22" s="364">
        <v>1.5</v>
      </c>
      <c r="N22" s="365" t="e">
        <f t="shared" si="2"/>
        <v>#DIV/0!</v>
      </c>
      <c r="O22" s="248"/>
      <c r="P22" s="316"/>
      <c r="Q22" s="250"/>
      <c r="R22" s="251">
        <f t="shared" si="4"/>
        <v>0</v>
      </c>
      <c r="S22" s="54"/>
      <c r="T22" s="5"/>
    </row>
    <row r="23" spans="1:20" s="259" customFormat="1" ht="27" customHeight="1" x14ac:dyDescent="0.25">
      <c r="A23" s="257"/>
      <c r="B23" s="375" t="s">
        <v>26</v>
      </c>
      <c r="C23" s="375"/>
      <c r="D23" s="375"/>
      <c r="E23" s="375"/>
      <c r="F23" s="375"/>
      <c r="G23" s="375"/>
      <c r="H23" s="340">
        <f>SUM(H15:H22)</f>
        <v>65607.200000000012</v>
      </c>
      <c r="I23" s="340"/>
      <c r="J23" s="341">
        <f>H23/L23</f>
        <v>2.0000000000000004E-2</v>
      </c>
      <c r="K23" s="341"/>
      <c r="L23" s="340">
        <f>SUM(L15:L22)</f>
        <v>3280360</v>
      </c>
      <c r="M23" s="376" t="s">
        <v>27</v>
      </c>
      <c r="N23" s="377"/>
      <c r="O23" s="248"/>
      <c r="P23" s="342">
        <f>SUM(P15:P22)</f>
        <v>4920.54</v>
      </c>
      <c r="Q23" s="343">
        <f>SUM(Q15:Q22)</f>
        <v>16065.563100000003</v>
      </c>
      <c r="R23" s="344">
        <f>Q23/$Q$29</f>
        <v>0.83333333333333337</v>
      </c>
      <c r="S23" s="258"/>
      <c r="T23" s="257"/>
    </row>
    <row r="24" spans="1:20" s="92" customFormat="1" ht="21" customHeight="1" x14ac:dyDescent="0.35">
      <c r="A24" s="90"/>
      <c r="B24" s="106" t="s">
        <v>41</v>
      </c>
      <c r="C24" s="107"/>
      <c r="D24" s="107"/>
      <c r="E24" s="107"/>
      <c r="F24" s="107"/>
      <c r="G24" s="107"/>
      <c r="H24" s="100"/>
      <c r="I24" s="100"/>
      <c r="J24" s="101"/>
      <c r="K24" s="101"/>
      <c r="L24" s="100"/>
      <c r="M24" s="102"/>
      <c r="N24" s="102"/>
      <c r="O24" s="248"/>
      <c r="P24" s="102"/>
      <c r="Q24" s="103"/>
      <c r="R24" s="122"/>
      <c r="S24" s="104"/>
      <c r="T24" s="90"/>
    </row>
    <row r="25" spans="1:20" s="310" customFormat="1" ht="21" customHeight="1" x14ac:dyDescent="0.3">
      <c r="A25" s="300"/>
      <c r="B25" s="373" t="s">
        <v>58</v>
      </c>
      <c r="C25" s="374"/>
      <c r="D25" s="374"/>
      <c r="E25" s="374"/>
      <c r="F25" s="374"/>
      <c r="G25" s="374"/>
      <c r="H25" s="301">
        <v>0.05</v>
      </c>
      <c r="I25" s="348"/>
      <c r="J25" s="302"/>
      <c r="K25" s="302"/>
      <c r="L25" s="303"/>
      <c r="M25" s="304"/>
      <c r="N25" s="305"/>
      <c r="O25" s="306"/>
      <c r="P25" s="307">
        <f>SUM(P15:P19)*H25</f>
        <v>246.02700000000002</v>
      </c>
      <c r="Q25" s="250">
        <f>P25*$C$10</f>
        <v>803.27815500000008</v>
      </c>
      <c r="R25" s="308"/>
      <c r="S25" s="309"/>
      <c r="T25" s="300"/>
    </row>
    <row r="26" spans="1:20" s="267" customFormat="1" ht="21" customHeight="1" x14ac:dyDescent="0.3">
      <c r="A26" s="261"/>
      <c r="B26" s="373" t="s">
        <v>183</v>
      </c>
      <c r="C26" s="374"/>
      <c r="D26" s="374"/>
      <c r="E26" s="374"/>
      <c r="F26" s="374"/>
      <c r="G26" s="374"/>
      <c r="H26" s="311">
        <v>0.15</v>
      </c>
      <c r="I26" s="349"/>
      <c r="J26" s="312"/>
      <c r="K26" s="312"/>
      <c r="L26" s="313"/>
      <c r="M26" s="304"/>
      <c r="N26" s="305"/>
      <c r="O26" s="306"/>
      <c r="P26" s="314">
        <f>SUM(P15:P19)*H26</f>
        <v>738.08100000000002</v>
      </c>
      <c r="Q26" s="250">
        <f>P26*$C$10</f>
        <v>2409.8344650000004</v>
      </c>
      <c r="R26" s="308"/>
      <c r="S26" s="266"/>
      <c r="T26" s="261"/>
    </row>
    <row r="27" spans="1:20" s="267" customFormat="1" ht="21" customHeight="1" x14ac:dyDescent="0.3">
      <c r="A27" s="261"/>
      <c r="B27" s="369" t="s">
        <v>35</v>
      </c>
      <c r="C27" s="370"/>
      <c r="D27" s="370"/>
      <c r="E27" s="370"/>
      <c r="F27" s="370"/>
      <c r="G27" s="370"/>
      <c r="H27" s="370"/>
      <c r="I27" s="370"/>
      <c r="J27" s="370"/>
      <c r="K27" s="370"/>
      <c r="L27" s="370"/>
      <c r="M27" s="370"/>
      <c r="N27" s="371"/>
      <c r="O27" s="262"/>
      <c r="P27" s="268">
        <f>SUM(P25:P26)</f>
        <v>984.10800000000006</v>
      </c>
      <c r="Q27" s="269">
        <f>SUM(Q25:Q26)</f>
        <v>3213.1126200000003</v>
      </c>
      <c r="R27" s="270">
        <f>Q27/$Q$29</f>
        <v>0.16666666666666666</v>
      </c>
      <c r="S27" s="266"/>
      <c r="T27" s="261"/>
    </row>
    <row r="28" spans="1:20" s="267" customFormat="1" ht="21" customHeight="1" x14ac:dyDescent="0.3">
      <c r="A28" s="271"/>
      <c r="B28" s="272"/>
      <c r="C28" s="273"/>
      <c r="D28" s="273"/>
      <c r="E28" s="274"/>
      <c r="F28" s="275"/>
      <c r="G28" s="276"/>
      <c r="H28" s="277"/>
      <c r="I28" s="277"/>
      <c r="J28" s="278"/>
      <c r="K28" s="278"/>
      <c r="L28" s="279"/>
      <c r="M28" s="280"/>
      <c r="N28" s="281"/>
      <c r="O28" s="282"/>
      <c r="P28" s="280"/>
      <c r="Q28" s="283"/>
      <c r="R28" s="284"/>
      <c r="S28" s="285"/>
      <c r="T28" s="271"/>
    </row>
    <row r="29" spans="1:20" s="267" customFormat="1" ht="18.75" x14ac:dyDescent="0.3">
      <c r="A29" s="271"/>
      <c r="B29" s="286"/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372" t="s">
        <v>28</v>
      </c>
      <c r="N29" s="372"/>
      <c r="O29" s="287"/>
      <c r="P29" s="345">
        <f>SUM(P27,P23)</f>
        <v>5904.6480000000001</v>
      </c>
      <c r="Q29" s="346">
        <f>SUM(Q27,Q23)</f>
        <v>19278.675720000003</v>
      </c>
      <c r="R29" s="347">
        <f>Q29/$Q$29</f>
        <v>1</v>
      </c>
      <c r="S29" s="271"/>
      <c r="T29" s="271"/>
    </row>
    <row r="30" spans="1:20" s="267" customFormat="1" ht="18.75" x14ac:dyDescent="0.3">
      <c r="A30" s="271"/>
      <c r="B30" s="286" t="s">
        <v>202</v>
      </c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87"/>
      <c r="P30" s="271"/>
      <c r="Q30" s="131"/>
      <c r="R30" s="288"/>
      <c r="S30" s="271"/>
      <c r="T30" s="271"/>
    </row>
    <row r="31" spans="1:20" s="267" customFormat="1" ht="18.75" x14ac:dyDescent="0.3">
      <c r="A31" s="271"/>
      <c r="B31" s="286"/>
      <c r="C31" s="271"/>
      <c r="D31" s="271"/>
      <c r="E31" s="271"/>
      <c r="F31" s="289"/>
      <c r="G31" s="271"/>
      <c r="H31" s="271"/>
      <c r="I31" s="271"/>
      <c r="J31" s="271" t="s">
        <v>233</v>
      </c>
      <c r="K31" s="271" t="s">
        <v>232</v>
      </c>
      <c r="L31" s="290"/>
      <c r="M31" s="261"/>
      <c r="N31" s="271"/>
      <c r="O31" s="287"/>
      <c r="Q31" s="291"/>
      <c r="R31" s="292"/>
      <c r="S31" s="293"/>
      <c r="T31" s="294"/>
    </row>
    <row r="32" spans="1:20" s="267" customFormat="1" ht="18.75" x14ac:dyDescent="0.3">
      <c r="A32" s="271"/>
      <c r="B32" s="286"/>
      <c r="C32" s="271"/>
      <c r="D32" s="271"/>
      <c r="E32" s="271"/>
      <c r="F32" s="271"/>
      <c r="G32" s="271"/>
      <c r="H32" s="271"/>
      <c r="I32" s="271"/>
      <c r="J32" s="368">
        <f>P16*0.02</f>
        <v>16.916400000000003</v>
      </c>
      <c r="K32" s="368">
        <f>P16*0.03</f>
        <v>25.374600000000001</v>
      </c>
      <c r="L32" s="271"/>
      <c r="M32" s="271"/>
      <c r="N32" s="271"/>
      <c r="O32" s="287"/>
      <c r="P32" s="271"/>
      <c r="Q32" s="271"/>
      <c r="R32" s="288"/>
      <c r="S32" s="293"/>
      <c r="T32" s="294"/>
    </row>
    <row r="33" spans="1:23" s="267" customFormat="1" x14ac:dyDescent="0.35">
      <c r="A33" s="271"/>
      <c r="B33" s="286"/>
      <c r="C33" s="271"/>
      <c r="D33" s="271"/>
      <c r="E33" s="271"/>
      <c r="F33" s="271"/>
      <c r="G33" s="271"/>
      <c r="H33" s="271"/>
      <c r="I33" s="271"/>
      <c r="J33" s="271">
        <f>P17*0.02</f>
        <v>17.008399999999998</v>
      </c>
      <c r="K33" s="271">
        <f>P17*0.03</f>
        <v>25.512599999999999</v>
      </c>
      <c r="L33" s="271"/>
      <c r="M33" s="271"/>
      <c r="N33" s="359" t="s">
        <v>207</v>
      </c>
      <c r="O33" s="360"/>
      <c r="P33" s="361">
        <f>+Q33/$C$10</f>
        <v>9188.3614088820832</v>
      </c>
      <c r="Q33" s="145">
        <v>30000</v>
      </c>
      <c r="R33" s="288"/>
      <c r="S33" s="293"/>
      <c r="T33" s="294"/>
    </row>
    <row r="34" spans="1:23" s="267" customFormat="1" x14ac:dyDescent="0.35">
      <c r="A34" s="271"/>
      <c r="B34" s="331" t="s">
        <v>204</v>
      </c>
      <c r="C34" s="271"/>
      <c r="D34" s="271"/>
      <c r="E34" s="271"/>
      <c r="F34" s="271"/>
      <c r="G34" s="271"/>
      <c r="H34" s="271"/>
      <c r="I34" s="271"/>
      <c r="J34" s="271">
        <f>P19*0.02</f>
        <v>18.242999999999999</v>
      </c>
      <c r="K34" s="271">
        <f>P19*0.03</f>
        <v>27.3645</v>
      </c>
      <c r="L34" s="271"/>
      <c r="M34" s="271"/>
      <c r="N34" s="1" t="s">
        <v>208</v>
      </c>
      <c r="O34" s="4"/>
      <c r="P34" s="361">
        <f>+P33-P29</f>
        <v>3283.7134088820831</v>
      </c>
      <c r="Q34" s="362">
        <f>+Q33-Q29</f>
        <v>10721.324279999997</v>
      </c>
      <c r="R34" s="288"/>
      <c r="S34" s="293"/>
      <c r="T34" s="285"/>
    </row>
    <row r="35" spans="1:23" s="267" customFormat="1" x14ac:dyDescent="0.35">
      <c r="B35" s="351"/>
      <c r="N35" s="354"/>
      <c r="O35" s="355"/>
      <c r="P35" s="353"/>
      <c r="Q35" s="356"/>
      <c r="R35" s="298"/>
    </row>
    <row r="36" spans="1:23" s="267" customFormat="1" ht="18.75" x14ac:dyDescent="0.3">
      <c r="B36" s="296"/>
      <c r="N36" s="357"/>
      <c r="O36" s="358"/>
      <c r="P36" s="357"/>
      <c r="Q36" s="357"/>
    </row>
    <row r="37" spans="1:23" x14ac:dyDescent="0.35">
      <c r="J37" s="1">
        <f>P15*0.02</f>
        <v>28</v>
      </c>
      <c r="K37" s="1">
        <f>P15*0.03</f>
        <v>42</v>
      </c>
      <c r="Q37" s="155"/>
    </row>
    <row r="38" spans="1:23" x14ac:dyDescent="0.35">
      <c r="J38" s="1">
        <f>P18*0.02</f>
        <v>18.242999999999999</v>
      </c>
      <c r="K38" s="1">
        <f>P18*0.03</f>
        <v>27.3645</v>
      </c>
    </row>
    <row r="42" spans="1:23" x14ac:dyDescent="0.35">
      <c r="B42" s="1"/>
      <c r="O42" s="1"/>
      <c r="R42" s="1"/>
      <c r="W42" s="154"/>
    </row>
    <row r="43" spans="1:23" x14ac:dyDescent="0.35">
      <c r="B43" s="1"/>
      <c r="O43" s="1"/>
      <c r="R43" s="1"/>
      <c r="W43" s="154"/>
    </row>
    <row r="44" spans="1:23" x14ac:dyDescent="0.35">
      <c r="B44" s="1"/>
      <c r="O44" s="1"/>
      <c r="R44" s="1"/>
      <c r="W44" s="154"/>
    </row>
    <row r="45" spans="1:23" x14ac:dyDescent="0.35">
      <c r="B45" s="1"/>
      <c r="O45" s="1"/>
      <c r="R45" s="1"/>
      <c r="W45" s="154"/>
    </row>
    <row r="46" spans="1:23" x14ac:dyDescent="0.35">
      <c r="B46" s="1"/>
      <c r="O46" s="1"/>
      <c r="R46" s="1"/>
      <c r="W46" s="154"/>
    </row>
    <row r="47" spans="1:23" x14ac:dyDescent="0.35">
      <c r="B47" s="1"/>
      <c r="O47" s="1"/>
      <c r="R47" s="1"/>
      <c r="W47" s="154"/>
    </row>
    <row r="50" spans="2:23" x14ac:dyDescent="0.35">
      <c r="B50" s="1"/>
      <c r="O50" s="1"/>
      <c r="R50" s="1"/>
      <c r="W50" s="154"/>
    </row>
  </sheetData>
  <mergeCells count="12">
    <mergeCell ref="B14:N14"/>
    <mergeCell ref="C2:E2"/>
    <mergeCell ref="C4:E4"/>
    <mergeCell ref="C6:E6"/>
    <mergeCell ref="C8:E8"/>
    <mergeCell ref="C10:E10"/>
    <mergeCell ref="B27:N27"/>
    <mergeCell ref="M29:N29"/>
    <mergeCell ref="B25:G25"/>
    <mergeCell ref="B26:G26"/>
    <mergeCell ref="B23:G23"/>
    <mergeCell ref="M23:N23"/>
  </mergeCells>
  <conditionalFormatting sqref="P14 O11:P13 O23:O24">
    <cfRule type="cellIs" dxfId="225" priority="175" stopIfTrue="1" operator="equal">
      <formula>0</formula>
    </cfRule>
    <cfRule type="expression" dxfId="224" priority="176" stopIfTrue="1">
      <formula>ISERROR(O11)</formula>
    </cfRule>
  </conditionalFormatting>
  <conditionalFormatting sqref="O15">
    <cfRule type="cellIs" dxfId="223" priority="77" stopIfTrue="1" operator="equal">
      <formula>0</formula>
    </cfRule>
    <cfRule type="expression" dxfId="222" priority="78" stopIfTrue="1">
      <formula>ISERROR(O15)</formula>
    </cfRule>
  </conditionalFormatting>
  <conditionalFormatting sqref="O16">
    <cfRule type="cellIs" dxfId="221" priority="75" stopIfTrue="1" operator="equal">
      <formula>0</formula>
    </cfRule>
    <cfRule type="expression" dxfId="220" priority="76" stopIfTrue="1">
      <formula>ISERROR(O16)</formula>
    </cfRule>
  </conditionalFormatting>
  <conditionalFormatting sqref="O17">
    <cfRule type="cellIs" dxfId="219" priority="73" stopIfTrue="1" operator="equal">
      <formula>0</formula>
    </cfRule>
    <cfRule type="expression" dxfId="218" priority="74" stopIfTrue="1">
      <formula>ISERROR(O17)</formula>
    </cfRule>
  </conditionalFormatting>
  <conditionalFormatting sqref="O18">
    <cfRule type="cellIs" dxfId="217" priority="71" stopIfTrue="1" operator="equal">
      <formula>0</formula>
    </cfRule>
    <cfRule type="expression" dxfId="216" priority="72" stopIfTrue="1">
      <formula>ISERROR(O18)</formula>
    </cfRule>
  </conditionalFormatting>
  <conditionalFormatting sqref="O19">
    <cfRule type="cellIs" dxfId="215" priority="61" stopIfTrue="1" operator="equal">
      <formula>0</formula>
    </cfRule>
    <cfRule type="expression" dxfId="214" priority="62" stopIfTrue="1">
      <formula>ISERROR(O19)</formula>
    </cfRule>
  </conditionalFormatting>
  <conditionalFormatting sqref="O20">
    <cfRule type="cellIs" dxfId="213" priority="59" stopIfTrue="1" operator="equal">
      <formula>0</formula>
    </cfRule>
    <cfRule type="expression" dxfId="212" priority="60" stopIfTrue="1">
      <formula>ISERROR(O20)</formula>
    </cfRule>
  </conditionalFormatting>
  <conditionalFormatting sqref="O21">
    <cfRule type="cellIs" dxfId="211" priority="57" stopIfTrue="1" operator="equal">
      <formula>0</formula>
    </cfRule>
    <cfRule type="expression" dxfId="210" priority="58" stopIfTrue="1">
      <formula>ISERROR(O21)</formula>
    </cfRule>
  </conditionalFormatting>
  <conditionalFormatting sqref="O22">
    <cfRule type="cellIs" dxfId="209" priority="55" stopIfTrue="1" operator="equal">
      <formula>0</formula>
    </cfRule>
    <cfRule type="expression" dxfId="208" priority="56" stopIfTrue="1">
      <formula>ISERROR(O22)</formula>
    </cfRule>
  </conditionalFormatting>
  <conditionalFormatting sqref="P16">
    <cfRule type="cellIs" dxfId="207" priority="25" stopIfTrue="1" operator="equal">
      <formula>0</formula>
    </cfRule>
    <cfRule type="expression" dxfId="206" priority="26" stopIfTrue="1">
      <formula>ISERROR(P16)</formula>
    </cfRule>
  </conditionalFormatting>
  <conditionalFormatting sqref="P15">
    <cfRule type="cellIs" dxfId="205" priority="23" stopIfTrue="1" operator="equal">
      <formula>0</formula>
    </cfRule>
    <cfRule type="expression" dxfId="204" priority="24" stopIfTrue="1">
      <formula>ISERROR(P15)</formula>
    </cfRule>
  </conditionalFormatting>
  <conditionalFormatting sqref="P17">
    <cfRule type="cellIs" dxfId="203" priority="21" stopIfTrue="1" operator="equal">
      <formula>0</formula>
    </cfRule>
    <cfRule type="expression" dxfId="202" priority="22" stopIfTrue="1">
      <formula>ISERROR(P17)</formula>
    </cfRule>
  </conditionalFormatting>
  <conditionalFormatting sqref="P18">
    <cfRule type="cellIs" dxfId="201" priority="19" stopIfTrue="1" operator="equal">
      <formula>0</formula>
    </cfRule>
    <cfRule type="expression" dxfId="200" priority="20" stopIfTrue="1">
      <formula>ISERROR(P18)</formula>
    </cfRule>
  </conditionalFormatting>
  <conditionalFormatting sqref="P20">
    <cfRule type="cellIs" dxfId="199" priority="7" stopIfTrue="1" operator="equal">
      <formula>0</formula>
    </cfRule>
    <cfRule type="expression" dxfId="198" priority="8" stopIfTrue="1">
      <formula>ISERROR(P20)</formula>
    </cfRule>
  </conditionalFormatting>
  <conditionalFormatting sqref="P21">
    <cfRule type="cellIs" dxfId="197" priority="5" stopIfTrue="1" operator="equal">
      <formula>0</formula>
    </cfRule>
    <cfRule type="expression" dxfId="196" priority="6" stopIfTrue="1">
      <formula>ISERROR(P21)</formula>
    </cfRule>
  </conditionalFormatting>
  <conditionalFormatting sqref="P22">
    <cfRule type="cellIs" dxfId="195" priority="3" stopIfTrue="1" operator="equal">
      <formula>0</formula>
    </cfRule>
    <cfRule type="expression" dxfId="194" priority="4" stopIfTrue="1">
      <formula>ISERROR(P22)</formula>
    </cfRule>
  </conditionalFormatting>
  <conditionalFormatting sqref="P19">
    <cfRule type="cellIs" dxfId="193" priority="1" stopIfTrue="1" operator="equal">
      <formula>0</formula>
    </cfRule>
    <cfRule type="expression" dxfId="192" priority="2" stopIfTrue="1">
      <formula>ISERROR(P19)</formula>
    </cfRule>
  </conditionalFormatting>
  <pageMargins left="0.7" right="0.7" top="0.75" bottom="0.75" header="0.3" footer="0.3"/>
  <pageSetup paperSize="9" orientation="portrait" r:id="rId1"/>
  <ignoredErrors>
    <ignoredError sqref="Q26 P27:R27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Y50"/>
  <sheetViews>
    <sheetView showGridLines="0" zoomScale="56" zoomScaleNormal="56" workbookViewId="0">
      <selection activeCell="E37" sqref="E37"/>
    </sheetView>
  </sheetViews>
  <sheetFormatPr baseColWidth="10" defaultRowHeight="21" x14ac:dyDescent="0.35"/>
  <cols>
    <col min="1" max="1" width="4" style="1" customWidth="1"/>
    <col min="2" max="2" width="31.140625" style="2" customWidth="1"/>
    <col min="3" max="3" width="28.7109375" style="1" customWidth="1"/>
    <col min="4" max="4" width="36.5703125" style="1" customWidth="1"/>
    <col min="5" max="5" width="24.140625" style="1" bestFit="1" customWidth="1"/>
    <col min="6" max="6" width="20.7109375" style="1" customWidth="1"/>
    <col min="7" max="7" width="13" style="1" customWidth="1"/>
    <col min="8" max="8" width="21.7109375" style="1" customWidth="1"/>
    <col min="9" max="9" width="21" style="1" customWidth="1"/>
    <col min="10" max="10" width="11.7109375" style="1" customWidth="1"/>
    <col min="11" max="11" width="16.5703125" style="1" bestFit="1" customWidth="1"/>
    <col min="12" max="12" width="5.140625" style="4" customWidth="1"/>
    <col min="13" max="13" width="21.7109375" style="1" customWidth="1"/>
    <col min="14" max="14" width="25.7109375" style="1" customWidth="1"/>
    <col min="15" max="15" width="19.85546875" style="126" customWidth="1"/>
    <col min="16" max="17" width="11.42578125" style="1"/>
    <col min="18" max="18" width="20.85546875" style="1" hidden="1" customWidth="1"/>
    <col min="19" max="19" width="23.42578125" style="1" hidden="1" customWidth="1"/>
    <col min="20" max="20" width="11.42578125" style="1"/>
    <col min="21" max="21" width="23.5703125" style="1" hidden="1" customWidth="1"/>
    <col min="22" max="22" width="19.28515625" style="1" hidden="1" customWidth="1"/>
    <col min="23" max="23" width="15.42578125" style="1" bestFit="1" customWidth="1"/>
    <col min="24" max="24" width="21.85546875" style="1" customWidth="1"/>
    <col min="25" max="25" width="19.5703125" style="1" customWidth="1"/>
    <col min="26" max="16384" width="11.42578125" style="1"/>
  </cols>
  <sheetData>
    <row r="1" spans="1:19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7"/>
      <c r="M1" s="5"/>
      <c r="N1" s="5"/>
      <c r="O1" s="115"/>
      <c r="P1" s="5"/>
      <c r="Q1" s="5"/>
    </row>
    <row r="2" spans="1:19" x14ac:dyDescent="0.35">
      <c r="A2" s="5"/>
      <c r="B2" s="225" t="s">
        <v>3</v>
      </c>
      <c r="C2" s="381" t="s">
        <v>32</v>
      </c>
      <c r="D2" s="383"/>
      <c r="E2" s="5"/>
      <c r="F2" s="5"/>
      <c r="G2" s="5"/>
      <c r="H2" s="5"/>
      <c r="I2" s="5"/>
      <c r="J2" s="5"/>
      <c r="K2" s="7"/>
      <c r="L2" s="5"/>
      <c r="M2" s="5"/>
      <c r="N2" s="5"/>
      <c r="O2" s="115"/>
      <c r="P2" s="5"/>
    </row>
    <row r="3" spans="1:19" ht="5.25" customHeight="1" x14ac:dyDescent="0.35">
      <c r="A3" s="7"/>
      <c r="B3" s="8"/>
      <c r="C3" s="9"/>
      <c r="D3" s="10"/>
      <c r="E3" s="7"/>
      <c r="F3" s="7"/>
      <c r="G3" s="7"/>
      <c r="H3" s="7"/>
      <c r="I3" s="7"/>
      <c r="J3" s="7"/>
      <c r="K3" s="7"/>
      <c r="L3" s="7"/>
      <c r="M3" s="7"/>
      <c r="N3" s="7"/>
      <c r="O3" s="116"/>
      <c r="P3" s="7"/>
    </row>
    <row r="4" spans="1:19" x14ac:dyDescent="0.35">
      <c r="A4" s="5"/>
      <c r="B4" s="225" t="s">
        <v>4</v>
      </c>
      <c r="C4" s="381" t="s">
        <v>50</v>
      </c>
      <c r="D4" s="383"/>
      <c r="E4" s="5"/>
      <c r="F4" s="5"/>
      <c r="G4" s="5"/>
      <c r="H4" s="5"/>
      <c r="I4" s="5"/>
      <c r="J4" s="5"/>
      <c r="K4" s="7"/>
      <c r="L4" s="5"/>
      <c r="M4" s="5"/>
      <c r="N4" s="5"/>
      <c r="O4" s="115"/>
      <c r="P4" s="5"/>
    </row>
    <row r="5" spans="1:19" ht="5.25" customHeight="1" x14ac:dyDescent="0.35">
      <c r="A5" s="7"/>
      <c r="B5" s="8"/>
      <c r="C5" s="9"/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116"/>
      <c r="P5" s="7"/>
    </row>
    <row r="6" spans="1:19" x14ac:dyDescent="0.35">
      <c r="A6" s="5"/>
      <c r="B6" s="225" t="s">
        <v>5</v>
      </c>
      <c r="C6" s="381" t="s">
        <v>17</v>
      </c>
      <c r="D6" s="383"/>
      <c r="E6" s="5"/>
      <c r="F6" s="5"/>
      <c r="G6" s="5"/>
      <c r="H6" s="5"/>
      <c r="I6" s="5"/>
      <c r="J6" s="5"/>
      <c r="K6" s="7"/>
      <c r="L6" s="5"/>
      <c r="M6" s="5"/>
      <c r="N6" s="5"/>
      <c r="O6" s="115"/>
      <c r="P6" s="5"/>
    </row>
    <row r="7" spans="1:19" ht="5.25" customHeight="1" x14ac:dyDescent="0.35">
      <c r="A7" s="7"/>
      <c r="B7" s="8"/>
      <c r="C7" s="9"/>
      <c r="D7" s="10"/>
      <c r="E7" s="7"/>
      <c r="F7" s="7"/>
      <c r="G7" s="7"/>
      <c r="H7" s="7"/>
      <c r="I7" s="7"/>
      <c r="J7" s="7"/>
      <c r="K7" s="7"/>
      <c r="L7" s="7"/>
      <c r="M7" s="7"/>
      <c r="N7" s="7"/>
      <c r="O7" s="116"/>
      <c r="P7" s="7"/>
    </row>
    <row r="8" spans="1:19" x14ac:dyDescent="0.35">
      <c r="A8" s="5"/>
      <c r="B8" s="225" t="s">
        <v>6</v>
      </c>
      <c r="C8" s="384">
        <v>42169</v>
      </c>
      <c r="D8" s="386"/>
      <c r="E8" s="11"/>
      <c r="F8" s="5"/>
      <c r="G8" s="5"/>
      <c r="H8" s="5"/>
      <c r="I8" s="5"/>
      <c r="J8" s="5"/>
      <c r="K8" s="7"/>
      <c r="L8" s="5"/>
      <c r="M8" s="5"/>
      <c r="N8" s="5"/>
      <c r="O8" s="115"/>
      <c r="P8" s="41"/>
    </row>
    <row r="9" spans="1:19" ht="5.25" customHeight="1" x14ac:dyDescent="0.35">
      <c r="A9" s="7"/>
      <c r="B9" s="8"/>
      <c r="C9" s="9"/>
      <c r="D9" s="10"/>
      <c r="E9" s="14"/>
      <c r="F9" s="7"/>
      <c r="G9" s="7"/>
      <c r="H9" s="7"/>
      <c r="I9" s="7"/>
      <c r="J9" s="7"/>
      <c r="K9" s="7"/>
      <c r="L9" s="7"/>
      <c r="M9" s="7"/>
      <c r="N9" s="7"/>
      <c r="O9" s="116"/>
      <c r="P9" s="42"/>
    </row>
    <row r="10" spans="1:19" s="3" customFormat="1" x14ac:dyDescent="0.35">
      <c r="A10" s="5"/>
      <c r="B10" s="225" t="s">
        <v>16</v>
      </c>
      <c r="C10" s="403">
        <v>3.2</v>
      </c>
      <c r="D10" s="404"/>
      <c r="E10" s="11"/>
      <c r="F10" s="5"/>
      <c r="G10" s="5"/>
      <c r="H10" s="5"/>
      <c r="I10" s="5"/>
      <c r="J10" s="5"/>
      <c r="K10" s="7"/>
      <c r="L10" s="5"/>
      <c r="M10" s="5"/>
      <c r="N10" s="5"/>
      <c r="O10" s="115"/>
      <c r="P10" s="41"/>
    </row>
    <row r="11" spans="1:19" s="3" customFormat="1" x14ac:dyDescent="0.35">
      <c r="A11" s="5"/>
      <c r="B11" s="5"/>
      <c r="C11" s="41"/>
      <c r="D11" s="5"/>
      <c r="E11" s="5"/>
      <c r="F11" s="5"/>
      <c r="G11" s="5"/>
      <c r="H11" s="5"/>
      <c r="I11" s="5"/>
      <c r="J11" s="5"/>
      <c r="K11" s="5"/>
      <c r="L11" s="7"/>
      <c r="M11" s="5"/>
      <c r="N11" s="5"/>
      <c r="O11" s="115"/>
      <c r="P11" s="5"/>
      <c r="Q11" s="41"/>
    </row>
    <row r="12" spans="1:19" ht="36" customHeight="1" x14ac:dyDescent="0.35">
      <c r="A12" s="15"/>
      <c r="B12" s="209" t="s">
        <v>7</v>
      </c>
      <c r="C12" s="209" t="s">
        <v>18</v>
      </c>
      <c r="D12" s="209" t="s">
        <v>19</v>
      </c>
      <c r="E12" s="209" t="s">
        <v>20</v>
      </c>
      <c r="F12" s="209" t="s">
        <v>8</v>
      </c>
      <c r="G12" s="209" t="s">
        <v>165</v>
      </c>
      <c r="H12" s="209" t="s">
        <v>21</v>
      </c>
      <c r="I12" s="209" t="s">
        <v>22</v>
      </c>
      <c r="J12" s="209" t="s">
        <v>49</v>
      </c>
      <c r="K12" s="209" t="s">
        <v>166</v>
      </c>
      <c r="L12" s="43"/>
      <c r="M12" s="209" t="s">
        <v>24</v>
      </c>
      <c r="N12" s="209" t="s">
        <v>25</v>
      </c>
      <c r="O12" s="226" t="s">
        <v>43</v>
      </c>
      <c r="P12" s="44"/>
      <c r="Q12" s="15"/>
    </row>
    <row r="13" spans="1:19" ht="3.75" customHeight="1" x14ac:dyDescent="0.35">
      <c r="A13" s="5"/>
      <c r="B13" s="11"/>
      <c r="C13" s="5"/>
      <c r="D13" s="5"/>
      <c r="E13" s="5"/>
      <c r="F13" s="5"/>
      <c r="G13" s="5"/>
      <c r="H13" s="5"/>
      <c r="I13" s="5"/>
      <c r="J13" s="5"/>
      <c r="K13" s="5"/>
      <c r="L13" s="7"/>
      <c r="M13" s="5"/>
      <c r="N13" s="5"/>
      <c r="O13" s="115"/>
      <c r="P13" s="5"/>
      <c r="Q13" s="5"/>
    </row>
    <row r="14" spans="1:19" x14ac:dyDescent="0.35">
      <c r="A14" s="5"/>
      <c r="B14" s="400" t="s">
        <v>53</v>
      </c>
      <c r="C14" s="401"/>
      <c r="D14" s="401"/>
      <c r="E14" s="401"/>
      <c r="F14" s="401"/>
      <c r="G14" s="401"/>
      <c r="H14" s="401"/>
      <c r="I14" s="401"/>
      <c r="J14" s="401"/>
      <c r="K14" s="402"/>
      <c r="L14" s="45"/>
      <c r="M14" s="215"/>
      <c r="N14" s="216"/>
      <c r="O14" s="217"/>
      <c r="P14" s="45"/>
      <c r="Q14" s="5"/>
    </row>
    <row r="15" spans="1:19" ht="3.75" customHeight="1" x14ac:dyDescent="0.35">
      <c r="A15" s="5"/>
      <c r="B15" s="1"/>
      <c r="L15" s="52"/>
      <c r="M15" s="412"/>
      <c r="N15" s="413"/>
      <c r="O15" s="414"/>
      <c r="P15" s="54"/>
      <c r="Q15" s="5"/>
      <c r="R15" s="143" t="s">
        <v>51</v>
      </c>
      <c r="S15" s="143">
        <f>+N29/3.15</f>
        <v>1015.8730158730159</v>
      </c>
    </row>
    <row r="16" spans="1:19" ht="89.25" customHeight="1" x14ac:dyDescent="0.35">
      <c r="A16" s="5"/>
      <c r="B16" s="167" t="s">
        <v>160</v>
      </c>
      <c r="C16" s="160" t="s">
        <v>163</v>
      </c>
      <c r="D16" s="81" t="s">
        <v>76</v>
      </c>
      <c r="E16" s="47" t="s">
        <v>164</v>
      </c>
      <c r="F16" s="46" t="s">
        <v>49</v>
      </c>
      <c r="G16" s="48">
        <f>+M16/J16</f>
        <v>7142.8571428571422</v>
      </c>
      <c r="H16" s="49">
        <v>0.18</v>
      </c>
      <c r="I16" s="48">
        <f>+G16/H16</f>
        <v>39682.539682539682</v>
      </c>
      <c r="J16" s="50">
        <v>0.14000000000000001</v>
      </c>
      <c r="K16" s="50">
        <v>0.14000000000000001</v>
      </c>
      <c r="L16" s="52"/>
      <c r="M16" s="142">
        <v>1000</v>
      </c>
      <c r="N16" s="53">
        <f>M16*$C$10</f>
        <v>3200</v>
      </c>
      <c r="O16" s="120">
        <f>N17/$N$29</f>
        <v>0</v>
      </c>
      <c r="P16" s="54"/>
      <c r="Q16" s="5"/>
      <c r="R16" s="143" t="s">
        <v>52</v>
      </c>
      <c r="S16" s="143">
        <f>+S15/2</f>
        <v>507.93650793650795</v>
      </c>
    </row>
    <row r="17" spans="1:22" ht="27.75" hidden="1" customHeight="1" x14ac:dyDescent="0.35">
      <c r="A17" s="5"/>
      <c r="B17" s="167"/>
      <c r="C17" s="160"/>
      <c r="D17" s="81"/>
      <c r="E17" s="47"/>
      <c r="F17" s="46"/>
      <c r="G17" s="48"/>
      <c r="H17" s="49"/>
      <c r="I17" s="48"/>
      <c r="J17" s="50"/>
      <c r="K17" s="51"/>
      <c r="L17" s="52"/>
      <c r="M17" s="142"/>
      <c r="N17" s="53">
        <f t="shared" ref="N17" si="0">M17*$C$10</f>
        <v>0</v>
      </c>
      <c r="O17" s="120">
        <f>N17/$N$29</f>
        <v>0</v>
      </c>
      <c r="P17" s="54"/>
      <c r="Q17" s="5"/>
    </row>
    <row r="18" spans="1:22" hidden="1" x14ac:dyDescent="0.35">
      <c r="A18" s="5"/>
      <c r="B18" s="77"/>
      <c r="C18" s="160"/>
      <c r="D18" s="81"/>
      <c r="E18" s="47"/>
      <c r="F18" s="46"/>
      <c r="G18" s="48"/>
      <c r="H18" s="49"/>
      <c r="I18" s="48"/>
      <c r="J18" s="50"/>
      <c r="K18" s="51"/>
      <c r="L18" s="52"/>
      <c r="M18" s="142">
        <f>+N18/$C$10</f>
        <v>0</v>
      </c>
      <c r="N18" s="53"/>
      <c r="O18" s="120">
        <f t="shared" ref="O18:O22" si="1">N18/$N$29</f>
        <v>0</v>
      </c>
      <c r="P18" s="54"/>
      <c r="Q18" s="5"/>
    </row>
    <row r="19" spans="1:22" hidden="1" x14ac:dyDescent="0.35">
      <c r="A19" s="5"/>
      <c r="B19" s="76"/>
      <c r="C19" s="136"/>
      <c r="D19" s="77"/>
      <c r="E19" s="47"/>
      <c r="F19" s="46"/>
      <c r="G19" s="48"/>
      <c r="H19" s="49"/>
      <c r="I19" s="48"/>
      <c r="J19" s="50"/>
      <c r="K19" s="51"/>
      <c r="L19" s="52"/>
      <c r="M19" s="142"/>
      <c r="N19" s="53">
        <f>+M19*C10</f>
        <v>0</v>
      </c>
      <c r="O19" s="120">
        <f t="shared" si="1"/>
        <v>0</v>
      </c>
      <c r="P19" s="54"/>
      <c r="Q19" s="5"/>
      <c r="U19" s="151" t="s">
        <v>66</v>
      </c>
      <c r="V19" s="152" t="s">
        <v>11</v>
      </c>
    </row>
    <row r="20" spans="1:22" hidden="1" x14ac:dyDescent="0.35">
      <c r="A20" s="5"/>
      <c r="B20" s="415"/>
      <c r="C20" s="77"/>
      <c r="D20" s="153"/>
      <c r="E20" s="47"/>
      <c r="F20" s="137"/>
      <c r="G20" s="138"/>
      <c r="H20" s="139"/>
      <c r="I20" s="138"/>
      <c r="J20" s="140"/>
      <c r="K20" s="140"/>
      <c r="L20" s="141"/>
      <c r="M20" s="158"/>
      <c r="N20" s="237">
        <f>+M20*C10</f>
        <v>0</v>
      </c>
      <c r="O20" s="120">
        <f t="shared" si="1"/>
        <v>0</v>
      </c>
      <c r="P20" s="54"/>
      <c r="Q20" s="5"/>
      <c r="U20" s="143">
        <f>+M20/6</f>
        <v>0</v>
      </c>
      <c r="V20" s="143">
        <f>+U20*D20</f>
        <v>0</v>
      </c>
    </row>
    <row r="21" spans="1:22" hidden="1" x14ac:dyDescent="0.35">
      <c r="A21" s="5"/>
      <c r="B21" s="416"/>
      <c r="C21" s="77"/>
      <c r="D21" s="153"/>
      <c r="E21" s="47"/>
      <c r="F21" s="137"/>
      <c r="G21" s="138"/>
      <c r="H21" s="139"/>
      <c r="I21" s="138"/>
      <c r="J21" s="140"/>
      <c r="K21" s="157"/>
      <c r="L21" s="141"/>
      <c r="M21" s="156"/>
      <c r="N21" s="237">
        <f>+M21*C10</f>
        <v>0</v>
      </c>
      <c r="O21" s="120">
        <f t="shared" si="1"/>
        <v>0</v>
      </c>
      <c r="P21" s="54"/>
      <c r="Q21" s="5"/>
      <c r="U21" s="143">
        <v>703.9</v>
      </c>
      <c r="V21" s="143">
        <f>+U21*D21</f>
        <v>0</v>
      </c>
    </row>
    <row r="22" spans="1:22" x14ac:dyDescent="0.35">
      <c r="A22" s="11"/>
      <c r="B22" s="406" t="s">
        <v>26</v>
      </c>
      <c r="C22" s="406"/>
      <c r="D22" s="406"/>
      <c r="E22" s="406"/>
      <c r="F22" s="406"/>
      <c r="G22" s="210">
        <f>SUM(G16:G21)</f>
        <v>7142.8571428571422</v>
      </c>
      <c r="H22" s="211">
        <f>G22/I22</f>
        <v>0.18</v>
      </c>
      <c r="I22" s="210">
        <f>SUM(I16:I21)</f>
        <v>39682.539682539682</v>
      </c>
      <c r="J22" s="407" t="s">
        <v>27</v>
      </c>
      <c r="K22" s="408"/>
      <c r="L22" s="56"/>
      <c r="M22" s="218">
        <f>SUM(M16:M21)</f>
        <v>1000</v>
      </c>
      <c r="N22" s="219">
        <f>SUM(N16:N21)</f>
        <v>3200</v>
      </c>
      <c r="O22" s="220">
        <f t="shared" si="1"/>
        <v>1</v>
      </c>
      <c r="P22" s="57"/>
      <c r="Q22" s="11"/>
      <c r="V22" s="150">
        <f>SUM(V20:V21)</f>
        <v>0</v>
      </c>
    </row>
    <row r="23" spans="1:22" s="92" customFormat="1" x14ac:dyDescent="0.35">
      <c r="A23" s="90"/>
      <c r="B23" s="106" t="s">
        <v>41</v>
      </c>
      <c r="C23" s="107"/>
      <c r="D23" s="107"/>
      <c r="E23" s="107"/>
      <c r="F23" s="107"/>
      <c r="G23" s="100"/>
      <c r="H23" s="101"/>
      <c r="I23" s="100"/>
      <c r="J23" s="102"/>
      <c r="K23" s="102"/>
      <c r="L23" s="89"/>
      <c r="M23" s="102"/>
      <c r="N23" s="103"/>
      <c r="O23" s="122"/>
      <c r="P23" s="104"/>
      <c r="Q23" s="90"/>
      <c r="U23" s="1"/>
    </row>
    <row r="24" spans="1:22" s="92" customFormat="1" hidden="1" x14ac:dyDescent="0.35">
      <c r="A24" s="90"/>
      <c r="B24" s="417" t="s">
        <v>58</v>
      </c>
      <c r="C24" s="418"/>
      <c r="D24" s="418"/>
      <c r="E24" s="418"/>
      <c r="F24" s="418"/>
      <c r="G24" s="94">
        <v>0</v>
      </c>
      <c r="H24" s="108"/>
      <c r="I24" s="109"/>
      <c r="J24" s="96"/>
      <c r="K24" s="97"/>
      <c r="L24" s="98"/>
      <c r="M24" s="105">
        <f>(M16+M17)*G24</f>
        <v>0</v>
      </c>
      <c r="N24" s="53">
        <f t="shared" ref="N24:N26" si="2">M24*$C$10</f>
        <v>0</v>
      </c>
      <c r="O24" s="123"/>
      <c r="P24" s="91"/>
      <c r="Q24" s="90"/>
      <c r="U24" s="1"/>
      <c r="V24" s="1"/>
    </row>
    <row r="25" spans="1:22" hidden="1" x14ac:dyDescent="0.35">
      <c r="A25" s="11"/>
      <c r="B25" s="417" t="s">
        <v>42</v>
      </c>
      <c r="C25" s="418"/>
      <c r="D25" s="418"/>
      <c r="E25" s="418"/>
      <c r="F25" s="418"/>
      <c r="G25" s="95">
        <v>0.15</v>
      </c>
      <c r="H25" s="88"/>
      <c r="I25" s="93"/>
      <c r="J25" s="96"/>
      <c r="K25" s="97"/>
      <c r="L25" s="98"/>
      <c r="M25" s="99"/>
      <c r="N25" s="53">
        <f t="shared" si="2"/>
        <v>0</v>
      </c>
      <c r="O25" s="123"/>
      <c r="P25" s="57"/>
      <c r="Q25" s="11"/>
    </row>
    <row r="26" spans="1:22" hidden="1" x14ac:dyDescent="0.35">
      <c r="A26" s="11"/>
      <c r="B26" s="417" t="s">
        <v>41</v>
      </c>
      <c r="C26" s="418"/>
      <c r="D26" s="418"/>
      <c r="E26" s="418"/>
      <c r="F26" s="418"/>
      <c r="G26" s="95">
        <v>0.15</v>
      </c>
      <c r="H26" s="88"/>
      <c r="I26" s="93"/>
      <c r="J26" s="96"/>
      <c r="K26" s="97"/>
      <c r="L26" s="98"/>
      <c r="M26" s="99"/>
      <c r="N26" s="53">
        <f t="shared" si="2"/>
        <v>0</v>
      </c>
      <c r="O26" s="123"/>
      <c r="P26" s="57"/>
      <c r="Q26" s="11"/>
    </row>
    <row r="27" spans="1:22" hidden="1" x14ac:dyDescent="0.35">
      <c r="A27" s="11"/>
      <c r="B27" s="409" t="s">
        <v>35</v>
      </c>
      <c r="C27" s="410"/>
      <c r="D27" s="410"/>
      <c r="E27" s="410"/>
      <c r="F27" s="410"/>
      <c r="G27" s="410"/>
      <c r="H27" s="410"/>
      <c r="I27" s="410"/>
      <c r="J27" s="410"/>
      <c r="K27" s="411"/>
      <c r="L27" s="56"/>
      <c r="M27" s="86">
        <f>SUM(M24:M26)</f>
        <v>0</v>
      </c>
      <c r="N27" s="87">
        <f>SUM(N24:N26)</f>
        <v>0</v>
      </c>
      <c r="O27" s="127">
        <f>N27/$N$29</f>
        <v>0</v>
      </c>
      <c r="P27" s="57"/>
      <c r="Q27" s="11"/>
    </row>
    <row r="28" spans="1:22" x14ac:dyDescent="0.35">
      <c r="A28" s="5"/>
      <c r="B28" s="58"/>
      <c r="C28" s="59"/>
      <c r="D28" s="60"/>
      <c r="E28" s="61"/>
      <c r="F28" s="62"/>
      <c r="G28" s="63"/>
      <c r="H28" s="64"/>
      <c r="I28" s="65"/>
      <c r="J28" s="66"/>
      <c r="K28" s="67"/>
      <c r="L28" s="68"/>
      <c r="M28" s="66"/>
      <c r="N28" s="69"/>
      <c r="O28" s="124"/>
      <c r="P28" s="54"/>
      <c r="Q28" s="5"/>
    </row>
    <row r="29" spans="1:22" x14ac:dyDescent="0.35">
      <c r="A29" s="5"/>
      <c r="B29" s="20"/>
      <c r="C29" s="5"/>
      <c r="D29" s="5"/>
      <c r="E29" s="5"/>
      <c r="F29" s="5"/>
      <c r="G29" s="5"/>
      <c r="H29" s="5"/>
      <c r="I29" s="5"/>
      <c r="J29" s="406" t="s">
        <v>28</v>
      </c>
      <c r="K29" s="406"/>
      <c r="L29" s="7"/>
      <c r="M29" s="218">
        <f>SUM(M27,M22)</f>
        <v>1000</v>
      </c>
      <c r="N29" s="219">
        <f>SUM(N27,N22)</f>
        <v>3200</v>
      </c>
      <c r="O29" s="220">
        <f>N29/$N$29</f>
        <v>1</v>
      </c>
      <c r="P29" s="5"/>
      <c r="Q29" s="5"/>
    </row>
    <row r="30" spans="1:22" x14ac:dyDescent="0.35">
      <c r="A30" s="5"/>
      <c r="B30" s="20" t="s">
        <v>159</v>
      </c>
      <c r="C30" s="5"/>
      <c r="D30" s="5"/>
      <c r="E30" s="5"/>
      <c r="F30" s="5"/>
      <c r="G30" s="5"/>
      <c r="H30" s="5"/>
      <c r="I30" s="5"/>
      <c r="J30" s="5"/>
      <c r="K30" s="5"/>
      <c r="L30" s="7"/>
      <c r="M30" s="5"/>
      <c r="N30" s="131"/>
      <c r="O30" s="115"/>
      <c r="P30" s="5"/>
      <c r="Q30" s="5"/>
    </row>
    <row r="31" spans="1:22" x14ac:dyDescent="0.35">
      <c r="A31" s="5"/>
      <c r="B31" s="20"/>
      <c r="C31" s="19"/>
      <c r="D31" s="19"/>
      <c r="E31" s="72"/>
      <c r="F31" s="19"/>
      <c r="G31" s="5"/>
      <c r="H31" s="5"/>
      <c r="I31" s="73"/>
      <c r="J31" s="11"/>
      <c r="K31" s="5"/>
      <c r="L31" s="7"/>
      <c r="N31" s="130"/>
      <c r="O31" s="125"/>
      <c r="P31" s="74"/>
      <c r="Q31" s="41"/>
    </row>
    <row r="32" spans="1:22" x14ac:dyDescent="0.35">
      <c r="A32" s="5"/>
      <c r="B32" s="20"/>
      <c r="C32" s="19"/>
      <c r="D32" s="19"/>
      <c r="E32" s="19"/>
      <c r="F32" s="19"/>
      <c r="G32" s="5"/>
      <c r="H32" s="5"/>
      <c r="I32" s="5"/>
      <c r="J32" s="5"/>
      <c r="K32" s="5"/>
      <c r="L32" s="7"/>
      <c r="M32" s="5"/>
      <c r="N32" s="5"/>
      <c r="O32" s="115"/>
      <c r="P32" s="74"/>
      <c r="Q32" s="41"/>
    </row>
    <row r="33" spans="1:25" x14ac:dyDescent="0.35">
      <c r="A33" s="5"/>
      <c r="B33" s="20"/>
      <c r="C33" s="19"/>
      <c r="D33" s="19"/>
      <c r="E33" s="19"/>
      <c r="F33" s="19"/>
      <c r="G33" s="5"/>
      <c r="H33" s="5"/>
      <c r="I33" s="5"/>
      <c r="J33" s="5"/>
      <c r="K33" s="5"/>
      <c r="L33" s="7"/>
      <c r="M33" s="5"/>
      <c r="O33" s="115"/>
      <c r="P33" s="74"/>
      <c r="Q33" s="41"/>
    </row>
    <row r="34" spans="1:25" x14ac:dyDescent="0.35">
      <c r="A34" s="5"/>
      <c r="B34" s="20"/>
      <c r="C34" s="19"/>
      <c r="D34" s="19"/>
      <c r="E34" s="19"/>
      <c r="F34" s="19"/>
      <c r="G34" s="5"/>
      <c r="H34" s="5"/>
      <c r="I34" s="5"/>
      <c r="J34" s="5"/>
      <c r="K34" s="5"/>
      <c r="L34" s="7"/>
      <c r="M34" s="5"/>
      <c r="N34" s="145">
        <f>+IMS!N35</f>
        <v>7393.3242799999971</v>
      </c>
      <c r="O34" s="115"/>
      <c r="P34" s="74"/>
      <c r="Q34" s="75"/>
    </row>
    <row r="35" spans="1:25" x14ac:dyDescent="0.35">
      <c r="N35" s="145">
        <f>+N34-N29</f>
        <v>4193.3242799999971</v>
      </c>
    </row>
    <row r="36" spans="1:25" x14ac:dyDescent="0.35">
      <c r="N36" s="222">
        <f>+N29/3.2</f>
        <v>1000</v>
      </c>
    </row>
    <row r="37" spans="1:25" x14ac:dyDescent="0.35">
      <c r="N37" s="155"/>
    </row>
    <row r="42" spans="1:25" x14ac:dyDescent="0.35">
      <c r="Y42" s="154"/>
    </row>
    <row r="43" spans="1:25" x14ac:dyDescent="0.35">
      <c r="U43" s="1">
        <f>+X43*$G$24*G26</f>
        <v>0</v>
      </c>
      <c r="Y43" s="154"/>
    </row>
    <row r="44" spans="1:25" x14ac:dyDescent="0.35">
      <c r="U44" s="1">
        <f>+(X44*$G$24)*G25</f>
        <v>0</v>
      </c>
      <c r="Y44" s="154"/>
    </row>
    <row r="45" spans="1:25" x14ac:dyDescent="0.35">
      <c r="U45" s="1">
        <f>+X45*$G$24</f>
        <v>0</v>
      </c>
      <c r="Y45" s="154"/>
    </row>
    <row r="46" spans="1:25" x14ac:dyDescent="0.35">
      <c r="U46" s="1">
        <f>+X46*$G$24</f>
        <v>0</v>
      </c>
      <c r="Y46" s="154"/>
    </row>
    <row r="47" spans="1:25" x14ac:dyDescent="0.35">
      <c r="U47" s="1">
        <f>+X47*$G$24</f>
        <v>0</v>
      </c>
      <c r="Y47" s="154"/>
    </row>
    <row r="50" spans="25:25" x14ac:dyDescent="0.35">
      <c r="Y50" s="154"/>
    </row>
  </sheetData>
  <mergeCells count="15">
    <mergeCell ref="B14:K14"/>
    <mergeCell ref="C2:D2"/>
    <mergeCell ref="C4:D4"/>
    <mergeCell ref="C6:D6"/>
    <mergeCell ref="C8:D8"/>
    <mergeCell ref="C10:D10"/>
    <mergeCell ref="B26:F26"/>
    <mergeCell ref="B27:K27"/>
    <mergeCell ref="J29:K29"/>
    <mergeCell ref="M15:O15"/>
    <mergeCell ref="B20:B21"/>
    <mergeCell ref="B22:F22"/>
    <mergeCell ref="J22:K22"/>
    <mergeCell ref="B24:F24"/>
    <mergeCell ref="B25:F25"/>
  </mergeCells>
  <conditionalFormatting sqref="M14 L11:M13 L18:M18 L15:L16 M16:M17">
    <cfRule type="cellIs" dxfId="91" priority="11" stopIfTrue="1" operator="equal">
      <formula>0</formula>
    </cfRule>
    <cfRule type="expression" dxfId="90" priority="12" stopIfTrue="1">
      <formula>ISERROR(L11)</formula>
    </cfRule>
  </conditionalFormatting>
  <conditionalFormatting sqref="L19">
    <cfRule type="cellIs" dxfId="89" priority="9" stopIfTrue="1" operator="equal">
      <formula>0</formula>
    </cfRule>
    <cfRule type="expression" dxfId="88" priority="10" stopIfTrue="1">
      <formula>ISERROR(L19)</formula>
    </cfRule>
  </conditionalFormatting>
  <conditionalFormatting sqref="L20:M20">
    <cfRule type="cellIs" dxfId="87" priority="7" stopIfTrue="1" operator="equal">
      <formula>0</formula>
    </cfRule>
    <cfRule type="expression" dxfId="86" priority="8" stopIfTrue="1">
      <formula>ISERROR(L20)</formula>
    </cfRule>
  </conditionalFormatting>
  <conditionalFormatting sqref="L21">
    <cfRule type="cellIs" dxfId="85" priority="5" stopIfTrue="1" operator="equal">
      <formula>0</formula>
    </cfRule>
    <cfRule type="expression" dxfId="84" priority="6" stopIfTrue="1">
      <formula>ISERROR(L21)</formula>
    </cfRule>
  </conditionalFormatting>
  <conditionalFormatting sqref="L17">
    <cfRule type="cellIs" dxfId="83" priority="3" stopIfTrue="1" operator="equal">
      <formula>0</formula>
    </cfRule>
    <cfRule type="expression" dxfId="82" priority="4" stopIfTrue="1">
      <formula>ISERROR(L17)</formula>
    </cfRule>
  </conditionalFormatting>
  <conditionalFormatting sqref="M19">
    <cfRule type="cellIs" dxfId="81" priority="1" stopIfTrue="1" operator="equal">
      <formula>0</formula>
    </cfRule>
    <cfRule type="expression" dxfId="80" priority="2" stopIfTrue="1">
      <formula>ISERROR(M19)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51"/>
  <sheetViews>
    <sheetView showGridLines="0" zoomScale="56" zoomScaleNormal="56" workbookViewId="0">
      <selection activeCell="E37" sqref="E37"/>
    </sheetView>
  </sheetViews>
  <sheetFormatPr baseColWidth="10" defaultRowHeight="21" x14ac:dyDescent="0.35"/>
  <cols>
    <col min="1" max="1" width="4" style="1" customWidth="1"/>
    <col min="2" max="2" width="31.140625" style="2" customWidth="1"/>
    <col min="3" max="3" width="28.7109375" style="1" customWidth="1"/>
    <col min="4" max="4" width="36.5703125" style="1" customWidth="1"/>
    <col min="5" max="5" width="24.140625" style="1" bestFit="1" customWidth="1"/>
    <col min="6" max="6" width="20.7109375" style="1" customWidth="1"/>
    <col min="7" max="7" width="13" style="1" customWidth="1"/>
    <col min="8" max="8" width="21.7109375" style="1" customWidth="1"/>
    <col min="9" max="9" width="21" style="1" customWidth="1"/>
    <col min="10" max="10" width="11.7109375" style="1" customWidth="1"/>
    <col min="11" max="11" width="16.5703125" style="1" bestFit="1" customWidth="1"/>
    <col min="12" max="12" width="5.140625" style="4" customWidth="1"/>
    <col min="13" max="13" width="21.7109375" style="1" customWidth="1"/>
    <col min="14" max="14" width="25.7109375" style="1" customWidth="1"/>
    <col min="15" max="15" width="19.85546875" style="126" customWidth="1"/>
    <col min="16" max="17" width="11.42578125" style="1"/>
    <col min="18" max="18" width="20.85546875" style="1" hidden="1" customWidth="1"/>
    <col min="19" max="19" width="23.42578125" style="1" hidden="1" customWidth="1"/>
    <col min="20" max="20" width="11.42578125" style="1"/>
    <col min="21" max="21" width="23.5703125" style="1" hidden="1" customWidth="1"/>
    <col min="22" max="22" width="19.28515625" style="1" hidden="1" customWidth="1"/>
    <col min="23" max="23" width="15.42578125" style="1" bestFit="1" customWidth="1"/>
    <col min="24" max="24" width="21.85546875" style="1" customWidth="1"/>
    <col min="25" max="25" width="19.5703125" style="1" customWidth="1"/>
    <col min="26" max="16384" width="11.42578125" style="1"/>
  </cols>
  <sheetData>
    <row r="1" spans="1:19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7"/>
      <c r="M1" s="5"/>
      <c r="N1" s="5"/>
      <c r="O1" s="115"/>
      <c r="P1" s="5"/>
      <c r="Q1" s="5"/>
    </row>
    <row r="2" spans="1:19" x14ac:dyDescent="0.35">
      <c r="A2" s="5"/>
      <c r="B2" s="221" t="s">
        <v>3</v>
      </c>
      <c r="C2" s="381" t="s">
        <v>32</v>
      </c>
      <c r="D2" s="383"/>
      <c r="E2" s="5"/>
      <c r="F2" s="5"/>
      <c r="G2" s="5"/>
      <c r="H2" s="5"/>
      <c r="I2" s="5"/>
      <c r="J2" s="5"/>
      <c r="K2" s="7"/>
      <c r="L2" s="5"/>
      <c r="M2" s="5"/>
      <c r="N2" s="5"/>
      <c r="O2" s="115"/>
      <c r="P2" s="5"/>
    </row>
    <row r="3" spans="1:19" ht="7.5" customHeight="1" x14ac:dyDescent="0.35">
      <c r="A3" s="7"/>
      <c r="B3" s="8"/>
      <c r="C3" s="9"/>
      <c r="D3" s="10"/>
      <c r="E3" s="7"/>
      <c r="F3" s="7"/>
      <c r="G3" s="7"/>
      <c r="H3" s="7"/>
      <c r="I3" s="7"/>
      <c r="J3" s="7"/>
      <c r="K3" s="7"/>
      <c r="L3" s="7"/>
      <c r="M3" s="7"/>
      <c r="N3" s="7"/>
      <c r="O3" s="116"/>
      <c r="P3" s="7"/>
    </row>
    <row r="4" spans="1:19" x14ac:dyDescent="0.35">
      <c r="A4" s="5"/>
      <c r="B4" s="221" t="s">
        <v>4</v>
      </c>
      <c r="C4" s="381" t="s">
        <v>50</v>
      </c>
      <c r="D4" s="383"/>
      <c r="E4" s="5"/>
      <c r="F4" s="5"/>
      <c r="G4" s="5"/>
      <c r="H4" s="5"/>
      <c r="I4" s="5"/>
      <c r="J4" s="5"/>
      <c r="K4" s="7"/>
      <c r="L4" s="5"/>
      <c r="M4" s="5"/>
      <c r="N4" s="5"/>
      <c r="O4" s="115"/>
      <c r="P4" s="5"/>
    </row>
    <row r="5" spans="1:19" ht="10.5" customHeight="1" x14ac:dyDescent="0.35">
      <c r="A5" s="7"/>
      <c r="B5" s="8"/>
      <c r="C5" s="9"/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116"/>
      <c r="P5" s="7"/>
    </row>
    <row r="6" spans="1:19" x14ac:dyDescent="0.35">
      <c r="A6" s="5"/>
      <c r="B6" s="221" t="s">
        <v>5</v>
      </c>
      <c r="C6" s="381" t="s">
        <v>17</v>
      </c>
      <c r="D6" s="383"/>
      <c r="E6" s="5"/>
      <c r="F6" s="5"/>
      <c r="G6" s="5"/>
      <c r="H6" s="5"/>
      <c r="I6" s="5"/>
      <c r="J6" s="5"/>
      <c r="K6" s="7"/>
      <c r="L6" s="5"/>
      <c r="M6" s="5"/>
      <c r="N6" s="5"/>
      <c r="O6" s="115"/>
      <c r="P6" s="5"/>
    </row>
    <row r="7" spans="1:19" ht="7.5" customHeight="1" x14ac:dyDescent="0.35">
      <c r="A7" s="7"/>
      <c r="B7" s="8"/>
      <c r="C7" s="9"/>
      <c r="D7" s="10"/>
      <c r="E7" s="7"/>
      <c r="F7" s="7"/>
      <c r="G7" s="7"/>
      <c r="H7" s="7"/>
      <c r="I7" s="7"/>
      <c r="J7" s="7"/>
      <c r="K7" s="7"/>
      <c r="L7" s="7"/>
      <c r="M7" s="7"/>
      <c r="N7" s="7"/>
      <c r="O7" s="116"/>
      <c r="P7" s="7"/>
    </row>
    <row r="8" spans="1:19" x14ac:dyDescent="0.35">
      <c r="A8" s="5"/>
      <c r="B8" s="221" t="s">
        <v>6</v>
      </c>
      <c r="C8" s="384">
        <v>42169</v>
      </c>
      <c r="D8" s="386"/>
      <c r="E8" s="11"/>
      <c r="F8" s="5"/>
      <c r="G8" s="5"/>
      <c r="H8" s="5"/>
      <c r="I8" s="5"/>
      <c r="J8" s="5"/>
      <c r="K8" s="7"/>
      <c r="L8" s="5"/>
      <c r="M8" s="5"/>
      <c r="N8" s="5"/>
      <c r="O8" s="115"/>
      <c r="P8" s="41"/>
    </row>
    <row r="9" spans="1:19" ht="11.25" customHeight="1" x14ac:dyDescent="0.35">
      <c r="A9" s="7"/>
      <c r="B9" s="8"/>
      <c r="C9" s="9"/>
      <c r="D9" s="10"/>
      <c r="E9" s="14"/>
      <c r="F9" s="7"/>
      <c r="G9" s="7"/>
      <c r="H9" s="7"/>
      <c r="I9" s="7"/>
      <c r="J9" s="7"/>
      <c r="K9" s="7"/>
      <c r="L9" s="7"/>
      <c r="M9" s="7"/>
      <c r="N9" s="7"/>
      <c r="O9" s="116"/>
      <c r="P9" s="42"/>
    </row>
    <row r="10" spans="1:19" s="3" customFormat="1" x14ac:dyDescent="0.35">
      <c r="A10" s="5"/>
      <c r="B10" s="221" t="s">
        <v>16</v>
      </c>
      <c r="C10" s="403">
        <v>3.2</v>
      </c>
      <c r="D10" s="404"/>
      <c r="E10" s="11"/>
      <c r="F10" s="5"/>
      <c r="G10" s="5"/>
      <c r="H10" s="5"/>
      <c r="I10" s="5"/>
      <c r="J10" s="5"/>
      <c r="K10" s="7"/>
      <c r="L10" s="5"/>
      <c r="M10" s="5"/>
      <c r="N10" s="5"/>
      <c r="O10" s="115"/>
      <c r="P10" s="41"/>
    </row>
    <row r="11" spans="1:19" s="3" customFormat="1" x14ac:dyDescent="0.35">
      <c r="A11" s="5"/>
      <c r="B11" s="5"/>
      <c r="C11" s="41"/>
      <c r="D11" s="5"/>
      <c r="E11" s="5"/>
      <c r="F11" s="5"/>
      <c r="G11" s="5"/>
      <c r="H11" s="5"/>
      <c r="I11" s="5"/>
      <c r="J11" s="5"/>
      <c r="K11" s="5"/>
      <c r="L11" s="7"/>
      <c r="M11" s="5"/>
      <c r="N11" s="5"/>
      <c r="O11" s="115"/>
      <c r="P11" s="5"/>
      <c r="Q11" s="41"/>
    </row>
    <row r="12" spans="1:19" ht="33" customHeight="1" x14ac:dyDescent="0.35">
      <c r="A12" s="15"/>
      <c r="B12" s="209" t="s">
        <v>7</v>
      </c>
      <c r="C12" s="209" t="s">
        <v>18</v>
      </c>
      <c r="D12" s="209" t="s">
        <v>19</v>
      </c>
      <c r="E12" s="209" t="s">
        <v>20</v>
      </c>
      <c r="F12" s="209" t="s">
        <v>8</v>
      </c>
      <c r="G12" s="209" t="s">
        <v>13</v>
      </c>
      <c r="H12" s="209" t="s">
        <v>21</v>
      </c>
      <c r="I12" s="209" t="s">
        <v>22</v>
      </c>
      <c r="J12" s="209" t="s">
        <v>68</v>
      </c>
      <c r="K12" s="209" t="s">
        <v>122</v>
      </c>
      <c r="L12" s="43"/>
      <c r="M12" s="209" t="s">
        <v>24</v>
      </c>
      <c r="N12" s="209" t="s">
        <v>25</v>
      </c>
      <c r="O12" s="226" t="s">
        <v>43</v>
      </c>
      <c r="P12" s="44"/>
      <c r="Q12" s="15"/>
    </row>
    <row r="13" spans="1:19" ht="7.5" customHeight="1" x14ac:dyDescent="0.35">
      <c r="A13" s="5"/>
      <c r="B13" s="11"/>
      <c r="C13" s="5"/>
      <c r="D13" s="5"/>
      <c r="E13" s="5"/>
      <c r="F13" s="5"/>
      <c r="G13" s="5"/>
      <c r="H13" s="5"/>
      <c r="I13" s="5"/>
      <c r="J13" s="5"/>
      <c r="K13" s="5"/>
      <c r="L13" s="7"/>
      <c r="M13" s="5"/>
      <c r="N13" s="5"/>
      <c r="O13" s="115"/>
      <c r="P13" s="5"/>
      <c r="Q13" s="5"/>
    </row>
    <row r="14" spans="1:19" x14ac:dyDescent="0.35">
      <c r="A14" s="5"/>
      <c r="B14" s="400" t="s">
        <v>53</v>
      </c>
      <c r="C14" s="401"/>
      <c r="D14" s="401"/>
      <c r="E14" s="401"/>
      <c r="F14" s="401"/>
      <c r="G14" s="401"/>
      <c r="H14" s="401"/>
      <c r="I14" s="401"/>
      <c r="J14" s="401"/>
      <c r="K14" s="402"/>
      <c r="L14" s="45"/>
      <c r="M14" s="215"/>
      <c r="N14" s="216"/>
      <c r="O14" s="217"/>
      <c r="P14" s="45"/>
      <c r="Q14" s="5"/>
    </row>
    <row r="15" spans="1:19" ht="39.75" hidden="1" customHeight="1" x14ac:dyDescent="0.35">
      <c r="A15" s="5"/>
      <c r="B15" s="167"/>
      <c r="C15" s="160"/>
      <c r="D15" s="81"/>
      <c r="E15" s="47"/>
      <c r="F15" s="46"/>
      <c r="G15" s="48"/>
      <c r="H15" s="49"/>
      <c r="I15" s="48"/>
      <c r="J15" s="50"/>
      <c r="K15" s="51"/>
      <c r="L15" s="52"/>
      <c r="M15" s="142"/>
      <c r="N15" s="53">
        <f>M15*$C$10</f>
        <v>0</v>
      </c>
      <c r="O15" s="120">
        <f>N15/$N$30</f>
        <v>0</v>
      </c>
      <c r="P15" s="54"/>
      <c r="Q15" s="5"/>
      <c r="R15" s="143" t="s">
        <v>51</v>
      </c>
      <c r="S15" s="143">
        <f>+N30/3.15</f>
        <v>3466.6138412698415</v>
      </c>
    </row>
    <row r="16" spans="1:19" ht="48.75" hidden="1" customHeight="1" x14ac:dyDescent="0.35">
      <c r="A16" s="5"/>
      <c r="B16" s="76"/>
      <c r="C16" s="160"/>
      <c r="D16" s="81"/>
      <c r="E16" s="47"/>
      <c r="F16" s="46"/>
      <c r="G16" s="48"/>
      <c r="H16" s="49"/>
      <c r="I16" s="48"/>
      <c r="J16" s="50"/>
      <c r="K16" s="51"/>
      <c r="L16" s="52"/>
      <c r="M16" s="142"/>
      <c r="N16" s="53">
        <f t="shared" ref="N16" si="0">M16*$C$10</f>
        <v>0</v>
      </c>
      <c r="O16" s="120">
        <f t="shared" ref="O16:O22" si="1">N16/$N$30</f>
        <v>0</v>
      </c>
      <c r="P16" s="54"/>
      <c r="Q16" s="5"/>
      <c r="R16" s="143" t="s">
        <v>52</v>
      </c>
      <c r="S16" s="143">
        <f>+S15/2</f>
        <v>1733.3069206349207</v>
      </c>
    </row>
    <row r="17" spans="1:22" ht="49.5" hidden="1" customHeight="1" x14ac:dyDescent="0.35">
      <c r="A17" s="5"/>
      <c r="B17" s="76"/>
      <c r="C17" s="160"/>
      <c r="D17" s="81"/>
      <c r="E17" s="47"/>
      <c r="F17" s="46"/>
      <c r="G17" s="48"/>
      <c r="H17" s="49"/>
      <c r="I17" s="48"/>
      <c r="J17" s="50"/>
      <c r="K17" s="51"/>
      <c r="L17" s="52"/>
      <c r="M17" s="142"/>
      <c r="N17" s="53">
        <f>M17*$C$10</f>
        <v>0</v>
      </c>
      <c r="O17" s="120">
        <f t="shared" si="1"/>
        <v>0</v>
      </c>
      <c r="P17" s="54"/>
      <c r="Q17" s="5"/>
    </row>
    <row r="18" spans="1:22" hidden="1" x14ac:dyDescent="0.35">
      <c r="A18" s="5"/>
      <c r="B18" s="77" t="s">
        <v>69</v>
      </c>
      <c r="C18" s="160"/>
      <c r="D18" s="81"/>
      <c r="E18" s="47" t="s">
        <v>70</v>
      </c>
      <c r="F18" s="46"/>
      <c r="G18" s="48">
        <f>M18/J18</f>
        <v>0</v>
      </c>
      <c r="H18" s="49"/>
      <c r="I18" s="48"/>
      <c r="J18" s="50">
        <v>0.3</v>
      </c>
      <c r="K18" s="51">
        <f>36/C10</f>
        <v>11.25</v>
      </c>
      <c r="L18" s="52"/>
      <c r="M18" s="142">
        <f>+N18/$C$10</f>
        <v>0</v>
      </c>
      <c r="N18" s="53"/>
      <c r="O18" s="120">
        <f t="shared" si="1"/>
        <v>0</v>
      </c>
      <c r="P18" s="54"/>
      <c r="Q18" s="5"/>
    </row>
    <row r="19" spans="1:22" ht="80.25" customHeight="1" x14ac:dyDescent="0.35">
      <c r="A19" s="5"/>
      <c r="B19" s="76" t="s">
        <v>67</v>
      </c>
      <c r="C19" s="136" t="s">
        <v>74</v>
      </c>
      <c r="D19" s="81" t="s">
        <v>120</v>
      </c>
      <c r="E19" s="47" t="s">
        <v>158</v>
      </c>
      <c r="F19" s="46" t="s">
        <v>68</v>
      </c>
      <c r="G19" s="48">
        <f>+H19*I19</f>
        <v>1128.72</v>
      </c>
      <c r="H19" s="49">
        <v>1.5E-3</v>
      </c>
      <c r="I19" s="48">
        <f>+M19/J19*1000</f>
        <v>752480</v>
      </c>
      <c r="J19" s="50">
        <v>2.5</v>
      </c>
      <c r="K19" s="51">
        <f>+G19/M19</f>
        <v>0.6</v>
      </c>
      <c r="L19" s="52"/>
      <c r="M19" s="142">
        <v>1881.2</v>
      </c>
      <c r="N19" s="53">
        <f>+M19*C10</f>
        <v>6019.84</v>
      </c>
      <c r="O19" s="120">
        <f>+N19/N30</f>
        <v>0.55127579966053697</v>
      </c>
      <c r="P19" s="54"/>
      <c r="Q19" s="5"/>
    </row>
    <row r="20" spans="1:22" ht="85.5" customHeight="1" x14ac:dyDescent="0.35">
      <c r="A20" s="5"/>
      <c r="B20" s="76" t="s">
        <v>67</v>
      </c>
      <c r="C20" s="136" t="s">
        <v>74</v>
      </c>
      <c r="D20" s="81" t="s">
        <v>121</v>
      </c>
      <c r="E20" s="47" t="s">
        <v>158</v>
      </c>
      <c r="F20" s="46" t="s">
        <v>68</v>
      </c>
      <c r="G20" s="48">
        <f>+H20*I20</f>
        <v>400</v>
      </c>
      <c r="H20" s="49">
        <v>1E-3</v>
      </c>
      <c r="I20" s="48">
        <f>+M20/J20*1000</f>
        <v>400000</v>
      </c>
      <c r="J20" s="50">
        <v>3.5</v>
      </c>
      <c r="K20" s="51">
        <f>+G20/M20</f>
        <v>0.2857142857142857</v>
      </c>
      <c r="L20" s="52"/>
      <c r="M20" s="142">
        <v>1400</v>
      </c>
      <c r="N20" s="53">
        <f>+M20*C10</f>
        <v>4480</v>
      </c>
      <c r="O20" s="120">
        <f t="shared" si="1"/>
        <v>0.41026266187792459</v>
      </c>
      <c r="P20" s="54"/>
      <c r="Q20" s="5"/>
      <c r="U20" s="151" t="s">
        <v>66</v>
      </c>
      <c r="V20" s="152" t="s">
        <v>11</v>
      </c>
    </row>
    <row r="21" spans="1:22" ht="34.5" hidden="1" customHeight="1" x14ac:dyDescent="0.35">
      <c r="A21" s="5"/>
      <c r="B21" s="415"/>
      <c r="C21" s="77"/>
      <c r="D21" s="153"/>
      <c r="E21" s="47"/>
      <c r="F21" s="137"/>
      <c r="G21" s="138"/>
      <c r="H21" s="139"/>
      <c r="I21" s="138"/>
      <c r="J21" s="140"/>
      <c r="K21" s="140"/>
      <c r="L21" s="141"/>
      <c r="M21" s="158"/>
      <c r="N21" s="159">
        <f>+M21*C10</f>
        <v>0</v>
      </c>
      <c r="O21" s="120">
        <f t="shared" si="1"/>
        <v>0</v>
      </c>
      <c r="P21" s="54"/>
      <c r="Q21" s="5"/>
      <c r="U21" s="143">
        <f>+M21/6</f>
        <v>0</v>
      </c>
      <c r="V21" s="143">
        <f>+U21*D21</f>
        <v>0</v>
      </c>
    </row>
    <row r="22" spans="1:22" ht="33" hidden="1" customHeight="1" x14ac:dyDescent="0.35">
      <c r="A22" s="5"/>
      <c r="B22" s="416"/>
      <c r="C22" s="77"/>
      <c r="D22" s="153"/>
      <c r="E22" s="47"/>
      <c r="F22" s="137"/>
      <c r="G22" s="138"/>
      <c r="H22" s="139"/>
      <c r="I22" s="138"/>
      <c r="J22" s="140"/>
      <c r="K22" s="157"/>
      <c r="L22" s="141"/>
      <c r="M22" s="156"/>
      <c r="N22" s="159">
        <f>+M22*C10</f>
        <v>0</v>
      </c>
      <c r="O22" s="120">
        <f t="shared" si="1"/>
        <v>0</v>
      </c>
      <c r="P22" s="54"/>
      <c r="Q22" s="5"/>
      <c r="U22" s="143">
        <v>703.9</v>
      </c>
      <c r="V22" s="143">
        <f>+U22*D22</f>
        <v>0</v>
      </c>
    </row>
    <row r="23" spans="1:22" x14ac:dyDescent="0.35">
      <c r="A23" s="11"/>
      <c r="B23" s="406" t="s">
        <v>26</v>
      </c>
      <c r="C23" s="406"/>
      <c r="D23" s="406"/>
      <c r="E23" s="406"/>
      <c r="F23" s="406"/>
      <c r="G23" s="210">
        <f>SUM(G15:G22)</f>
        <v>1528.72</v>
      </c>
      <c r="H23" s="211">
        <f>G23/I23</f>
        <v>1.3264611967235874E-3</v>
      </c>
      <c r="I23" s="210">
        <f>SUM(I15:I22)</f>
        <v>1152480</v>
      </c>
      <c r="J23" s="407" t="s">
        <v>27</v>
      </c>
      <c r="K23" s="408"/>
      <c r="L23" s="56"/>
      <c r="M23" s="218">
        <f>SUM(M15:M22)</f>
        <v>3281.2</v>
      </c>
      <c r="N23" s="219">
        <f>SUM(N15:N22)</f>
        <v>10499.84</v>
      </c>
      <c r="O23" s="220">
        <f>N23/$N$30</f>
        <v>0.96153846153846156</v>
      </c>
      <c r="P23" s="57"/>
      <c r="Q23" s="11"/>
      <c r="V23" s="150">
        <f>SUM(V21:V22)</f>
        <v>0</v>
      </c>
    </row>
    <row r="24" spans="1:22" s="92" customFormat="1" x14ac:dyDescent="0.35">
      <c r="A24" s="90"/>
      <c r="B24" s="106" t="s">
        <v>41</v>
      </c>
      <c r="C24" s="107"/>
      <c r="D24" s="107"/>
      <c r="E24" s="107"/>
      <c r="F24" s="107"/>
      <c r="G24" s="100"/>
      <c r="H24" s="101"/>
      <c r="I24" s="100"/>
      <c r="J24" s="102"/>
      <c r="K24" s="102"/>
      <c r="L24" s="89"/>
      <c r="M24" s="102"/>
      <c r="N24" s="103"/>
      <c r="O24" s="122"/>
      <c r="P24" s="104"/>
      <c r="Q24" s="90"/>
      <c r="U24" s="1"/>
    </row>
    <row r="25" spans="1:22" s="92" customFormat="1" ht="29.25" customHeight="1" x14ac:dyDescent="0.35">
      <c r="A25" s="90"/>
      <c r="B25" s="417" t="s">
        <v>58</v>
      </c>
      <c r="C25" s="418"/>
      <c r="D25" s="418"/>
      <c r="E25" s="418"/>
      <c r="F25" s="418"/>
      <c r="G25" s="94">
        <v>0.04</v>
      </c>
      <c r="H25" s="108"/>
      <c r="I25" s="109"/>
      <c r="J25" s="96"/>
      <c r="K25" s="97"/>
      <c r="L25" s="98"/>
      <c r="M25" s="105">
        <f>(M19+M20)*G25</f>
        <v>131.24799999999999</v>
      </c>
      <c r="N25" s="53">
        <f t="shared" ref="N25:N27" si="2">M25*$C$10</f>
        <v>419.99360000000001</v>
      </c>
      <c r="O25" s="123"/>
      <c r="P25" s="91"/>
      <c r="Q25" s="90"/>
      <c r="U25" s="1"/>
      <c r="V25" s="1"/>
    </row>
    <row r="26" spans="1:22" hidden="1" x14ac:dyDescent="0.35">
      <c r="A26" s="11"/>
      <c r="B26" s="417" t="s">
        <v>42</v>
      </c>
      <c r="C26" s="418"/>
      <c r="D26" s="418"/>
      <c r="E26" s="418"/>
      <c r="F26" s="418"/>
      <c r="G26" s="95">
        <v>0.15</v>
      </c>
      <c r="H26" s="88"/>
      <c r="I26" s="93"/>
      <c r="J26" s="96"/>
      <c r="K26" s="97"/>
      <c r="L26" s="98"/>
      <c r="M26" s="99">
        <f>(M17+M16)*G26</f>
        <v>0</v>
      </c>
      <c r="N26" s="53">
        <f t="shared" si="2"/>
        <v>0</v>
      </c>
      <c r="O26" s="123"/>
      <c r="P26" s="57"/>
      <c r="Q26" s="11"/>
    </row>
    <row r="27" spans="1:22" hidden="1" x14ac:dyDescent="0.35">
      <c r="A27" s="11"/>
      <c r="B27" s="417" t="s">
        <v>41</v>
      </c>
      <c r="C27" s="418"/>
      <c r="D27" s="418"/>
      <c r="E27" s="418"/>
      <c r="F27" s="418"/>
      <c r="G27" s="95">
        <v>0.15</v>
      </c>
      <c r="H27" s="88"/>
      <c r="I27" s="93"/>
      <c r="J27" s="96"/>
      <c r="K27" s="97"/>
      <c r="L27" s="98"/>
      <c r="M27" s="99">
        <f>(M21+M22)*G27</f>
        <v>0</v>
      </c>
      <c r="N27" s="53">
        <f t="shared" si="2"/>
        <v>0</v>
      </c>
      <c r="O27" s="123"/>
      <c r="P27" s="57"/>
      <c r="Q27" s="11"/>
    </row>
    <row r="28" spans="1:22" x14ac:dyDescent="0.35">
      <c r="A28" s="11"/>
      <c r="B28" s="409" t="s">
        <v>35</v>
      </c>
      <c r="C28" s="410"/>
      <c r="D28" s="410"/>
      <c r="E28" s="410"/>
      <c r="F28" s="410"/>
      <c r="G28" s="410"/>
      <c r="H28" s="410"/>
      <c r="I28" s="410"/>
      <c r="J28" s="410"/>
      <c r="K28" s="411"/>
      <c r="L28" s="56"/>
      <c r="M28" s="86">
        <f>SUM(M25:M27)</f>
        <v>131.24799999999999</v>
      </c>
      <c r="N28" s="87">
        <f>SUM(N25:N27)</f>
        <v>419.99360000000001</v>
      </c>
      <c r="O28" s="127">
        <f>N28/$N$30</f>
        <v>3.8461538461538464E-2</v>
      </c>
      <c r="P28" s="57"/>
      <c r="Q28" s="11"/>
    </row>
    <row r="29" spans="1:22" x14ac:dyDescent="0.35">
      <c r="A29" s="5"/>
      <c r="B29" s="58"/>
      <c r="C29" s="59"/>
      <c r="D29" s="60"/>
      <c r="E29" s="61"/>
      <c r="F29" s="62"/>
      <c r="G29" s="63"/>
      <c r="H29" s="64"/>
      <c r="I29" s="65"/>
      <c r="J29" s="66"/>
      <c r="K29" s="67"/>
      <c r="L29" s="68"/>
      <c r="M29" s="66"/>
      <c r="N29" s="69"/>
      <c r="O29" s="124"/>
      <c r="P29" s="54"/>
      <c r="Q29" s="5"/>
    </row>
    <row r="30" spans="1:22" x14ac:dyDescent="0.35">
      <c r="A30" s="5"/>
      <c r="B30" s="20"/>
      <c r="C30" s="5"/>
      <c r="D30" s="5"/>
      <c r="E30" s="5"/>
      <c r="F30" s="5"/>
      <c r="G30" s="5"/>
      <c r="H30" s="5"/>
      <c r="I30" s="5"/>
      <c r="J30" s="406" t="s">
        <v>28</v>
      </c>
      <c r="K30" s="406"/>
      <c r="L30" s="7"/>
      <c r="M30" s="218">
        <f>SUM(M28,M23)</f>
        <v>3412.4479999999999</v>
      </c>
      <c r="N30" s="219">
        <f>SUM(N28,N23)</f>
        <v>10919.8336</v>
      </c>
      <c r="O30" s="220">
        <f>N30/$N$30</f>
        <v>1</v>
      </c>
      <c r="P30" s="5"/>
      <c r="Q30" s="5"/>
    </row>
    <row r="31" spans="1:22" x14ac:dyDescent="0.35">
      <c r="A31" s="5"/>
      <c r="B31" s="20" t="s">
        <v>159</v>
      </c>
      <c r="C31" s="5"/>
      <c r="D31" s="5"/>
      <c r="E31" s="5"/>
      <c r="F31" s="5"/>
      <c r="G31" s="5"/>
      <c r="H31" s="5"/>
      <c r="I31" s="5"/>
      <c r="J31" s="5"/>
      <c r="K31" s="5"/>
      <c r="L31" s="7"/>
      <c r="M31" s="5"/>
      <c r="N31" s="131"/>
      <c r="O31" s="115"/>
      <c r="P31" s="5"/>
      <c r="Q31" s="5"/>
    </row>
    <row r="32" spans="1:22" x14ac:dyDescent="0.35">
      <c r="A32" s="5"/>
      <c r="B32" s="20"/>
      <c r="C32" s="19"/>
      <c r="D32" s="19"/>
      <c r="E32" s="72"/>
      <c r="F32" s="19"/>
      <c r="G32" s="5"/>
      <c r="H32" s="5"/>
      <c r="I32" s="73"/>
      <c r="J32" s="11"/>
      <c r="K32" s="5"/>
      <c r="L32" s="7"/>
      <c r="N32" s="130"/>
      <c r="O32" s="125"/>
      <c r="P32" s="74"/>
      <c r="Q32" s="41"/>
    </row>
    <row r="33" spans="1:25" x14ac:dyDescent="0.35">
      <c r="A33" s="5"/>
      <c r="B33" s="20"/>
      <c r="C33" s="19"/>
      <c r="D33" s="19"/>
      <c r="E33" s="19"/>
      <c r="F33" s="19"/>
      <c r="G33" s="5"/>
      <c r="H33" s="5"/>
      <c r="I33" s="5"/>
      <c r="J33" s="5"/>
      <c r="K33" s="5"/>
      <c r="L33" s="7"/>
      <c r="M33" s="5"/>
      <c r="N33" s="5"/>
      <c r="O33" s="115"/>
      <c r="P33" s="74"/>
      <c r="Q33" s="41"/>
    </row>
    <row r="34" spans="1:25" x14ac:dyDescent="0.35">
      <c r="A34" s="5"/>
      <c r="B34" s="20"/>
      <c r="C34" s="19"/>
      <c r="D34" s="19"/>
      <c r="E34" s="19"/>
      <c r="F34" s="19"/>
      <c r="G34" s="5"/>
      <c r="H34" s="5"/>
      <c r="I34" s="5"/>
      <c r="J34" s="5"/>
      <c r="K34" s="5"/>
      <c r="L34" s="7"/>
      <c r="M34" s="5"/>
      <c r="O34" s="115"/>
      <c r="P34" s="74"/>
      <c r="Q34" s="41"/>
    </row>
    <row r="35" spans="1:25" x14ac:dyDescent="0.35">
      <c r="A35" s="5"/>
      <c r="B35" s="20"/>
      <c r="C35" s="19"/>
      <c r="D35" s="19"/>
      <c r="E35" s="19"/>
      <c r="F35" s="19"/>
      <c r="G35" s="5"/>
      <c r="H35" s="5"/>
      <c r="I35" s="5"/>
      <c r="J35" s="5"/>
      <c r="K35" s="5"/>
      <c r="L35" s="7"/>
      <c r="M35" s="5"/>
      <c r="N35" s="145">
        <f>+Teads!N35</f>
        <v>4193.3242799999971</v>
      </c>
      <c r="O35" s="115"/>
      <c r="P35" s="74"/>
      <c r="Q35" s="75"/>
    </row>
    <row r="36" spans="1:25" x14ac:dyDescent="0.35">
      <c r="N36" s="145">
        <f>+N35-N30</f>
        <v>-6726.5093200000028</v>
      </c>
    </row>
    <row r="37" spans="1:25" x14ac:dyDescent="0.35">
      <c r="N37" s="222">
        <f>+N30/3.2</f>
        <v>3412.4479999999999</v>
      </c>
    </row>
    <row r="38" spans="1:25" x14ac:dyDescent="0.35">
      <c r="N38" s="155"/>
    </row>
    <row r="43" spans="1:25" x14ac:dyDescent="0.35">
      <c r="Y43" s="154"/>
    </row>
    <row r="44" spans="1:25" x14ac:dyDescent="0.35">
      <c r="U44" s="1">
        <f>+X44*$G$25*G27</f>
        <v>0</v>
      </c>
      <c r="Y44" s="154"/>
    </row>
    <row r="45" spans="1:25" x14ac:dyDescent="0.35">
      <c r="U45" s="1">
        <f>+(X45*$G$25)*G26</f>
        <v>0</v>
      </c>
      <c r="Y45" s="154"/>
    </row>
    <row r="46" spans="1:25" x14ac:dyDescent="0.35">
      <c r="U46" s="1">
        <f>+X46*$G$25</f>
        <v>0</v>
      </c>
      <c r="Y46" s="154"/>
    </row>
    <row r="47" spans="1:25" x14ac:dyDescent="0.35">
      <c r="U47" s="1">
        <f>+X47*$G$25</f>
        <v>0</v>
      </c>
      <c r="Y47" s="154"/>
    </row>
    <row r="48" spans="1:25" x14ac:dyDescent="0.35">
      <c r="U48" s="1">
        <f>+X48*$G$25</f>
        <v>0</v>
      </c>
      <c r="Y48" s="154"/>
    </row>
    <row r="51" spans="25:25" x14ac:dyDescent="0.35">
      <c r="Y51" s="154"/>
    </row>
  </sheetData>
  <mergeCells count="14">
    <mergeCell ref="B28:K28"/>
    <mergeCell ref="J30:K30"/>
    <mergeCell ref="B21:B22"/>
    <mergeCell ref="B23:F23"/>
    <mergeCell ref="J23:K23"/>
    <mergeCell ref="B25:F25"/>
    <mergeCell ref="B26:F26"/>
    <mergeCell ref="B27:F27"/>
    <mergeCell ref="B14:K14"/>
    <mergeCell ref="C2:D2"/>
    <mergeCell ref="C4:D4"/>
    <mergeCell ref="C6:D6"/>
    <mergeCell ref="C8:D8"/>
    <mergeCell ref="C10:D10"/>
  </mergeCells>
  <conditionalFormatting sqref="M14 L11:M13 L18:M19">
    <cfRule type="cellIs" dxfId="79" priority="15" stopIfTrue="1" operator="equal">
      <formula>0</formula>
    </cfRule>
    <cfRule type="expression" dxfId="78" priority="16" stopIfTrue="1">
      <formula>ISERROR(L11)</formula>
    </cfRule>
  </conditionalFormatting>
  <conditionalFormatting sqref="L15:M15">
    <cfRule type="cellIs" dxfId="77" priority="13" stopIfTrue="1" operator="equal">
      <formula>0</formula>
    </cfRule>
    <cfRule type="expression" dxfId="76" priority="14" stopIfTrue="1">
      <formula>ISERROR(L15)</formula>
    </cfRule>
  </conditionalFormatting>
  <conditionalFormatting sqref="L20">
    <cfRule type="cellIs" dxfId="75" priority="11" stopIfTrue="1" operator="equal">
      <formula>0</formula>
    </cfRule>
    <cfRule type="expression" dxfId="74" priority="12" stopIfTrue="1">
      <formula>ISERROR(L20)</formula>
    </cfRule>
  </conditionalFormatting>
  <conditionalFormatting sqref="L21:M21">
    <cfRule type="cellIs" dxfId="73" priority="9" stopIfTrue="1" operator="equal">
      <formula>0</formula>
    </cfRule>
    <cfRule type="expression" dxfId="72" priority="10" stopIfTrue="1">
      <formula>ISERROR(L21)</formula>
    </cfRule>
  </conditionalFormatting>
  <conditionalFormatting sqref="L22">
    <cfRule type="cellIs" dxfId="71" priority="7" stopIfTrue="1" operator="equal">
      <formula>0</formula>
    </cfRule>
    <cfRule type="expression" dxfId="70" priority="8" stopIfTrue="1">
      <formula>ISERROR(L22)</formula>
    </cfRule>
  </conditionalFormatting>
  <conditionalFormatting sqref="L17:M17">
    <cfRule type="cellIs" dxfId="69" priority="5" stopIfTrue="1" operator="equal">
      <formula>0</formula>
    </cfRule>
    <cfRule type="expression" dxfId="68" priority="6" stopIfTrue="1">
      <formula>ISERROR(L17)</formula>
    </cfRule>
  </conditionalFormatting>
  <conditionalFormatting sqref="L16:M16">
    <cfRule type="cellIs" dxfId="67" priority="3" stopIfTrue="1" operator="equal">
      <formula>0</formula>
    </cfRule>
    <cfRule type="expression" dxfId="66" priority="4" stopIfTrue="1">
      <formula>ISERROR(L16)</formula>
    </cfRule>
  </conditionalFormatting>
  <conditionalFormatting sqref="M20">
    <cfRule type="cellIs" dxfId="65" priority="1" stopIfTrue="1" operator="equal">
      <formula>0</formula>
    </cfRule>
    <cfRule type="expression" dxfId="64" priority="2" stopIfTrue="1">
      <formula>ISERROR(M20)</formula>
    </cfRule>
  </conditionalFormatting>
  <pageMargins left="0.7" right="0.7" top="0.75" bottom="0.75" header="0.3" footer="0.3"/>
  <ignoredErrors>
    <ignoredError sqref="H23 O19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Y50"/>
  <sheetViews>
    <sheetView showGridLines="0" zoomScale="56" zoomScaleNormal="56" workbookViewId="0">
      <selection activeCell="E37" sqref="E37"/>
    </sheetView>
  </sheetViews>
  <sheetFormatPr baseColWidth="10" defaultRowHeight="21" x14ac:dyDescent="0.35"/>
  <cols>
    <col min="1" max="1" width="4" style="1" customWidth="1"/>
    <col min="2" max="2" width="31.140625" style="2" customWidth="1"/>
    <col min="3" max="3" width="34.5703125" style="1" customWidth="1"/>
    <col min="4" max="4" width="39.7109375" style="1" customWidth="1"/>
    <col min="5" max="5" width="24.140625" style="1" bestFit="1" customWidth="1"/>
    <col min="6" max="6" width="20.7109375" style="1" customWidth="1"/>
    <col min="7" max="7" width="13" style="1" customWidth="1"/>
    <col min="8" max="8" width="21.7109375" style="1" customWidth="1"/>
    <col min="9" max="9" width="21" style="1" customWidth="1"/>
    <col min="10" max="10" width="11.7109375" style="1" customWidth="1"/>
    <col min="11" max="11" width="16.5703125" style="1" bestFit="1" customWidth="1"/>
    <col min="12" max="12" width="5.140625" style="4" customWidth="1"/>
    <col min="13" max="13" width="21.7109375" style="1" customWidth="1"/>
    <col min="14" max="14" width="25.7109375" style="1" customWidth="1"/>
    <col min="15" max="15" width="19.85546875" style="126" customWidth="1"/>
    <col min="16" max="17" width="11.42578125" style="1"/>
    <col min="18" max="18" width="20.85546875" style="1" hidden="1" customWidth="1"/>
    <col min="19" max="19" width="23.42578125" style="1" hidden="1" customWidth="1"/>
    <col min="20" max="20" width="11.42578125" style="1"/>
    <col min="21" max="21" width="23.5703125" style="1" hidden="1" customWidth="1"/>
    <col min="22" max="22" width="19.28515625" style="1" hidden="1" customWidth="1"/>
    <col min="23" max="23" width="15.42578125" style="1" bestFit="1" customWidth="1"/>
    <col min="24" max="24" width="21.85546875" style="1" customWidth="1"/>
    <col min="25" max="25" width="19.5703125" style="1" customWidth="1"/>
    <col min="26" max="16384" width="11.42578125" style="1"/>
  </cols>
  <sheetData>
    <row r="1" spans="1:19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7"/>
      <c r="M1" s="5"/>
      <c r="N1" s="5"/>
      <c r="O1" s="115"/>
      <c r="P1" s="5"/>
      <c r="Q1" s="5"/>
    </row>
    <row r="2" spans="1:19" x14ac:dyDescent="0.35">
      <c r="A2" s="5"/>
      <c r="B2" s="221" t="s">
        <v>3</v>
      </c>
      <c r="C2" s="381" t="s">
        <v>32</v>
      </c>
      <c r="D2" s="383"/>
      <c r="E2" s="5"/>
      <c r="F2" s="5"/>
      <c r="G2" s="5"/>
      <c r="H2" s="5"/>
      <c r="I2" s="5"/>
      <c r="J2" s="5"/>
      <c r="K2" s="7"/>
      <c r="L2" s="5"/>
      <c r="M2" s="5"/>
      <c r="N2" s="5"/>
      <c r="O2" s="115"/>
      <c r="P2" s="5"/>
    </row>
    <row r="3" spans="1:19" ht="6" customHeight="1" x14ac:dyDescent="0.35">
      <c r="A3" s="7"/>
      <c r="B3" s="8"/>
      <c r="C3" s="9"/>
      <c r="D3" s="10"/>
      <c r="E3" s="7"/>
      <c r="F3" s="7"/>
      <c r="G3" s="7"/>
      <c r="H3" s="7"/>
      <c r="I3" s="7"/>
      <c r="J3" s="7"/>
      <c r="K3" s="7"/>
      <c r="L3" s="7"/>
      <c r="M3" s="7"/>
      <c r="N3" s="7"/>
      <c r="O3" s="116"/>
      <c r="P3" s="7"/>
    </row>
    <row r="4" spans="1:19" x14ac:dyDescent="0.35">
      <c r="A4" s="5"/>
      <c r="B4" s="221" t="s">
        <v>4</v>
      </c>
      <c r="C4" s="381" t="s">
        <v>50</v>
      </c>
      <c r="D4" s="383"/>
      <c r="E4" s="5"/>
      <c r="F4" s="5"/>
      <c r="G4" s="5"/>
      <c r="H4" s="5"/>
      <c r="I4" s="5"/>
      <c r="J4" s="5"/>
      <c r="K4" s="7"/>
      <c r="L4" s="5"/>
      <c r="M4" s="5"/>
      <c r="N4" s="5"/>
      <c r="O4" s="115"/>
      <c r="P4" s="5"/>
    </row>
    <row r="5" spans="1:19" ht="6" customHeight="1" x14ac:dyDescent="0.35">
      <c r="A5" s="7"/>
      <c r="B5" s="8"/>
      <c r="C5" s="9"/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116"/>
      <c r="P5" s="7"/>
    </row>
    <row r="6" spans="1:19" x14ac:dyDescent="0.35">
      <c r="A6" s="5"/>
      <c r="B6" s="221" t="s">
        <v>5</v>
      </c>
      <c r="C6" s="381" t="s">
        <v>17</v>
      </c>
      <c r="D6" s="383"/>
      <c r="E6" s="5"/>
      <c r="F6" s="5"/>
      <c r="G6" s="5"/>
      <c r="H6" s="5"/>
      <c r="I6" s="5"/>
      <c r="J6" s="5"/>
      <c r="K6" s="7"/>
      <c r="L6" s="5"/>
      <c r="M6" s="5"/>
      <c r="N6" s="5"/>
      <c r="O6" s="115"/>
      <c r="P6" s="5"/>
    </row>
    <row r="7" spans="1:19" ht="6" customHeight="1" x14ac:dyDescent="0.35">
      <c r="A7" s="7"/>
      <c r="B7" s="8"/>
      <c r="C7" s="9"/>
      <c r="D7" s="10"/>
      <c r="E7" s="7"/>
      <c r="F7" s="7"/>
      <c r="G7" s="7"/>
      <c r="H7" s="7"/>
      <c r="I7" s="7"/>
      <c r="J7" s="7"/>
      <c r="K7" s="7"/>
      <c r="L7" s="7"/>
      <c r="M7" s="7"/>
      <c r="N7" s="7"/>
      <c r="O7" s="116"/>
      <c r="P7" s="7"/>
    </row>
    <row r="8" spans="1:19" x14ac:dyDescent="0.35">
      <c r="A8" s="5"/>
      <c r="B8" s="221" t="s">
        <v>6</v>
      </c>
      <c r="C8" s="384">
        <v>42169</v>
      </c>
      <c r="D8" s="386"/>
      <c r="E8" s="11"/>
      <c r="F8" s="5"/>
      <c r="G8" s="5"/>
      <c r="H8" s="5"/>
      <c r="I8" s="5"/>
      <c r="J8" s="5"/>
      <c r="K8" s="7"/>
      <c r="L8" s="5"/>
      <c r="M8" s="5"/>
      <c r="N8" s="5"/>
      <c r="O8" s="115"/>
      <c r="P8" s="41"/>
    </row>
    <row r="9" spans="1:19" ht="6" customHeight="1" x14ac:dyDescent="0.35">
      <c r="A9" s="7"/>
      <c r="B9" s="8"/>
      <c r="C9" s="9"/>
      <c r="D9" s="10"/>
      <c r="E9" s="14"/>
      <c r="F9" s="7"/>
      <c r="G9" s="7"/>
      <c r="H9" s="7"/>
      <c r="I9" s="7"/>
      <c r="J9" s="7"/>
      <c r="K9" s="7"/>
      <c r="L9" s="7"/>
      <c r="M9" s="7"/>
      <c r="N9" s="7"/>
      <c r="O9" s="116"/>
      <c r="P9" s="42"/>
    </row>
    <row r="10" spans="1:19" s="3" customFormat="1" x14ac:dyDescent="0.35">
      <c r="A10" s="5"/>
      <c r="B10" s="221" t="s">
        <v>16</v>
      </c>
      <c r="C10" s="403">
        <v>3.2</v>
      </c>
      <c r="D10" s="404"/>
      <c r="E10" s="11"/>
      <c r="F10" s="5"/>
      <c r="G10" s="5"/>
      <c r="H10" s="5"/>
      <c r="I10" s="5"/>
      <c r="J10" s="5"/>
      <c r="K10" s="7"/>
      <c r="L10" s="5"/>
      <c r="M10" s="5"/>
      <c r="N10" s="5"/>
      <c r="O10" s="115"/>
      <c r="P10" s="41"/>
    </row>
    <row r="11" spans="1:19" s="3" customFormat="1" x14ac:dyDescent="0.35">
      <c r="A11" s="5"/>
      <c r="B11" s="5"/>
      <c r="C11" s="41"/>
      <c r="D11" s="5"/>
      <c r="E11" s="5"/>
      <c r="F11" s="5"/>
      <c r="G11" s="5"/>
      <c r="H11" s="5"/>
      <c r="I11" s="5"/>
      <c r="J11" s="5"/>
      <c r="K11" s="5"/>
      <c r="L11" s="7"/>
      <c r="M11" s="5"/>
      <c r="N11" s="5"/>
      <c r="O11" s="115"/>
      <c r="P11" s="5"/>
      <c r="Q11" s="41"/>
    </row>
    <row r="12" spans="1:19" ht="36" customHeight="1" x14ac:dyDescent="0.35">
      <c r="A12" s="15"/>
      <c r="B12" s="223" t="s">
        <v>7</v>
      </c>
      <c r="C12" s="213" t="s">
        <v>18</v>
      </c>
      <c r="D12" s="213" t="s">
        <v>19</v>
      </c>
      <c r="E12" s="213" t="s">
        <v>20</v>
      </c>
      <c r="F12" s="213" t="s">
        <v>8</v>
      </c>
      <c r="G12" s="213" t="s">
        <v>13</v>
      </c>
      <c r="H12" s="213" t="s">
        <v>21</v>
      </c>
      <c r="I12" s="213" t="s">
        <v>22</v>
      </c>
      <c r="J12" s="213" t="s">
        <v>0</v>
      </c>
      <c r="K12" s="224" t="s">
        <v>23</v>
      </c>
      <c r="L12" s="43"/>
      <c r="M12" s="212" t="s">
        <v>24</v>
      </c>
      <c r="N12" s="213" t="s">
        <v>25</v>
      </c>
      <c r="O12" s="214" t="s">
        <v>43</v>
      </c>
      <c r="P12" s="44"/>
      <c r="Q12" s="15"/>
    </row>
    <row r="13" spans="1:19" x14ac:dyDescent="0.35">
      <c r="A13" s="5"/>
      <c r="B13" s="11"/>
      <c r="C13" s="5"/>
      <c r="D13" s="5"/>
      <c r="E13" s="5"/>
      <c r="F13" s="5"/>
      <c r="G13" s="5"/>
      <c r="H13" s="5"/>
      <c r="I13" s="5"/>
      <c r="J13" s="5"/>
      <c r="K13" s="5"/>
      <c r="L13" s="7"/>
      <c r="M13" s="5"/>
      <c r="N13" s="5"/>
      <c r="O13" s="115"/>
      <c r="P13" s="5"/>
      <c r="Q13" s="5"/>
    </row>
    <row r="14" spans="1:19" x14ac:dyDescent="0.35">
      <c r="A14" s="5"/>
      <c r="B14" s="400" t="s">
        <v>53</v>
      </c>
      <c r="C14" s="401"/>
      <c r="D14" s="401"/>
      <c r="E14" s="401"/>
      <c r="F14" s="401"/>
      <c r="G14" s="401"/>
      <c r="H14" s="401"/>
      <c r="I14" s="401"/>
      <c r="J14" s="401"/>
      <c r="K14" s="402"/>
      <c r="L14" s="45"/>
      <c r="M14" s="215"/>
      <c r="N14" s="216"/>
      <c r="O14" s="217"/>
      <c r="P14" s="45"/>
      <c r="Q14" s="5"/>
    </row>
    <row r="15" spans="1:19" hidden="1" x14ac:dyDescent="0.35">
      <c r="A15" s="5"/>
      <c r="B15" s="167"/>
      <c r="C15" s="160"/>
      <c r="D15" s="81"/>
      <c r="E15" s="47"/>
      <c r="F15" s="46"/>
      <c r="G15" s="48"/>
      <c r="H15" s="49"/>
      <c r="I15" s="48"/>
      <c r="J15" s="50"/>
      <c r="K15" s="51"/>
      <c r="L15" s="52"/>
      <c r="M15" s="142"/>
      <c r="N15" s="53">
        <f>M15*$C$10</f>
        <v>0</v>
      </c>
      <c r="O15" s="120">
        <f>N15/$N$29</f>
        <v>0</v>
      </c>
      <c r="P15" s="54"/>
      <c r="Q15" s="5"/>
      <c r="R15" s="143" t="s">
        <v>51</v>
      </c>
      <c r="S15" s="143">
        <f>+N29/3.15</f>
        <v>2336.5079365079364</v>
      </c>
    </row>
    <row r="16" spans="1:19" ht="69" customHeight="1" x14ac:dyDescent="0.35">
      <c r="A16" s="5"/>
      <c r="B16" s="76" t="s">
        <v>167</v>
      </c>
      <c r="C16" s="160" t="s">
        <v>171</v>
      </c>
      <c r="D16" s="81" t="s">
        <v>172</v>
      </c>
      <c r="E16" s="47" t="s">
        <v>173</v>
      </c>
      <c r="F16" s="46" t="s">
        <v>49</v>
      </c>
      <c r="G16" s="48">
        <f t="shared" ref="G16:G17" si="0">M16/J16</f>
        <v>40000</v>
      </c>
      <c r="H16" s="49">
        <v>0.15</v>
      </c>
      <c r="I16" s="48">
        <f>G16/H16</f>
        <v>266666.66666666669</v>
      </c>
      <c r="J16" s="50">
        <v>0.05</v>
      </c>
      <c r="K16" s="51">
        <f t="shared" ref="K16" si="1">M16/I16*1000</f>
        <v>7.5</v>
      </c>
      <c r="L16" s="52"/>
      <c r="M16" s="142">
        <v>2000</v>
      </c>
      <c r="N16" s="53">
        <f t="shared" ref="N16" si="2">M16*$C$10</f>
        <v>6400</v>
      </c>
      <c r="O16" s="120">
        <f t="shared" ref="O16:O22" si="3">N16/$N$29</f>
        <v>0.86956521739130432</v>
      </c>
      <c r="P16" s="54"/>
      <c r="Q16" s="5"/>
      <c r="R16" s="143" t="s">
        <v>52</v>
      </c>
      <c r="S16" s="143">
        <f>+S15/2</f>
        <v>1168.2539682539682</v>
      </c>
    </row>
    <row r="17" spans="1:22" ht="69" hidden="1" customHeight="1" x14ac:dyDescent="0.35">
      <c r="A17" s="5"/>
      <c r="B17" s="76"/>
      <c r="C17" s="160"/>
      <c r="D17" s="81"/>
      <c r="E17" s="47"/>
      <c r="F17" s="46" t="s">
        <v>0</v>
      </c>
      <c r="G17" s="48">
        <f t="shared" si="0"/>
        <v>0</v>
      </c>
      <c r="H17" s="49">
        <v>3.0000000000000001E-3</v>
      </c>
      <c r="I17" s="48">
        <f>G17/H17</f>
        <v>0</v>
      </c>
      <c r="J17" s="50">
        <v>0.2</v>
      </c>
      <c r="K17" s="51" t="e">
        <f>M17/I17*1000</f>
        <v>#DIV/0!</v>
      </c>
      <c r="L17" s="52"/>
      <c r="M17" s="142"/>
      <c r="N17" s="53">
        <f>M17*$C$10</f>
        <v>0</v>
      </c>
      <c r="O17" s="120">
        <f t="shared" si="3"/>
        <v>0</v>
      </c>
      <c r="P17" s="54"/>
      <c r="Q17" s="5"/>
    </row>
    <row r="18" spans="1:22" hidden="1" x14ac:dyDescent="0.35">
      <c r="A18" s="5"/>
      <c r="B18" s="77" t="s">
        <v>69</v>
      </c>
      <c r="C18" s="160"/>
      <c r="D18" s="81"/>
      <c r="E18" s="47" t="s">
        <v>70</v>
      </c>
      <c r="F18" s="46"/>
      <c r="G18" s="48">
        <f>M18/J18</f>
        <v>0</v>
      </c>
      <c r="H18" s="49"/>
      <c r="I18" s="48">
        <v>400000</v>
      </c>
      <c r="J18" s="50">
        <v>0.3</v>
      </c>
      <c r="K18" s="51">
        <f>36/C10</f>
        <v>11.25</v>
      </c>
      <c r="L18" s="52"/>
      <c r="M18" s="142">
        <f>+N18/$C$10</f>
        <v>0</v>
      </c>
      <c r="N18" s="53"/>
      <c r="O18" s="120">
        <f t="shared" si="3"/>
        <v>0</v>
      </c>
      <c r="P18" s="54"/>
      <c r="Q18" s="5"/>
    </row>
    <row r="19" spans="1:22" hidden="1" x14ac:dyDescent="0.35">
      <c r="A19" s="5"/>
      <c r="B19" s="76"/>
      <c r="C19" s="136"/>
      <c r="D19" s="77"/>
      <c r="E19" s="47"/>
      <c r="F19" s="46"/>
      <c r="G19" s="48"/>
      <c r="H19" s="49"/>
      <c r="I19" s="48"/>
      <c r="J19" s="50"/>
      <c r="K19" s="51"/>
      <c r="L19" s="52"/>
      <c r="M19" s="142"/>
      <c r="N19" s="53">
        <f>+M19*C10</f>
        <v>0</v>
      </c>
      <c r="O19" s="120">
        <f t="shared" si="3"/>
        <v>0</v>
      </c>
      <c r="P19" s="54"/>
      <c r="Q19" s="5"/>
      <c r="U19" s="151" t="s">
        <v>66</v>
      </c>
      <c r="V19" s="152" t="s">
        <v>11</v>
      </c>
    </row>
    <row r="20" spans="1:22" hidden="1" x14ac:dyDescent="0.35">
      <c r="A20" s="5"/>
      <c r="B20" s="415"/>
      <c r="C20" s="77"/>
      <c r="D20" s="153"/>
      <c r="E20" s="47"/>
      <c r="F20" s="137"/>
      <c r="G20" s="138"/>
      <c r="H20" s="139"/>
      <c r="I20" s="138"/>
      <c r="J20" s="140"/>
      <c r="K20" s="140"/>
      <c r="L20" s="141"/>
      <c r="M20" s="158"/>
      <c r="N20" s="238">
        <f>+M20*C10</f>
        <v>0</v>
      </c>
      <c r="O20" s="120">
        <f t="shared" si="3"/>
        <v>0</v>
      </c>
      <c r="P20" s="54"/>
      <c r="Q20" s="5"/>
      <c r="U20" s="143">
        <f>+M20/6</f>
        <v>0</v>
      </c>
      <c r="V20" s="143">
        <f>+U20*D20</f>
        <v>0</v>
      </c>
    </row>
    <row r="21" spans="1:22" hidden="1" x14ac:dyDescent="0.35">
      <c r="A21" s="5"/>
      <c r="B21" s="416"/>
      <c r="C21" s="77"/>
      <c r="D21" s="153"/>
      <c r="E21" s="47"/>
      <c r="F21" s="137"/>
      <c r="G21" s="138"/>
      <c r="H21" s="139"/>
      <c r="I21" s="138"/>
      <c r="J21" s="140"/>
      <c r="K21" s="157"/>
      <c r="L21" s="141"/>
      <c r="M21" s="156"/>
      <c r="N21" s="238">
        <f>+M21*C10</f>
        <v>0</v>
      </c>
      <c r="O21" s="120">
        <f t="shared" si="3"/>
        <v>0</v>
      </c>
      <c r="P21" s="54"/>
      <c r="Q21" s="5"/>
      <c r="U21" s="143">
        <v>703.9</v>
      </c>
      <c r="V21" s="143">
        <f>+U21*D21</f>
        <v>0</v>
      </c>
    </row>
    <row r="22" spans="1:22" x14ac:dyDescent="0.35">
      <c r="A22" s="11"/>
      <c r="B22" s="406" t="s">
        <v>26</v>
      </c>
      <c r="C22" s="406"/>
      <c r="D22" s="406"/>
      <c r="E22" s="406"/>
      <c r="F22" s="406"/>
      <c r="G22" s="210">
        <f>SUM(G15:G21)</f>
        <v>40000</v>
      </c>
      <c r="H22" s="211">
        <f>G22/I22</f>
        <v>5.9999999999999991E-2</v>
      </c>
      <c r="I22" s="210">
        <f>SUM(I15:I21)</f>
        <v>666666.66666666674</v>
      </c>
      <c r="J22" s="407" t="s">
        <v>27</v>
      </c>
      <c r="K22" s="408"/>
      <c r="L22" s="56"/>
      <c r="M22" s="218">
        <f>+M16+M17</f>
        <v>2000</v>
      </c>
      <c r="N22" s="218">
        <f>+N16+N17</f>
        <v>6400</v>
      </c>
      <c r="O22" s="220">
        <f t="shared" si="3"/>
        <v>0.86956521739130432</v>
      </c>
      <c r="P22" s="57"/>
      <c r="Q22" s="11"/>
      <c r="V22" s="150">
        <f>SUM(V20:V21)</f>
        <v>0</v>
      </c>
    </row>
    <row r="23" spans="1:22" s="92" customFormat="1" x14ac:dyDescent="0.35">
      <c r="A23" s="90"/>
      <c r="B23" s="106" t="s">
        <v>41</v>
      </c>
      <c r="C23" s="107"/>
      <c r="D23" s="107"/>
      <c r="E23" s="107"/>
      <c r="F23" s="107"/>
      <c r="G23" s="100"/>
      <c r="H23" s="101"/>
      <c r="I23" s="100"/>
      <c r="J23" s="102"/>
      <c r="K23" s="102"/>
      <c r="L23" s="89"/>
      <c r="M23" s="102"/>
      <c r="N23" s="103"/>
      <c r="O23" s="122"/>
      <c r="P23" s="104"/>
      <c r="Q23" s="90"/>
      <c r="U23" s="1"/>
    </row>
    <row r="24" spans="1:22" s="92" customFormat="1" ht="27.75" hidden="1" customHeight="1" x14ac:dyDescent="0.35">
      <c r="A24" s="90"/>
      <c r="B24" s="417" t="s">
        <v>58</v>
      </c>
      <c r="C24" s="418"/>
      <c r="D24" s="418"/>
      <c r="E24" s="418"/>
      <c r="F24" s="418"/>
      <c r="G24" s="94">
        <v>0.04</v>
      </c>
      <c r="H24" s="108"/>
      <c r="I24" s="109"/>
      <c r="J24" s="96"/>
      <c r="K24" s="97"/>
      <c r="L24" s="98"/>
      <c r="M24" s="105"/>
      <c r="N24" s="53">
        <f t="shared" ref="N24:N26" si="4">M24*$C$10</f>
        <v>0</v>
      </c>
      <c r="O24" s="123"/>
      <c r="P24" s="91"/>
      <c r="Q24" s="90"/>
      <c r="U24" s="1"/>
      <c r="V24" s="1"/>
    </row>
    <row r="25" spans="1:22" ht="30" customHeight="1" x14ac:dyDescent="0.35">
      <c r="A25" s="11"/>
      <c r="B25" s="417" t="s">
        <v>170</v>
      </c>
      <c r="C25" s="418"/>
      <c r="D25" s="418"/>
      <c r="E25" s="418"/>
      <c r="F25" s="418"/>
      <c r="G25" s="94">
        <v>0.15</v>
      </c>
      <c r="H25" s="239"/>
      <c r="I25" s="240"/>
      <c r="J25" s="105"/>
      <c r="K25" s="97"/>
      <c r="L25" s="98"/>
      <c r="M25" s="105">
        <f>(M17+M16)*G25</f>
        <v>300</v>
      </c>
      <c r="N25" s="53">
        <f t="shared" si="4"/>
        <v>960</v>
      </c>
      <c r="O25" s="123"/>
      <c r="P25" s="57"/>
      <c r="Q25" s="11"/>
    </row>
    <row r="26" spans="1:22" hidden="1" x14ac:dyDescent="0.35">
      <c r="A26" s="11"/>
      <c r="B26" s="417" t="s">
        <v>41</v>
      </c>
      <c r="C26" s="418"/>
      <c r="D26" s="418"/>
      <c r="E26" s="418"/>
      <c r="F26" s="418"/>
      <c r="G26" s="95">
        <v>0.15</v>
      </c>
      <c r="H26" s="88"/>
      <c r="I26" s="93"/>
      <c r="J26" s="96"/>
      <c r="K26" s="97"/>
      <c r="L26" s="98"/>
      <c r="M26" s="99">
        <f>(M20+M21)*G26</f>
        <v>0</v>
      </c>
      <c r="N26" s="53">
        <f t="shared" si="4"/>
        <v>0</v>
      </c>
      <c r="O26" s="123"/>
      <c r="P26" s="57"/>
      <c r="Q26" s="11"/>
    </row>
    <row r="27" spans="1:22" x14ac:dyDescent="0.35">
      <c r="A27" s="11"/>
      <c r="B27" s="409" t="s">
        <v>35</v>
      </c>
      <c r="C27" s="410"/>
      <c r="D27" s="410"/>
      <c r="E27" s="410"/>
      <c r="F27" s="410"/>
      <c r="G27" s="410"/>
      <c r="H27" s="410"/>
      <c r="I27" s="410"/>
      <c r="J27" s="410"/>
      <c r="K27" s="411"/>
      <c r="L27" s="56"/>
      <c r="M27" s="86">
        <f>SUM(M24:M26)</f>
        <v>300</v>
      </c>
      <c r="N27" s="87">
        <f>SUM(N24:N26)</f>
        <v>960</v>
      </c>
      <c r="O27" s="127">
        <f>N27/$N$29</f>
        <v>0.13043478260869565</v>
      </c>
      <c r="P27" s="57"/>
      <c r="Q27" s="11"/>
    </row>
    <row r="28" spans="1:22" x14ac:dyDescent="0.35">
      <c r="A28" s="5"/>
      <c r="B28" s="58"/>
      <c r="C28" s="59"/>
      <c r="D28" s="60"/>
      <c r="E28" s="61"/>
      <c r="F28" s="62"/>
      <c r="G28" s="63"/>
      <c r="H28" s="64"/>
      <c r="I28" s="65"/>
      <c r="J28" s="66"/>
      <c r="K28" s="67"/>
      <c r="L28" s="68"/>
      <c r="M28" s="66"/>
      <c r="N28" s="69"/>
      <c r="O28" s="124"/>
      <c r="P28" s="54"/>
      <c r="Q28" s="5"/>
    </row>
    <row r="29" spans="1:22" x14ac:dyDescent="0.35">
      <c r="A29" s="5"/>
      <c r="B29" s="20" t="s">
        <v>159</v>
      </c>
      <c r="C29" s="5"/>
      <c r="D29" s="5"/>
      <c r="E29" s="5"/>
      <c r="F29" s="5"/>
      <c r="G29" s="5"/>
      <c r="H29" s="5"/>
      <c r="I29" s="5"/>
      <c r="J29" s="406" t="s">
        <v>28</v>
      </c>
      <c r="K29" s="406"/>
      <c r="L29" s="7"/>
      <c r="M29" s="218">
        <f>SUM(M27,M22)</f>
        <v>2300</v>
      </c>
      <c r="N29" s="219">
        <f>SUM(N27,N22)</f>
        <v>7360</v>
      </c>
      <c r="O29" s="220">
        <f>N29/$N$29</f>
        <v>1</v>
      </c>
      <c r="P29" s="5"/>
      <c r="Q29" s="5"/>
    </row>
    <row r="30" spans="1:22" x14ac:dyDescent="0.35">
      <c r="A30" s="5"/>
      <c r="B30" s="20"/>
      <c r="C30" s="5"/>
      <c r="D30" s="5"/>
      <c r="E30" s="5"/>
      <c r="F30" s="5"/>
      <c r="G30" s="5"/>
      <c r="H30" s="5"/>
      <c r="I30" s="5"/>
      <c r="J30" s="5"/>
      <c r="K30" s="5"/>
      <c r="L30" s="7"/>
      <c r="M30" s="5"/>
      <c r="N30" s="131"/>
      <c r="O30" s="115"/>
      <c r="P30" s="5"/>
      <c r="Q30" s="5"/>
    </row>
    <row r="31" spans="1:22" x14ac:dyDescent="0.35">
      <c r="A31" s="5"/>
      <c r="B31" s="20"/>
      <c r="C31" s="19"/>
      <c r="D31" s="19"/>
      <c r="E31" s="72"/>
      <c r="F31" s="19"/>
      <c r="G31" s="5"/>
      <c r="H31" s="5"/>
      <c r="I31" s="73"/>
      <c r="J31" s="11"/>
      <c r="K31" s="5"/>
      <c r="L31" s="7"/>
      <c r="N31" s="130"/>
      <c r="O31" s="125"/>
      <c r="P31" s="74"/>
      <c r="Q31" s="41"/>
    </row>
    <row r="32" spans="1:22" x14ac:dyDescent="0.35">
      <c r="A32" s="5"/>
      <c r="B32" s="20"/>
      <c r="C32" s="19"/>
      <c r="D32" s="19"/>
      <c r="E32" s="19"/>
      <c r="F32" s="19"/>
      <c r="G32" s="5"/>
      <c r="H32" s="5"/>
      <c r="I32" s="5"/>
      <c r="J32" s="5"/>
      <c r="K32" s="5"/>
      <c r="L32" s="7"/>
      <c r="M32" s="5"/>
      <c r="N32" s="5"/>
      <c r="O32" s="115"/>
      <c r="P32" s="74"/>
      <c r="Q32" s="41"/>
    </row>
    <row r="33" spans="1:25" x14ac:dyDescent="0.35">
      <c r="A33" s="5"/>
      <c r="B33" s="20"/>
      <c r="C33" s="19"/>
      <c r="D33" s="19"/>
      <c r="E33" s="19"/>
      <c r="F33" s="19"/>
      <c r="G33" s="5"/>
      <c r="H33" s="5"/>
      <c r="I33" s="5"/>
      <c r="J33" s="5"/>
      <c r="K33" s="5"/>
      <c r="L33" s="7"/>
      <c r="M33" s="5"/>
      <c r="O33" s="115"/>
      <c r="P33" s="74"/>
      <c r="Q33" s="41"/>
    </row>
    <row r="34" spans="1:25" x14ac:dyDescent="0.35">
      <c r="A34" s="5"/>
      <c r="B34" s="20"/>
      <c r="C34" s="19"/>
      <c r="D34" s="19"/>
      <c r="E34" s="19"/>
      <c r="F34" s="19"/>
      <c r="G34" s="5"/>
      <c r="H34" s="5"/>
      <c r="I34" s="5"/>
      <c r="J34" s="5"/>
      <c r="K34" s="5"/>
      <c r="L34" s="7"/>
      <c r="M34" s="5"/>
      <c r="N34" s="145">
        <f>+AOD!N36</f>
        <v>-6726.5093200000028</v>
      </c>
      <c r="O34" s="115"/>
      <c r="P34" s="74"/>
      <c r="Q34" s="75"/>
    </row>
    <row r="35" spans="1:25" x14ac:dyDescent="0.35">
      <c r="N35" s="145">
        <f>+N34-N29</f>
        <v>-14086.509320000003</v>
      </c>
    </row>
    <row r="36" spans="1:25" x14ac:dyDescent="0.35">
      <c r="N36" s="222">
        <f>+N29/3.2</f>
        <v>2300</v>
      </c>
    </row>
    <row r="37" spans="1:25" x14ac:dyDescent="0.35">
      <c r="N37" s="155"/>
    </row>
    <row r="42" spans="1:25" x14ac:dyDescent="0.35">
      <c r="Y42" s="154"/>
    </row>
    <row r="43" spans="1:25" x14ac:dyDescent="0.35">
      <c r="U43" s="1">
        <f>+X43*$G$24*G26</f>
        <v>0</v>
      </c>
      <c r="Y43" s="154"/>
    </row>
    <row r="44" spans="1:25" x14ac:dyDescent="0.35">
      <c r="U44" s="1">
        <f>+(X44*$G$24)*G25</f>
        <v>0</v>
      </c>
      <c r="Y44" s="154"/>
    </row>
    <row r="45" spans="1:25" x14ac:dyDescent="0.35">
      <c r="U45" s="1">
        <f>+X45*$G$24</f>
        <v>0</v>
      </c>
      <c r="Y45" s="154"/>
    </row>
    <row r="46" spans="1:25" x14ac:dyDescent="0.35">
      <c r="U46" s="1">
        <f>+X46*$G$24</f>
        <v>0</v>
      </c>
      <c r="Y46" s="154"/>
    </row>
    <row r="47" spans="1:25" x14ac:dyDescent="0.35">
      <c r="U47" s="1">
        <f>+X47*$G$24</f>
        <v>0</v>
      </c>
      <c r="Y47" s="154"/>
    </row>
    <row r="50" spans="25:25" x14ac:dyDescent="0.35">
      <c r="Y50" s="154"/>
    </row>
  </sheetData>
  <mergeCells count="14">
    <mergeCell ref="B14:K14"/>
    <mergeCell ref="C2:D2"/>
    <mergeCell ref="C4:D4"/>
    <mergeCell ref="C6:D6"/>
    <mergeCell ref="C8:D8"/>
    <mergeCell ref="C10:D10"/>
    <mergeCell ref="B27:K27"/>
    <mergeCell ref="J29:K29"/>
    <mergeCell ref="B20:B21"/>
    <mergeCell ref="B22:F22"/>
    <mergeCell ref="J22:K22"/>
    <mergeCell ref="B24:F24"/>
    <mergeCell ref="B25:F25"/>
    <mergeCell ref="B26:F26"/>
  </mergeCells>
  <conditionalFormatting sqref="M14 L11:M13 L18:M18">
    <cfRule type="cellIs" dxfId="63" priority="15" stopIfTrue="1" operator="equal">
      <formula>0</formula>
    </cfRule>
    <cfRule type="expression" dxfId="62" priority="16" stopIfTrue="1">
      <formula>ISERROR(L11)</formula>
    </cfRule>
  </conditionalFormatting>
  <conditionalFormatting sqref="L15:M15">
    <cfRule type="cellIs" dxfId="61" priority="13" stopIfTrue="1" operator="equal">
      <formula>0</formula>
    </cfRule>
    <cfRule type="expression" dxfId="60" priority="14" stopIfTrue="1">
      <formula>ISERROR(L15)</formula>
    </cfRule>
  </conditionalFormatting>
  <conditionalFormatting sqref="L19">
    <cfRule type="cellIs" dxfId="59" priority="11" stopIfTrue="1" operator="equal">
      <formula>0</formula>
    </cfRule>
    <cfRule type="expression" dxfId="58" priority="12" stopIfTrue="1">
      <formula>ISERROR(L19)</formula>
    </cfRule>
  </conditionalFormatting>
  <conditionalFormatting sqref="L20:M20">
    <cfRule type="cellIs" dxfId="57" priority="9" stopIfTrue="1" operator="equal">
      <formula>0</formula>
    </cfRule>
    <cfRule type="expression" dxfId="56" priority="10" stopIfTrue="1">
      <formula>ISERROR(L20)</formula>
    </cfRule>
  </conditionalFormatting>
  <conditionalFormatting sqref="L21">
    <cfRule type="cellIs" dxfId="55" priority="7" stopIfTrue="1" operator="equal">
      <formula>0</formula>
    </cfRule>
    <cfRule type="expression" dxfId="54" priority="8" stopIfTrue="1">
      <formula>ISERROR(L21)</formula>
    </cfRule>
  </conditionalFormatting>
  <conditionalFormatting sqref="L17:M17">
    <cfRule type="cellIs" dxfId="53" priority="5" stopIfTrue="1" operator="equal">
      <formula>0</formula>
    </cfRule>
    <cfRule type="expression" dxfId="52" priority="6" stopIfTrue="1">
      <formula>ISERROR(L17)</formula>
    </cfRule>
  </conditionalFormatting>
  <conditionalFormatting sqref="L16:M16">
    <cfRule type="cellIs" dxfId="51" priority="3" stopIfTrue="1" operator="equal">
      <formula>0</formula>
    </cfRule>
    <cfRule type="expression" dxfId="50" priority="4" stopIfTrue="1">
      <formula>ISERROR(L16)</formula>
    </cfRule>
  </conditionalFormatting>
  <conditionalFormatting sqref="M19">
    <cfRule type="cellIs" dxfId="49" priority="1" stopIfTrue="1" operator="equal">
      <formula>0</formula>
    </cfRule>
    <cfRule type="expression" dxfId="48" priority="2" stopIfTrue="1">
      <formula>ISERROR(M19)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50"/>
  <sheetViews>
    <sheetView showGridLines="0" zoomScale="56" zoomScaleNormal="56" workbookViewId="0">
      <selection activeCell="E37" sqref="E37"/>
    </sheetView>
  </sheetViews>
  <sheetFormatPr baseColWidth="10" defaultRowHeight="21" x14ac:dyDescent="0.35"/>
  <cols>
    <col min="1" max="1" width="4" style="1" customWidth="1"/>
    <col min="2" max="2" width="31.140625" style="2" customWidth="1"/>
    <col min="3" max="3" width="34.5703125" style="1" customWidth="1"/>
    <col min="4" max="4" width="39.7109375" style="1" customWidth="1"/>
    <col min="5" max="5" width="24.140625" style="1" bestFit="1" customWidth="1"/>
    <col min="6" max="6" width="20.7109375" style="1" customWidth="1"/>
    <col min="7" max="7" width="13" style="1" customWidth="1"/>
    <col min="8" max="8" width="21.7109375" style="1" customWidth="1"/>
    <col min="9" max="9" width="21" style="1" customWidth="1"/>
    <col min="10" max="10" width="11.7109375" style="1" customWidth="1"/>
    <col min="11" max="11" width="16.5703125" style="1" bestFit="1" customWidth="1"/>
    <col min="12" max="12" width="5.140625" style="4" customWidth="1"/>
    <col min="13" max="13" width="21.7109375" style="1" customWidth="1"/>
    <col min="14" max="14" width="25.7109375" style="1" customWidth="1"/>
    <col min="15" max="15" width="19.85546875" style="126" customWidth="1"/>
    <col min="16" max="17" width="11.42578125" style="1"/>
    <col min="18" max="18" width="20.85546875" style="1" hidden="1" customWidth="1"/>
    <col min="19" max="19" width="23.42578125" style="1" hidden="1" customWidth="1"/>
    <col min="20" max="20" width="11.42578125" style="1"/>
    <col min="21" max="21" width="23.5703125" style="1" hidden="1" customWidth="1"/>
    <col min="22" max="22" width="19.28515625" style="1" hidden="1" customWidth="1"/>
    <col min="23" max="23" width="15.42578125" style="1" bestFit="1" customWidth="1"/>
    <col min="24" max="24" width="21.85546875" style="1" customWidth="1"/>
    <col min="25" max="25" width="19.5703125" style="1" customWidth="1"/>
    <col min="26" max="16384" width="11.42578125" style="1"/>
  </cols>
  <sheetData>
    <row r="1" spans="1:19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7"/>
      <c r="M1" s="5"/>
      <c r="N1" s="5"/>
      <c r="O1" s="115"/>
      <c r="P1" s="5"/>
      <c r="Q1" s="5"/>
    </row>
    <row r="2" spans="1:19" x14ac:dyDescent="0.35">
      <c r="A2" s="5"/>
      <c r="B2" s="221" t="s">
        <v>3</v>
      </c>
      <c r="C2" s="381" t="s">
        <v>32</v>
      </c>
      <c r="D2" s="383"/>
      <c r="E2" s="5"/>
      <c r="F2" s="5"/>
      <c r="G2" s="5"/>
      <c r="H2" s="5"/>
      <c r="I2" s="5"/>
      <c r="J2" s="5"/>
      <c r="K2" s="7"/>
      <c r="L2" s="5"/>
      <c r="M2" s="5"/>
      <c r="N2" s="5"/>
      <c r="O2" s="115"/>
      <c r="P2" s="5"/>
    </row>
    <row r="3" spans="1:19" ht="6" customHeight="1" x14ac:dyDescent="0.35">
      <c r="A3" s="7"/>
      <c r="B3" s="8"/>
      <c r="C3" s="9"/>
      <c r="D3" s="10"/>
      <c r="E3" s="7"/>
      <c r="F3" s="7"/>
      <c r="G3" s="7"/>
      <c r="H3" s="7"/>
      <c r="I3" s="7"/>
      <c r="J3" s="7"/>
      <c r="K3" s="7"/>
      <c r="L3" s="7"/>
      <c r="M3" s="7"/>
      <c r="N3" s="7"/>
      <c r="O3" s="116"/>
      <c r="P3" s="7"/>
    </row>
    <row r="4" spans="1:19" x14ac:dyDescent="0.35">
      <c r="A4" s="5"/>
      <c r="B4" s="221" t="s">
        <v>4</v>
      </c>
      <c r="C4" s="381" t="s">
        <v>50</v>
      </c>
      <c r="D4" s="383"/>
      <c r="E4" s="5"/>
      <c r="F4" s="5"/>
      <c r="G4" s="5"/>
      <c r="H4" s="5"/>
      <c r="I4" s="5"/>
      <c r="J4" s="5"/>
      <c r="K4" s="7"/>
      <c r="L4" s="5"/>
      <c r="M4" s="5"/>
      <c r="N4" s="5"/>
      <c r="O4" s="115"/>
      <c r="P4" s="5"/>
    </row>
    <row r="5" spans="1:19" ht="6" customHeight="1" x14ac:dyDescent="0.35">
      <c r="A5" s="7"/>
      <c r="B5" s="8"/>
      <c r="C5" s="9"/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116"/>
      <c r="P5" s="7"/>
    </row>
    <row r="6" spans="1:19" x14ac:dyDescent="0.35">
      <c r="A6" s="5"/>
      <c r="B6" s="221" t="s">
        <v>5</v>
      </c>
      <c r="C6" s="381" t="s">
        <v>17</v>
      </c>
      <c r="D6" s="383"/>
      <c r="E6" s="5"/>
      <c r="F6" s="5"/>
      <c r="G6" s="5"/>
      <c r="H6" s="5"/>
      <c r="I6" s="5"/>
      <c r="J6" s="5"/>
      <c r="K6" s="7"/>
      <c r="L6" s="5"/>
      <c r="M6" s="5"/>
      <c r="N6" s="5"/>
      <c r="O6" s="115"/>
      <c r="P6" s="5"/>
    </row>
    <row r="7" spans="1:19" ht="6" customHeight="1" x14ac:dyDescent="0.35">
      <c r="A7" s="7"/>
      <c r="B7" s="8"/>
      <c r="C7" s="9"/>
      <c r="D7" s="10"/>
      <c r="E7" s="7"/>
      <c r="F7" s="7"/>
      <c r="G7" s="7"/>
      <c r="H7" s="7"/>
      <c r="I7" s="7"/>
      <c r="J7" s="7"/>
      <c r="K7" s="7"/>
      <c r="L7" s="7"/>
      <c r="M7" s="7"/>
      <c r="N7" s="7"/>
      <c r="O7" s="116"/>
      <c r="P7" s="7"/>
    </row>
    <row r="8" spans="1:19" x14ac:dyDescent="0.35">
      <c r="A8" s="5"/>
      <c r="B8" s="221" t="s">
        <v>6</v>
      </c>
      <c r="C8" s="384">
        <v>42169</v>
      </c>
      <c r="D8" s="386"/>
      <c r="E8" s="11"/>
      <c r="F8" s="5"/>
      <c r="G8" s="5"/>
      <c r="H8" s="5"/>
      <c r="I8" s="5"/>
      <c r="J8" s="5"/>
      <c r="K8" s="7"/>
      <c r="L8" s="5"/>
      <c r="M8" s="5"/>
      <c r="N8" s="5"/>
      <c r="O8" s="115"/>
      <c r="P8" s="41"/>
    </row>
    <row r="9" spans="1:19" ht="6" customHeight="1" x14ac:dyDescent="0.35">
      <c r="A9" s="7"/>
      <c r="B9" s="8"/>
      <c r="C9" s="9"/>
      <c r="D9" s="10"/>
      <c r="E9" s="14"/>
      <c r="F9" s="7"/>
      <c r="G9" s="7"/>
      <c r="H9" s="7"/>
      <c r="I9" s="7"/>
      <c r="J9" s="7"/>
      <c r="K9" s="7"/>
      <c r="L9" s="7"/>
      <c r="M9" s="7"/>
      <c r="N9" s="7"/>
      <c r="O9" s="116"/>
      <c r="P9" s="42"/>
    </row>
    <row r="10" spans="1:19" s="3" customFormat="1" x14ac:dyDescent="0.35">
      <c r="A10" s="5"/>
      <c r="B10" s="221" t="s">
        <v>16</v>
      </c>
      <c r="C10" s="403">
        <v>3.2</v>
      </c>
      <c r="D10" s="404"/>
      <c r="E10" s="11"/>
      <c r="F10" s="5"/>
      <c r="G10" s="5"/>
      <c r="H10" s="5"/>
      <c r="I10" s="5"/>
      <c r="J10" s="5"/>
      <c r="K10" s="7"/>
      <c r="L10" s="5"/>
      <c r="M10" s="5"/>
      <c r="N10" s="5"/>
      <c r="O10" s="115"/>
      <c r="P10" s="41"/>
    </row>
    <row r="11" spans="1:19" s="3" customFormat="1" x14ac:dyDescent="0.35">
      <c r="A11" s="5"/>
      <c r="B11" s="5"/>
      <c r="C11" s="41"/>
      <c r="D11" s="5"/>
      <c r="E11" s="5"/>
      <c r="F11" s="5"/>
      <c r="G11" s="5"/>
      <c r="H11" s="5"/>
      <c r="I11" s="5"/>
      <c r="J11" s="5"/>
      <c r="K11" s="5"/>
      <c r="L11" s="7"/>
      <c r="M11" s="5"/>
      <c r="N11" s="5"/>
      <c r="O11" s="115"/>
      <c r="P11" s="5"/>
      <c r="Q11" s="41"/>
    </row>
    <row r="12" spans="1:19" ht="36" customHeight="1" x14ac:dyDescent="0.35">
      <c r="A12" s="15"/>
      <c r="B12" s="223" t="s">
        <v>7</v>
      </c>
      <c r="C12" s="213" t="s">
        <v>18</v>
      </c>
      <c r="D12" s="213" t="s">
        <v>19</v>
      </c>
      <c r="E12" s="213" t="s">
        <v>20</v>
      </c>
      <c r="F12" s="213" t="s">
        <v>8</v>
      </c>
      <c r="G12" s="213" t="s">
        <v>13</v>
      </c>
      <c r="H12" s="213" t="s">
        <v>21</v>
      </c>
      <c r="I12" s="213" t="s">
        <v>22</v>
      </c>
      <c r="J12" s="213" t="s">
        <v>0</v>
      </c>
      <c r="K12" s="224" t="s">
        <v>23</v>
      </c>
      <c r="L12" s="43"/>
      <c r="M12" s="212" t="s">
        <v>24</v>
      </c>
      <c r="N12" s="213" t="s">
        <v>25</v>
      </c>
      <c r="O12" s="214" t="s">
        <v>43</v>
      </c>
      <c r="P12" s="44"/>
      <c r="Q12" s="15"/>
    </row>
    <row r="13" spans="1:19" x14ac:dyDescent="0.35">
      <c r="A13" s="5"/>
      <c r="B13" s="11"/>
      <c r="C13" s="5"/>
      <c r="D13" s="5"/>
      <c r="E13" s="5"/>
      <c r="F13" s="5"/>
      <c r="G13" s="5"/>
      <c r="H13" s="5"/>
      <c r="I13" s="5"/>
      <c r="J13" s="5"/>
      <c r="K13" s="5"/>
      <c r="L13" s="7"/>
      <c r="M13" s="5"/>
      <c r="N13" s="5"/>
      <c r="O13" s="115"/>
      <c r="P13" s="5"/>
      <c r="Q13" s="5"/>
    </row>
    <row r="14" spans="1:19" x14ac:dyDescent="0.35">
      <c r="A14" s="5"/>
      <c r="B14" s="400" t="s">
        <v>53</v>
      </c>
      <c r="C14" s="401"/>
      <c r="D14" s="401"/>
      <c r="E14" s="401"/>
      <c r="F14" s="401"/>
      <c r="G14" s="401"/>
      <c r="H14" s="401"/>
      <c r="I14" s="401"/>
      <c r="J14" s="401"/>
      <c r="K14" s="402"/>
      <c r="L14" s="45"/>
      <c r="M14" s="215"/>
      <c r="N14" s="216"/>
      <c r="O14" s="217"/>
      <c r="P14" s="45"/>
      <c r="Q14" s="5"/>
    </row>
    <row r="15" spans="1:19" hidden="1" x14ac:dyDescent="0.35">
      <c r="A15" s="5"/>
      <c r="B15" s="167"/>
      <c r="C15" s="160"/>
      <c r="D15" s="81"/>
      <c r="E15" s="47"/>
      <c r="F15" s="46"/>
      <c r="G15" s="48"/>
      <c r="H15" s="49"/>
      <c r="I15" s="48"/>
      <c r="J15" s="50"/>
      <c r="K15" s="51"/>
      <c r="L15" s="52"/>
      <c r="M15" s="142"/>
      <c r="N15" s="53">
        <f>M15*$C$10</f>
        <v>0</v>
      </c>
      <c r="O15" s="120">
        <f>N15/$N$29</f>
        <v>0</v>
      </c>
      <c r="P15" s="54"/>
      <c r="Q15" s="5"/>
      <c r="R15" s="143" t="s">
        <v>51</v>
      </c>
      <c r="S15" s="143">
        <f>+N29/3.15</f>
        <v>3626.666666666667</v>
      </c>
    </row>
    <row r="16" spans="1:19" ht="69" customHeight="1" x14ac:dyDescent="0.35">
      <c r="A16" s="5"/>
      <c r="B16" s="76" t="s">
        <v>1</v>
      </c>
      <c r="C16" s="160" t="s">
        <v>71</v>
      </c>
      <c r="D16" s="81" t="s">
        <v>123</v>
      </c>
      <c r="E16" s="47" t="s">
        <v>158</v>
      </c>
      <c r="F16" s="46" t="s">
        <v>0</v>
      </c>
      <c r="G16" s="48">
        <f t="shared" ref="G16:G17" si="0">M16/J16</f>
        <v>7500</v>
      </c>
      <c r="H16" s="49">
        <v>3.0000000000000001E-3</v>
      </c>
      <c r="I16" s="48">
        <f>G16/H16</f>
        <v>2500000</v>
      </c>
      <c r="J16" s="50">
        <v>0.2</v>
      </c>
      <c r="K16" s="51">
        <f t="shared" ref="K16" si="1">M16/I16*1000</f>
        <v>0.6</v>
      </c>
      <c r="L16" s="52"/>
      <c r="M16" s="142">
        <v>1500</v>
      </c>
      <c r="N16" s="53">
        <f t="shared" ref="N16" si="2">M16*$C$10</f>
        <v>4800</v>
      </c>
      <c r="O16" s="120">
        <f t="shared" ref="O16:O22" si="3">N16/$N$29</f>
        <v>0.42016806722689076</v>
      </c>
      <c r="P16" s="54"/>
      <c r="Q16" s="5"/>
      <c r="R16" s="143" t="s">
        <v>52</v>
      </c>
      <c r="S16" s="143">
        <f>+S15/2</f>
        <v>1813.3333333333335</v>
      </c>
    </row>
    <row r="17" spans="1:22" ht="69" customHeight="1" x14ac:dyDescent="0.35">
      <c r="A17" s="5"/>
      <c r="B17" s="76" t="s">
        <v>1</v>
      </c>
      <c r="C17" s="160" t="s">
        <v>71</v>
      </c>
      <c r="D17" s="81" t="s">
        <v>75</v>
      </c>
      <c r="E17" s="47" t="s">
        <v>158</v>
      </c>
      <c r="F17" s="46" t="s">
        <v>0</v>
      </c>
      <c r="G17" s="48">
        <f t="shared" si="0"/>
        <v>7500</v>
      </c>
      <c r="H17" s="49">
        <v>3.0000000000000001E-3</v>
      </c>
      <c r="I17" s="48">
        <f>G17/H17</f>
        <v>2500000</v>
      </c>
      <c r="J17" s="50">
        <v>0.2</v>
      </c>
      <c r="K17" s="51">
        <f>M17/I17*1000</f>
        <v>0.6</v>
      </c>
      <c r="L17" s="52"/>
      <c r="M17" s="142">
        <v>1500</v>
      </c>
      <c r="N17" s="53">
        <f>M17*$C$10</f>
        <v>4800</v>
      </c>
      <c r="O17" s="120">
        <f t="shared" si="3"/>
        <v>0.42016806722689076</v>
      </c>
      <c r="P17" s="54"/>
      <c r="Q17" s="5"/>
    </row>
    <row r="18" spans="1:22" hidden="1" x14ac:dyDescent="0.35">
      <c r="A18" s="5"/>
      <c r="B18" s="77" t="s">
        <v>69</v>
      </c>
      <c r="C18" s="160"/>
      <c r="D18" s="81"/>
      <c r="E18" s="47" t="s">
        <v>70</v>
      </c>
      <c r="F18" s="46"/>
      <c r="G18" s="48">
        <f>M18/J18</f>
        <v>0</v>
      </c>
      <c r="H18" s="49"/>
      <c r="I18" s="48">
        <v>400000</v>
      </c>
      <c r="J18" s="50">
        <v>0.3</v>
      </c>
      <c r="K18" s="51">
        <f>36/C10</f>
        <v>11.25</v>
      </c>
      <c r="L18" s="52"/>
      <c r="M18" s="142">
        <f>+N18/$C$10</f>
        <v>0</v>
      </c>
      <c r="N18" s="53"/>
      <c r="O18" s="120">
        <f t="shared" si="3"/>
        <v>0</v>
      </c>
      <c r="P18" s="54"/>
      <c r="Q18" s="5"/>
    </row>
    <row r="19" spans="1:22" hidden="1" x14ac:dyDescent="0.35">
      <c r="A19" s="5"/>
      <c r="B19" s="76"/>
      <c r="C19" s="136"/>
      <c r="D19" s="77"/>
      <c r="E19" s="47"/>
      <c r="F19" s="46"/>
      <c r="G19" s="48"/>
      <c r="H19" s="49"/>
      <c r="I19" s="48"/>
      <c r="J19" s="50"/>
      <c r="K19" s="51"/>
      <c r="L19" s="52"/>
      <c r="M19" s="142"/>
      <c r="N19" s="53">
        <f>+M19*C10</f>
        <v>0</v>
      </c>
      <c r="O19" s="120">
        <f t="shared" si="3"/>
        <v>0</v>
      </c>
      <c r="P19" s="54"/>
      <c r="Q19" s="5"/>
      <c r="U19" s="151" t="s">
        <v>66</v>
      </c>
      <c r="V19" s="152" t="s">
        <v>11</v>
      </c>
    </row>
    <row r="20" spans="1:22" hidden="1" x14ac:dyDescent="0.35">
      <c r="A20" s="5"/>
      <c r="B20" s="415"/>
      <c r="C20" s="77"/>
      <c r="D20" s="153"/>
      <c r="E20" s="47"/>
      <c r="F20" s="137"/>
      <c r="G20" s="138"/>
      <c r="H20" s="139"/>
      <c r="I20" s="138"/>
      <c r="J20" s="140"/>
      <c r="K20" s="140"/>
      <c r="L20" s="141"/>
      <c r="M20" s="158"/>
      <c r="N20" s="159">
        <f>+M20*C10</f>
        <v>0</v>
      </c>
      <c r="O20" s="120">
        <f t="shared" si="3"/>
        <v>0</v>
      </c>
      <c r="P20" s="54"/>
      <c r="Q20" s="5"/>
      <c r="U20" s="143">
        <f>+M20/6</f>
        <v>0</v>
      </c>
      <c r="V20" s="143">
        <f>+U20*D20</f>
        <v>0</v>
      </c>
    </row>
    <row r="21" spans="1:22" hidden="1" x14ac:dyDescent="0.35">
      <c r="A21" s="5"/>
      <c r="B21" s="416"/>
      <c r="C21" s="77"/>
      <c r="D21" s="153"/>
      <c r="E21" s="47"/>
      <c r="F21" s="137"/>
      <c r="G21" s="138"/>
      <c r="H21" s="139"/>
      <c r="I21" s="138"/>
      <c r="J21" s="140"/>
      <c r="K21" s="157"/>
      <c r="L21" s="141"/>
      <c r="M21" s="156"/>
      <c r="N21" s="159">
        <f>+M21*C10</f>
        <v>0</v>
      </c>
      <c r="O21" s="120">
        <f t="shared" si="3"/>
        <v>0</v>
      </c>
      <c r="P21" s="54"/>
      <c r="Q21" s="5"/>
      <c r="U21" s="143">
        <v>703.9</v>
      </c>
      <c r="V21" s="143">
        <f>+U21*D21</f>
        <v>0</v>
      </c>
    </row>
    <row r="22" spans="1:22" x14ac:dyDescent="0.35">
      <c r="A22" s="11"/>
      <c r="B22" s="406" t="s">
        <v>26</v>
      </c>
      <c r="C22" s="406"/>
      <c r="D22" s="406"/>
      <c r="E22" s="406"/>
      <c r="F22" s="406"/>
      <c r="G22" s="210">
        <f>SUM(G15:G21)</f>
        <v>15000</v>
      </c>
      <c r="H22" s="211">
        <f>G22/I22</f>
        <v>2.7777777777777779E-3</v>
      </c>
      <c r="I22" s="210">
        <f>SUM(I15:I21)</f>
        <v>5400000</v>
      </c>
      <c r="J22" s="407" t="s">
        <v>27</v>
      </c>
      <c r="K22" s="408"/>
      <c r="L22" s="56"/>
      <c r="M22" s="218">
        <f>+M16+M17</f>
        <v>3000</v>
      </c>
      <c r="N22" s="218">
        <f>+N16+N17</f>
        <v>9600</v>
      </c>
      <c r="O22" s="220">
        <f t="shared" si="3"/>
        <v>0.84033613445378152</v>
      </c>
      <c r="P22" s="57"/>
      <c r="Q22" s="11"/>
      <c r="V22" s="150">
        <f>SUM(V20:V21)</f>
        <v>0</v>
      </c>
    </row>
    <row r="23" spans="1:22" s="92" customFormat="1" x14ac:dyDescent="0.35">
      <c r="A23" s="90"/>
      <c r="B23" s="106" t="s">
        <v>41</v>
      </c>
      <c r="C23" s="107"/>
      <c r="D23" s="107"/>
      <c r="E23" s="107"/>
      <c r="F23" s="107"/>
      <c r="G23" s="100"/>
      <c r="H23" s="101"/>
      <c r="I23" s="100"/>
      <c r="J23" s="102"/>
      <c r="K23" s="102"/>
      <c r="L23" s="89"/>
      <c r="M23" s="102"/>
      <c r="N23" s="103"/>
      <c r="O23" s="122"/>
      <c r="P23" s="104"/>
      <c r="Q23" s="90"/>
      <c r="U23" s="1"/>
    </row>
    <row r="24" spans="1:22" s="92" customFormat="1" ht="27.75" customHeight="1" x14ac:dyDescent="0.35">
      <c r="A24" s="90"/>
      <c r="B24" s="417" t="s">
        <v>58</v>
      </c>
      <c r="C24" s="418"/>
      <c r="D24" s="418"/>
      <c r="E24" s="418"/>
      <c r="F24" s="418"/>
      <c r="G24" s="94">
        <v>0.04</v>
      </c>
      <c r="H24" s="108"/>
      <c r="I24" s="109"/>
      <c r="J24" s="96"/>
      <c r="K24" s="97"/>
      <c r="L24" s="98"/>
      <c r="M24" s="105">
        <f>(M15+M16+M17+M18+M20+M21+M19)*G24</f>
        <v>120</v>
      </c>
      <c r="N24" s="53">
        <f t="shared" ref="N24:N26" si="4">M24*$C$10</f>
        <v>384</v>
      </c>
      <c r="O24" s="123"/>
      <c r="P24" s="91"/>
      <c r="Q24" s="90"/>
      <c r="U24" s="1"/>
      <c r="V24" s="1"/>
    </row>
    <row r="25" spans="1:22" ht="30" customHeight="1" x14ac:dyDescent="0.35">
      <c r="A25" s="11"/>
      <c r="B25" s="417" t="s">
        <v>42</v>
      </c>
      <c r="C25" s="418"/>
      <c r="D25" s="418"/>
      <c r="E25" s="418"/>
      <c r="F25" s="418"/>
      <c r="G25" s="95">
        <v>0.15</v>
      </c>
      <c r="H25" s="88"/>
      <c r="I25" s="93"/>
      <c r="J25" s="96"/>
      <c r="K25" s="97"/>
      <c r="L25" s="98"/>
      <c r="M25" s="99">
        <f>(M17+M16)*G25</f>
        <v>450</v>
      </c>
      <c r="N25" s="53">
        <f t="shared" si="4"/>
        <v>1440</v>
      </c>
      <c r="O25" s="123"/>
      <c r="P25" s="57"/>
      <c r="Q25" s="11"/>
    </row>
    <row r="26" spans="1:22" hidden="1" x14ac:dyDescent="0.35">
      <c r="A26" s="11"/>
      <c r="B26" s="417" t="s">
        <v>41</v>
      </c>
      <c r="C26" s="418"/>
      <c r="D26" s="418"/>
      <c r="E26" s="418"/>
      <c r="F26" s="418"/>
      <c r="G26" s="95">
        <v>0.15</v>
      </c>
      <c r="H26" s="88"/>
      <c r="I26" s="93"/>
      <c r="J26" s="96"/>
      <c r="K26" s="97"/>
      <c r="L26" s="98"/>
      <c r="M26" s="99">
        <f>(M20+M21)*G26</f>
        <v>0</v>
      </c>
      <c r="N26" s="53">
        <f t="shared" si="4"/>
        <v>0</v>
      </c>
      <c r="O26" s="123"/>
      <c r="P26" s="57"/>
      <c r="Q26" s="11"/>
    </row>
    <row r="27" spans="1:22" x14ac:dyDescent="0.35">
      <c r="A27" s="11"/>
      <c r="B27" s="409" t="s">
        <v>35</v>
      </c>
      <c r="C27" s="410"/>
      <c r="D27" s="410"/>
      <c r="E27" s="410"/>
      <c r="F27" s="410"/>
      <c r="G27" s="410"/>
      <c r="H27" s="410"/>
      <c r="I27" s="410"/>
      <c r="J27" s="410"/>
      <c r="K27" s="411"/>
      <c r="L27" s="56"/>
      <c r="M27" s="86">
        <f>SUM(M24:M26)</f>
        <v>570</v>
      </c>
      <c r="N27" s="87">
        <f>SUM(N24:N26)</f>
        <v>1824</v>
      </c>
      <c r="O27" s="127">
        <f>N27/$N$29</f>
        <v>0.15966386554621848</v>
      </c>
      <c r="P27" s="57"/>
      <c r="Q27" s="11"/>
    </row>
    <row r="28" spans="1:22" x14ac:dyDescent="0.35">
      <c r="A28" s="5"/>
      <c r="B28" s="58"/>
      <c r="C28" s="59"/>
      <c r="D28" s="60"/>
      <c r="E28" s="61"/>
      <c r="F28" s="62"/>
      <c r="G28" s="63"/>
      <c r="H28" s="64"/>
      <c r="I28" s="65"/>
      <c r="J28" s="66"/>
      <c r="K28" s="67"/>
      <c r="L28" s="68"/>
      <c r="M28" s="66"/>
      <c r="N28" s="69"/>
      <c r="O28" s="124"/>
      <c r="P28" s="54"/>
      <c r="Q28" s="5"/>
    </row>
    <row r="29" spans="1:22" x14ac:dyDescent="0.35">
      <c r="A29" s="5"/>
      <c r="B29" s="20" t="s">
        <v>159</v>
      </c>
      <c r="C29" s="5"/>
      <c r="D29" s="5"/>
      <c r="E29" s="5"/>
      <c r="F29" s="5"/>
      <c r="G29" s="5"/>
      <c r="H29" s="5"/>
      <c r="I29" s="5"/>
      <c r="J29" s="406" t="s">
        <v>28</v>
      </c>
      <c r="K29" s="406"/>
      <c r="L29" s="7"/>
      <c r="M29" s="218">
        <f>SUM(M27,M22)</f>
        <v>3570</v>
      </c>
      <c r="N29" s="219">
        <f>SUM(N27,N22)</f>
        <v>11424</v>
      </c>
      <c r="O29" s="220">
        <f>N29/$N$29</f>
        <v>1</v>
      </c>
      <c r="P29" s="5"/>
      <c r="Q29" s="5"/>
    </row>
    <row r="30" spans="1:22" x14ac:dyDescent="0.35">
      <c r="A30" s="5"/>
      <c r="B30" s="20"/>
      <c r="C30" s="5"/>
      <c r="D30" s="5"/>
      <c r="E30" s="5"/>
      <c r="F30" s="5"/>
      <c r="G30" s="5"/>
      <c r="H30" s="5"/>
      <c r="I30" s="5"/>
      <c r="J30" s="5"/>
      <c r="K30" s="5"/>
      <c r="L30" s="7"/>
      <c r="M30" s="5"/>
      <c r="N30" s="131"/>
      <c r="O30" s="115"/>
      <c r="P30" s="5"/>
      <c r="Q30" s="5"/>
    </row>
    <row r="31" spans="1:22" x14ac:dyDescent="0.35">
      <c r="A31" s="5"/>
      <c r="B31" s="20"/>
      <c r="C31" s="19"/>
      <c r="D31" s="19"/>
      <c r="E31" s="72"/>
      <c r="F31" s="19"/>
      <c r="G31" s="5"/>
      <c r="H31" s="5"/>
      <c r="I31" s="73"/>
      <c r="J31" s="11"/>
      <c r="K31" s="5"/>
      <c r="L31" s="7"/>
      <c r="N31" s="130"/>
      <c r="O31" s="125"/>
      <c r="P31" s="74"/>
      <c r="Q31" s="41"/>
    </row>
    <row r="32" spans="1:22" x14ac:dyDescent="0.35">
      <c r="A32" s="5"/>
      <c r="B32" s="20"/>
      <c r="C32" s="19"/>
      <c r="D32" s="19"/>
      <c r="E32" s="19"/>
      <c r="F32" s="19"/>
      <c r="G32" s="5"/>
      <c r="H32" s="5"/>
      <c r="I32" s="5"/>
      <c r="J32" s="5"/>
      <c r="K32" s="5"/>
      <c r="L32" s="7"/>
      <c r="M32" s="5"/>
      <c r="N32" s="5"/>
      <c r="O32" s="115"/>
      <c r="P32" s="74"/>
      <c r="Q32" s="41"/>
    </row>
    <row r="33" spans="1:25" x14ac:dyDescent="0.35">
      <c r="A33" s="5"/>
      <c r="B33" s="20"/>
      <c r="C33" s="19"/>
      <c r="D33" s="19"/>
      <c r="E33" s="19"/>
      <c r="F33" s="19"/>
      <c r="G33" s="5"/>
      <c r="H33" s="5"/>
      <c r="I33" s="5"/>
      <c r="J33" s="5"/>
      <c r="K33" s="5"/>
      <c r="L33" s="7"/>
      <c r="M33" s="5"/>
      <c r="O33" s="115"/>
      <c r="P33" s="74"/>
      <c r="Q33" s="41"/>
    </row>
    <row r="34" spans="1:25" x14ac:dyDescent="0.35">
      <c r="A34" s="5"/>
      <c r="B34" s="20"/>
      <c r="C34" s="19"/>
      <c r="D34" s="19"/>
      <c r="E34" s="19"/>
      <c r="F34" s="19"/>
      <c r="G34" s="5"/>
      <c r="H34" s="5"/>
      <c r="I34" s="5"/>
      <c r="J34" s="5"/>
      <c r="K34" s="5"/>
      <c r="L34" s="7"/>
      <c r="M34" s="5"/>
      <c r="N34" s="145">
        <f>+YouTube!N35</f>
        <v>-14086.509320000003</v>
      </c>
      <c r="O34" s="115"/>
      <c r="P34" s="74"/>
      <c r="Q34" s="75"/>
    </row>
    <row r="35" spans="1:25" x14ac:dyDescent="0.35">
      <c r="N35" s="145">
        <f>+N34-N29</f>
        <v>-25510.509320000005</v>
      </c>
    </row>
    <row r="36" spans="1:25" x14ac:dyDescent="0.35">
      <c r="N36" s="222">
        <f>+N29/3.2</f>
        <v>3570</v>
      </c>
    </row>
    <row r="37" spans="1:25" x14ac:dyDescent="0.35">
      <c r="N37" s="155"/>
    </row>
    <row r="42" spans="1:25" x14ac:dyDescent="0.35">
      <c r="Y42" s="154"/>
    </row>
    <row r="43" spans="1:25" x14ac:dyDescent="0.35">
      <c r="U43" s="1">
        <f>+X43*$G$24*G26</f>
        <v>0</v>
      </c>
      <c r="Y43" s="154"/>
    </row>
    <row r="44" spans="1:25" x14ac:dyDescent="0.35">
      <c r="U44" s="1">
        <f>+(X44*$G$24)*G25</f>
        <v>0</v>
      </c>
      <c r="Y44" s="154"/>
    </row>
    <row r="45" spans="1:25" x14ac:dyDescent="0.35">
      <c r="U45" s="1">
        <f>+X45*$G$24</f>
        <v>0</v>
      </c>
      <c r="Y45" s="154"/>
    </row>
    <row r="46" spans="1:25" x14ac:dyDescent="0.35">
      <c r="U46" s="1">
        <f>+X46*$G$24</f>
        <v>0</v>
      </c>
      <c r="Y46" s="154"/>
    </row>
    <row r="47" spans="1:25" x14ac:dyDescent="0.35">
      <c r="U47" s="1">
        <f>+X47*$G$24</f>
        <v>0</v>
      </c>
      <c r="Y47" s="154"/>
    </row>
    <row r="50" spans="25:25" x14ac:dyDescent="0.35">
      <c r="Y50" s="154"/>
    </row>
  </sheetData>
  <mergeCells count="14">
    <mergeCell ref="B27:K27"/>
    <mergeCell ref="J29:K29"/>
    <mergeCell ref="B20:B21"/>
    <mergeCell ref="B22:F22"/>
    <mergeCell ref="J22:K22"/>
    <mergeCell ref="B24:F24"/>
    <mergeCell ref="B25:F25"/>
    <mergeCell ref="B26:F26"/>
    <mergeCell ref="B14:K14"/>
    <mergeCell ref="C2:D2"/>
    <mergeCell ref="C4:D4"/>
    <mergeCell ref="C6:D6"/>
    <mergeCell ref="C8:D8"/>
    <mergeCell ref="C10:D10"/>
  </mergeCells>
  <conditionalFormatting sqref="M14 L11:M13 L18:M18">
    <cfRule type="cellIs" dxfId="47" priority="15" stopIfTrue="1" operator="equal">
      <formula>0</formula>
    </cfRule>
    <cfRule type="expression" dxfId="46" priority="16" stopIfTrue="1">
      <formula>ISERROR(L11)</formula>
    </cfRule>
  </conditionalFormatting>
  <conditionalFormatting sqref="L15:M15">
    <cfRule type="cellIs" dxfId="45" priority="13" stopIfTrue="1" operator="equal">
      <formula>0</formula>
    </cfRule>
    <cfRule type="expression" dxfId="44" priority="14" stopIfTrue="1">
      <formula>ISERROR(L15)</formula>
    </cfRule>
  </conditionalFormatting>
  <conditionalFormatting sqref="L19">
    <cfRule type="cellIs" dxfId="43" priority="11" stopIfTrue="1" operator="equal">
      <formula>0</formula>
    </cfRule>
    <cfRule type="expression" dxfId="42" priority="12" stopIfTrue="1">
      <formula>ISERROR(L19)</formula>
    </cfRule>
  </conditionalFormatting>
  <conditionalFormatting sqref="L20:M20">
    <cfRule type="cellIs" dxfId="41" priority="9" stopIfTrue="1" operator="equal">
      <formula>0</formula>
    </cfRule>
    <cfRule type="expression" dxfId="40" priority="10" stopIfTrue="1">
      <formula>ISERROR(L20)</formula>
    </cfRule>
  </conditionalFormatting>
  <conditionalFormatting sqref="L21">
    <cfRule type="cellIs" dxfId="39" priority="7" stopIfTrue="1" operator="equal">
      <formula>0</formula>
    </cfRule>
    <cfRule type="expression" dxfId="38" priority="8" stopIfTrue="1">
      <formula>ISERROR(L21)</formula>
    </cfRule>
  </conditionalFormatting>
  <conditionalFormatting sqref="L17:M17">
    <cfRule type="cellIs" dxfId="37" priority="5" stopIfTrue="1" operator="equal">
      <formula>0</formula>
    </cfRule>
    <cfRule type="expression" dxfId="36" priority="6" stopIfTrue="1">
      <formula>ISERROR(L17)</formula>
    </cfRule>
  </conditionalFormatting>
  <conditionalFormatting sqref="L16:M16">
    <cfRule type="cellIs" dxfId="35" priority="3" stopIfTrue="1" operator="equal">
      <formula>0</formula>
    </cfRule>
    <cfRule type="expression" dxfId="34" priority="4" stopIfTrue="1">
      <formula>ISERROR(L16)</formula>
    </cfRule>
  </conditionalFormatting>
  <conditionalFormatting sqref="M19">
    <cfRule type="cellIs" dxfId="33" priority="1" stopIfTrue="1" operator="equal">
      <formula>0</formula>
    </cfRule>
    <cfRule type="expression" dxfId="32" priority="2" stopIfTrue="1">
      <formula>ISERROR(M19)</formula>
    </cfRule>
  </conditionalFormatting>
  <pageMargins left="0.7" right="0.7" top="0.75" bottom="0.75" header="0.3" footer="0.3"/>
  <ignoredErrors>
    <ignoredError sqref="H22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C20"/>
  <sheetViews>
    <sheetView showGridLines="0" workbookViewId="0">
      <selection activeCell="F25" sqref="F25"/>
    </sheetView>
  </sheetViews>
  <sheetFormatPr baseColWidth="10" defaultRowHeight="15" x14ac:dyDescent="0.25"/>
  <sheetData>
    <row r="2" spans="2:3" x14ac:dyDescent="0.25">
      <c r="B2" s="161" t="s">
        <v>77</v>
      </c>
      <c r="C2" s="166"/>
    </row>
    <row r="3" spans="2:3" x14ac:dyDescent="0.25">
      <c r="B3" t="s">
        <v>78</v>
      </c>
    </row>
    <row r="4" spans="2:3" x14ac:dyDescent="0.25">
      <c r="B4" t="s">
        <v>79</v>
      </c>
    </row>
    <row r="5" spans="2:3" x14ac:dyDescent="0.25">
      <c r="B5" t="s">
        <v>80</v>
      </c>
    </row>
    <row r="6" spans="2:3" x14ac:dyDescent="0.25">
      <c r="B6" t="s">
        <v>81</v>
      </c>
    </row>
    <row r="7" spans="2:3" x14ac:dyDescent="0.25">
      <c r="B7" t="s">
        <v>82</v>
      </c>
    </row>
    <row r="8" spans="2:3" x14ac:dyDescent="0.25">
      <c r="B8" t="s">
        <v>83</v>
      </c>
    </row>
    <row r="9" spans="2:3" x14ac:dyDescent="0.25">
      <c r="B9" t="s">
        <v>84</v>
      </c>
    </row>
    <row r="10" spans="2:3" x14ac:dyDescent="0.25">
      <c r="B10" t="s">
        <v>85</v>
      </c>
    </row>
    <row r="11" spans="2:3" x14ac:dyDescent="0.25">
      <c r="B11" t="s">
        <v>86</v>
      </c>
    </row>
    <row r="12" spans="2:3" x14ac:dyDescent="0.25">
      <c r="B12" t="s">
        <v>87</v>
      </c>
    </row>
    <row r="13" spans="2:3" x14ac:dyDescent="0.25">
      <c r="B13" t="s">
        <v>88</v>
      </c>
    </row>
    <row r="15" spans="2:3" x14ac:dyDescent="0.25">
      <c r="B15" s="161" t="s">
        <v>89</v>
      </c>
      <c r="C15" s="166"/>
    </row>
    <row r="16" spans="2:3" x14ac:dyDescent="0.25">
      <c r="B16" s="168" t="s">
        <v>90</v>
      </c>
    </row>
    <row r="17" spans="2:2" x14ac:dyDescent="0.25">
      <c r="B17" t="s">
        <v>91</v>
      </c>
    </row>
    <row r="18" spans="2:2" x14ac:dyDescent="0.25">
      <c r="B18" t="s">
        <v>92</v>
      </c>
    </row>
    <row r="19" spans="2:2" x14ac:dyDescent="0.25">
      <c r="B19" t="s">
        <v>93</v>
      </c>
    </row>
    <row r="20" spans="2:2" x14ac:dyDescent="0.25">
      <c r="B20" t="s">
        <v>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44"/>
  <sheetViews>
    <sheetView showGridLines="0" zoomScale="50" zoomScaleNormal="50" workbookViewId="0">
      <selection activeCell="F47" sqref="F47"/>
    </sheetView>
  </sheetViews>
  <sheetFormatPr baseColWidth="10" defaultRowHeight="15" x14ac:dyDescent="0.25"/>
  <sheetData>
    <row r="1" spans="2:8" ht="23.25" x14ac:dyDescent="0.35">
      <c r="B1" s="162"/>
      <c r="C1" s="163"/>
      <c r="D1" s="163"/>
      <c r="E1" s="163"/>
      <c r="F1" s="163"/>
      <c r="G1" s="163"/>
      <c r="H1" s="163"/>
    </row>
    <row r="2" spans="2:8" ht="23.25" x14ac:dyDescent="0.35">
      <c r="B2" s="162">
        <v>1</v>
      </c>
      <c r="C2" s="164" t="s">
        <v>95</v>
      </c>
      <c r="D2" s="163"/>
      <c r="E2" s="163"/>
      <c r="F2" s="163"/>
      <c r="G2" s="163"/>
      <c r="H2" s="163"/>
    </row>
    <row r="3" spans="2:8" ht="23.25" x14ac:dyDescent="0.35">
      <c r="B3" s="162"/>
      <c r="C3" s="235" t="s">
        <v>96</v>
      </c>
      <c r="D3" s="163"/>
      <c r="E3" s="163"/>
      <c r="F3" s="163"/>
      <c r="G3" s="163"/>
      <c r="H3" s="163"/>
    </row>
    <row r="4" spans="2:8" ht="23.25" x14ac:dyDescent="0.35">
      <c r="B4" s="162"/>
      <c r="C4" s="163"/>
      <c r="D4" s="163"/>
      <c r="E4" s="163"/>
      <c r="F4" s="163"/>
      <c r="G4" s="163"/>
      <c r="H4" s="163"/>
    </row>
    <row r="5" spans="2:8" ht="23.25" x14ac:dyDescent="0.35">
      <c r="B5" s="162">
        <v>2</v>
      </c>
      <c r="C5" s="164" t="s">
        <v>97</v>
      </c>
      <c r="D5" s="163"/>
      <c r="E5" s="163"/>
      <c r="F5" s="163"/>
      <c r="G5" s="163"/>
      <c r="H5" s="163"/>
    </row>
    <row r="6" spans="2:8" ht="23.25" x14ac:dyDescent="0.35">
      <c r="B6" s="162"/>
      <c r="C6" s="235" t="s">
        <v>98</v>
      </c>
      <c r="D6" s="163"/>
      <c r="E6" s="163"/>
      <c r="F6" s="163"/>
      <c r="G6" s="163"/>
      <c r="H6" s="163"/>
    </row>
    <row r="7" spans="2:8" ht="23.25" x14ac:dyDescent="0.35">
      <c r="B7" s="162"/>
      <c r="C7" s="163"/>
      <c r="D7" s="163"/>
      <c r="E7" s="163"/>
      <c r="F7" s="163"/>
      <c r="G7" s="163"/>
      <c r="H7" s="163"/>
    </row>
    <row r="8" spans="2:8" ht="23.25" x14ac:dyDescent="0.35">
      <c r="B8" s="162">
        <v>3</v>
      </c>
      <c r="C8" s="164" t="s">
        <v>99</v>
      </c>
      <c r="D8" s="163"/>
      <c r="E8" s="163"/>
      <c r="F8" s="163"/>
      <c r="G8" s="163"/>
      <c r="H8" s="163"/>
    </row>
    <row r="9" spans="2:8" ht="23.25" x14ac:dyDescent="0.35">
      <c r="B9" s="162"/>
      <c r="C9" s="235" t="s">
        <v>100</v>
      </c>
      <c r="D9" s="163"/>
      <c r="E9" s="163"/>
      <c r="F9" s="163"/>
      <c r="G9" s="163"/>
      <c r="H9" s="163"/>
    </row>
    <row r="10" spans="2:8" ht="23.25" x14ac:dyDescent="0.35">
      <c r="B10" s="162"/>
      <c r="C10" s="163"/>
      <c r="D10" s="163"/>
      <c r="E10" s="163"/>
      <c r="F10" s="163"/>
      <c r="G10" s="163"/>
      <c r="H10" s="163"/>
    </row>
    <row r="11" spans="2:8" ht="23.25" x14ac:dyDescent="0.35">
      <c r="B11" s="162">
        <v>4</v>
      </c>
      <c r="C11" s="164" t="s">
        <v>101</v>
      </c>
      <c r="D11" s="163"/>
      <c r="E11" s="163"/>
      <c r="F11" s="163"/>
      <c r="G11" s="163"/>
      <c r="H11" s="163"/>
    </row>
    <row r="12" spans="2:8" ht="23.25" x14ac:dyDescent="0.35">
      <c r="B12" s="162"/>
      <c r="C12" s="235" t="s">
        <v>102</v>
      </c>
      <c r="D12" s="163"/>
      <c r="E12" s="163"/>
      <c r="F12" s="163"/>
      <c r="G12" s="163"/>
      <c r="H12" s="163"/>
    </row>
    <row r="13" spans="2:8" ht="23.25" x14ac:dyDescent="0.35">
      <c r="B13" s="162"/>
      <c r="C13" s="163"/>
      <c r="D13" s="163"/>
      <c r="E13" s="163"/>
      <c r="F13" s="163"/>
      <c r="G13" s="163"/>
      <c r="H13" s="163"/>
    </row>
    <row r="14" spans="2:8" ht="23.25" x14ac:dyDescent="0.35">
      <c r="B14" s="162">
        <v>5</v>
      </c>
      <c r="C14" s="164" t="s">
        <v>103</v>
      </c>
      <c r="D14" s="163"/>
      <c r="E14" s="163"/>
      <c r="F14" s="163"/>
      <c r="G14" s="163"/>
      <c r="H14" s="163"/>
    </row>
    <row r="15" spans="2:8" ht="23.25" x14ac:dyDescent="0.35">
      <c r="B15" s="162"/>
      <c r="C15" s="235" t="s">
        <v>104</v>
      </c>
      <c r="D15" s="163"/>
      <c r="E15" s="163"/>
      <c r="F15" s="163"/>
      <c r="G15" s="163"/>
      <c r="H15" s="163"/>
    </row>
    <row r="16" spans="2:8" ht="23.25" x14ac:dyDescent="0.35">
      <c r="B16" s="162"/>
      <c r="C16" s="163"/>
      <c r="D16" s="163"/>
      <c r="E16" s="163"/>
      <c r="F16" s="163"/>
      <c r="G16" s="163"/>
      <c r="H16" s="163"/>
    </row>
    <row r="17" spans="2:8" ht="23.25" x14ac:dyDescent="0.35">
      <c r="B17" s="162">
        <v>6</v>
      </c>
      <c r="C17" s="164" t="s">
        <v>105</v>
      </c>
      <c r="D17" s="163"/>
      <c r="E17" s="163"/>
      <c r="F17" s="163"/>
      <c r="G17" s="163"/>
      <c r="H17" s="163"/>
    </row>
    <row r="18" spans="2:8" ht="23.25" x14ac:dyDescent="0.35">
      <c r="B18" s="162"/>
      <c r="C18" s="235" t="s">
        <v>106</v>
      </c>
      <c r="D18" s="163"/>
      <c r="E18" s="163"/>
      <c r="F18" s="163"/>
      <c r="G18" s="163"/>
      <c r="H18" s="163"/>
    </row>
    <row r="19" spans="2:8" ht="23.25" x14ac:dyDescent="0.35">
      <c r="B19" s="162"/>
      <c r="C19" s="163"/>
      <c r="D19" s="163"/>
      <c r="E19" s="163"/>
      <c r="F19" s="163"/>
      <c r="G19" s="163"/>
      <c r="H19" s="163"/>
    </row>
    <row r="20" spans="2:8" ht="23.25" x14ac:dyDescent="0.35">
      <c r="B20" s="162">
        <v>7</v>
      </c>
      <c r="C20" s="164" t="s">
        <v>103</v>
      </c>
      <c r="D20" s="163"/>
      <c r="E20" s="163"/>
      <c r="F20" s="163"/>
      <c r="G20" s="163"/>
      <c r="H20" s="163"/>
    </row>
    <row r="21" spans="2:8" ht="23.25" x14ac:dyDescent="0.35">
      <c r="B21" s="162"/>
      <c r="C21" s="235" t="s">
        <v>107</v>
      </c>
      <c r="D21" s="163"/>
      <c r="E21" s="163"/>
      <c r="F21" s="163"/>
      <c r="G21" s="163"/>
      <c r="H21" s="163"/>
    </row>
    <row r="22" spans="2:8" ht="23.25" x14ac:dyDescent="0.35">
      <c r="B22" s="162"/>
      <c r="C22" s="163"/>
      <c r="D22" s="163"/>
      <c r="E22" s="163"/>
      <c r="F22" s="163"/>
      <c r="G22" s="163"/>
      <c r="H22" s="163"/>
    </row>
    <row r="23" spans="2:8" ht="23.25" x14ac:dyDescent="0.35">
      <c r="B23" s="162">
        <v>8</v>
      </c>
      <c r="C23" s="164" t="s">
        <v>108</v>
      </c>
      <c r="D23" s="163"/>
      <c r="E23" s="163"/>
      <c r="F23" s="163"/>
      <c r="G23" s="163"/>
      <c r="H23" s="163"/>
    </row>
    <row r="24" spans="2:8" ht="23.25" x14ac:dyDescent="0.35">
      <c r="B24" s="162"/>
      <c r="C24" s="235" t="s">
        <v>109</v>
      </c>
      <c r="D24" s="163"/>
      <c r="E24" s="163"/>
      <c r="F24" s="163"/>
      <c r="G24" s="163"/>
      <c r="H24" s="163"/>
    </row>
    <row r="25" spans="2:8" ht="23.25" x14ac:dyDescent="0.35">
      <c r="B25" s="162"/>
      <c r="C25" s="163"/>
      <c r="D25" s="163"/>
      <c r="E25" s="163"/>
      <c r="F25" s="163"/>
      <c r="G25" s="163"/>
      <c r="H25" s="163"/>
    </row>
    <row r="26" spans="2:8" ht="23.25" x14ac:dyDescent="0.35">
      <c r="B26" s="162">
        <v>9</v>
      </c>
      <c r="C26" s="164" t="s">
        <v>103</v>
      </c>
      <c r="D26" s="163"/>
      <c r="E26" s="163"/>
      <c r="F26" s="163"/>
      <c r="G26" s="163"/>
      <c r="H26" s="163"/>
    </row>
    <row r="27" spans="2:8" ht="23.25" x14ac:dyDescent="0.35">
      <c r="B27" s="162"/>
      <c r="C27" s="235" t="s">
        <v>110</v>
      </c>
      <c r="D27" s="163"/>
      <c r="E27" s="163"/>
      <c r="F27" s="163"/>
      <c r="G27" s="163"/>
      <c r="H27" s="163"/>
    </row>
    <row r="28" spans="2:8" ht="23.25" x14ac:dyDescent="0.35">
      <c r="B28" s="162"/>
      <c r="C28" s="163"/>
      <c r="D28" s="163"/>
      <c r="E28" s="163"/>
      <c r="F28" s="163"/>
      <c r="G28" s="163"/>
      <c r="H28" s="163"/>
    </row>
    <row r="29" spans="2:8" ht="23.25" x14ac:dyDescent="0.35">
      <c r="B29" s="162">
        <v>10</v>
      </c>
      <c r="C29" s="164" t="s">
        <v>108</v>
      </c>
      <c r="D29" s="163"/>
      <c r="E29" s="163"/>
      <c r="F29" s="163"/>
      <c r="G29" s="163"/>
      <c r="H29" s="163"/>
    </row>
    <row r="30" spans="2:8" ht="23.25" x14ac:dyDescent="0.35">
      <c r="B30" s="162"/>
      <c r="C30" s="235" t="s">
        <v>111</v>
      </c>
      <c r="D30" s="163"/>
      <c r="E30" s="163"/>
      <c r="F30" s="163"/>
      <c r="G30" s="163"/>
      <c r="H30" s="163"/>
    </row>
    <row r="31" spans="2:8" ht="23.25" x14ac:dyDescent="0.35">
      <c r="B31" s="162"/>
      <c r="C31" s="163"/>
      <c r="D31" s="163"/>
      <c r="E31" s="163"/>
      <c r="F31" s="163"/>
      <c r="G31" s="163"/>
      <c r="H31" s="163"/>
    </row>
    <row r="32" spans="2:8" ht="23.25" x14ac:dyDescent="0.35">
      <c r="B32" s="169">
        <v>11</v>
      </c>
      <c r="C32" s="170" t="s">
        <v>108</v>
      </c>
      <c r="D32" s="171"/>
      <c r="E32" s="171"/>
      <c r="F32" s="171"/>
      <c r="G32" s="171"/>
      <c r="H32" s="171"/>
    </row>
    <row r="33" spans="2:8" ht="23.25" x14ac:dyDescent="0.35">
      <c r="B33" s="169"/>
      <c r="C33" s="236" t="s">
        <v>112</v>
      </c>
      <c r="D33" s="171"/>
      <c r="E33" s="171"/>
      <c r="F33" s="171"/>
      <c r="G33" s="171"/>
      <c r="H33" s="171"/>
    </row>
    <row r="34" spans="2:8" ht="23.25" x14ac:dyDescent="0.35">
      <c r="B34" s="162"/>
      <c r="C34" s="163"/>
      <c r="D34" s="163"/>
      <c r="E34" s="163"/>
      <c r="F34" s="163"/>
      <c r="G34" s="163"/>
      <c r="H34" s="163"/>
    </row>
    <row r="35" spans="2:8" ht="23.25" x14ac:dyDescent="0.35">
      <c r="B35" s="162">
        <v>12</v>
      </c>
      <c r="C35" s="164" t="s">
        <v>113</v>
      </c>
      <c r="D35" s="163"/>
      <c r="E35" s="163"/>
      <c r="F35" s="163"/>
      <c r="G35" s="163"/>
      <c r="H35" s="163"/>
    </row>
    <row r="36" spans="2:8" ht="23.25" x14ac:dyDescent="0.35">
      <c r="B36" s="162"/>
      <c r="C36" s="235" t="s">
        <v>114</v>
      </c>
      <c r="D36" s="163"/>
      <c r="E36" s="163"/>
      <c r="F36" s="163"/>
      <c r="G36" s="163"/>
      <c r="H36" s="163"/>
    </row>
    <row r="37" spans="2:8" ht="23.25" x14ac:dyDescent="0.35">
      <c r="B37" s="162"/>
      <c r="C37" s="163"/>
      <c r="D37" s="163"/>
      <c r="E37" s="163"/>
      <c r="F37" s="163"/>
      <c r="G37" s="163"/>
      <c r="H37" s="163"/>
    </row>
    <row r="38" spans="2:8" ht="23.25" x14ac:dyDescent="0.35">
      <c r="B38" s="162">
        <v>13</v>
      </c>
      <c r="C38" s="164" t="s">
        <v>115</v>
      </c>
      <c r="D38" s="163"/>
      <c r="E38" s="163"/>
      <c r="F38" s="163"/>
      <c r="G38" s="163"/>
      <c r="H38" s="163"/>
    </row>
    <row r="39" spans="2:8" ht="23.25" x14ac:dyDescent="0.35">
      <c r="B39" s="162"/>
      <c r="C39" s="235" t="s">
        <v>116</v>
      </c>
      <c r="D39" s="163"/>
      <c r="E39" s="163"/>
      <c r="F39" s="163"/>
      <c r="G39" s="163"/>
      <c r="H39" s="163"/>
    </row>
    <row r="40" spans="2:8" ht="23.25" x14ac:dyDescent="0.35">
      <c r="B40" s="162"/>
      <c r="C40" s="163"/>
      <c r="D40" s="163"/>
      <c r="E40" s="163"/>
      <c r="F40" s="163"/>
      <c r="G40" s="163"/>
      <c r="H40" s="163"/>
    </row>
    <row r="41" spans="2:8" ht="23.25" x14ac:dyDescent="0.35">
      <c r="B41" s="162">
        <v>14</v>
      </c>
      <c r="C41" s="164" t="s">
        <v>117</v>
      </c>
      <c r="D41" s="163"/>
      <c r="E41" s="163"/>
      <c r="F41" s="163"/>
      <c r="G41" s="163"/>
      <c r="H41" s="163"/>
    </row>
    <row r="42" spans="2:8" ht="23.25" x14ac:dyDescent="0.35">
      <c r="B42" s="162"/>
      <c r="C42" s="235" t="s">
        <v>118</v>
      </c>
      <c r="D42" s="163"/>
      <c r="E42" s="163"/>
      <c r="F42" s="163"/>
      <c r="G42" s="163"/>
      <c r="H42" s="163"/>
    </row>
    <row r="43" spans="2:8" x14ac:dyDescent="0.25">
      <c r="B43" s="165"/>
    </row>
    <row r="44" spans="2:8" x14ac:dyDescent="0.25">
      <c r="B44" s="16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3:S33"/>
  <sheetViews>
    <sheetView showGridLines="0" zoomScale="80" zoomScaleNormal="80" workbookViewId="0">
      <selection activeCell="M15" sqref="M15:M16"/>
    </sheetView>
  </sheetViews>
  <sheetFormatPr baseColWidth="10" defaultColWidth="11.5703125" defaultRowHeight="15" x14ac:dyDescent="0.25"/>
  <cols>
    <col min="2" max="2" width="21.140625" customWidth="1"/>
    <col min="3" max="3" width="9.42578125" customWidth="1"/>
    <col min="4" max="4" width="22.7109375" customWidth="1"/>
    <col min="5" max="5" width="25.85546875" customWidth="1"/>
    <col min="6" max="6" width="27.28515625" customWidth="1"/>
    <col min="7" max="7" width="18.140625" customWidth="1"/>
    <col min="8" max="8" width="13.140625" customWidth="1"/>
    <col min="9" max="9" width="12.7109375" bestFit="1" customWidth="1"/>
    <col min="10" max="10" width="8.85546875" bestFit="1" customWidth="1"/>
    <col min="11" max="11" width="8" customWidth="1"/>
    <col min="12" max="12" width="9.140625" bestFit="1" customWidth="1"/>
    <col min="13" max="13" width="8.5703125" bestFit="1" customWidth="1"/>
    <col min="14" max="14" width="13" bestFit="1" customWidth="1"/>
    <col min="15" max="15" width="15.7109375" customWidth="1"/>
    <col min="16" max="16" width="11.5703125" customWidth="1"/>
    <col min="17" max="17" width="7.5703125" hidden="1" customWidth="1"/>
    <col min="18" max="19" width="7.5703125" customWidth="1"/>
  </cols>
  <sheetData>
    <row r="3" spans="1:19" x14ac:dyDescent="0.25">
      <c r="B3" s="227" t="s">
        <v>124</v>
      </c>
      <c r="C3" s="422" t="s">
        <v>125</v>
      </c>
      <c r="D3" s="422"/>
    </row>
    <row r="4" spans="1:19" x14ac:dyDescent="0.25">
      <c r="B4" s="227" t="s">
        <v>126</v>
      </c>
      <c r="C4" s="422" t="s">
        <v>127</v>
      </c>
      <c r="D4" s="422"/>
    </row>
    <row r="5" spans="1:19" x14ac:dyDescent="0.25">
      <c r="B5" s="227" t="s">
        <v>128</v>
      </c>
      <c r="C5" s="422" t="s">
        <v>129</v>
      </c>
      <c r="D5" s="422"/>
      <c r="P5" s="173"/>
    </row>
    <row r="6" spans="1:19" x14ac:dyDescent="0.25">
      <c r="B6" s="227" t="s">
        <v>130</v>
      </c>
      <c r="C6" s="423">
        <f ca="1">TODAY()</f>
        <v>42808</v>
      </c>
      <c r="D6" s="422"/>
    </row>
    <row r="7" spans="1:19" x14ac:dyDescent="0.25">
      <c r="B7" s="227" t="s">
        <v>131</v>
      </c>
      <c r="C7" s="424">
        <v>3.26</v>
      </c>
      <c r="D7" s="424"/>
    </row>
    <row r="8" spans="1:19" x14ac:dyDescent="0.25">
      <c r="K8" s="174"/>
      <c r="L8" s="175"/>
    </row>
    <row r="10" spans="1:19" ht="25.5" x14ac:dyDescent="0.25">
      <c r="B10" s="228" t="s">
        <v>132</v>
      </c>
      <c r="C10" s="228" t="s">
        <v>133</v>
      </c>
      <c r="D10" s="228" t="s">
        <v>134</v>
      </c>
      <c r="E10" s="228" t="s">
        <v>135</v>
      </c>
      <c r="F10" s="228" t="s">
        <v>136</v>
      </c>
      <c r="G10" s="229" t="s">
        <v>137</v>
      </c>
      <c r="H10" s="228" t="s">
        <v>138</v>
      </c>
      <c r="I10" s="228" t="s">
        <v>139</v>
      </c>
      <c r="J10" s="228" t="s">
        <v>140</v>
      </c>
      <c r="K10" s="176" t="s">
        <v>141</v>
      </c>
      <c r="L10" s="177" t="s">
        <v>142</v>
      </c>
      <c r="M10" s="229" t="s">
        <v>143</v>
      </c>
      <c r="N10" s="228" t="s">
        <v>144</v>
      </c>
      <c r="O10" s="228" t="s">
        <v>145</v>
      </c>
      <c r="P10" s="229" t="s">
        <v>146</v>
      </c>
      <c r="Q10" s="228" t="s">
        <v>147</v>
      </c>
      <c r="R10" s="228" t="s">
        <v>148</v>
      </c>
      <c r="S10" s="228" t="s">
        <v>149</v>
      </c>
    </row>
    <row r="11" spans="1:19" s="191" customFormat="1" ht="27.75" customHeight="1" x14ac:dyDescent="0.25">
      <c r="B11" s="178" t="s">
        <v>150</v>
      </c>
      <c r="C11" s="179" t="s">
        <v>62</v>
      </c>
      <c r="D11" s="180" t="s">
        <v>199</v>
      </c>
      <c r="E11" s="181" t="s">
        <v>151</v>
      </c>
      <c r="F11" s="181" t="s">
        <v>156</v>
      </c>
      <c r="G11" s="182">
        <v>1400000</v>
      </c>
      <c r="H11" s="179" t="s">
        <v>68</v>
      </c>
      <c r="I11" s="183">
        <f>N11/L11*1000</f>
        <v>108695.65217391304</v>
      </c>
      <c r="J11" s="183">
        <f>I11*K11</f>
        <v>1086.9565217391305</v>
      </c>
      <c r="K11" s="184">
        <v>0.01</v>
      </c>
      <c r="L11" s="185">
        <v>2.2999999999999998</v>
      </c>
      <c r="M11" s="186">
        <f>N11/J11</f>
        <v>0.22999999999999998</v>
      </c>
      <c r="N11" s="187">
        <v>250</v>
      </c>
      <c r="O11" s="188">
        <f>N11*$C$7</f>
        <v>815</v>
      </c>
      <c r="P11" s="189">
        <f>N11/N21</f>
        <v>0.19098548510313215</v>
      </c>
      <c r="Q11" s="190"/>
      <c r="R11" s="234">
        <v>42313</v>
      </c>
      <c r="S11" s="234">
        <v>42319</v>
      </c>
    </row>
    <row r="12" spans="1:19" s="191" customFormat="1" ht="33" customHeight="1" x14ac:dyDescent="0.25">
      <c r="B12" s="178" t="s">
        <v>150</v>
      </c>
      <c r="C12" s="179" t="s">
        <v>62</v>
      </c>
      <c r="D12" s="180" t="s">
        <v>200</v>
      </c>
      <c r="E12" s="181" t="s">
        <v>151</v>
      </c>
      <c r="F12" s="181" t="s">
        <v>156</v>
      </c>
      <c r="G12" s="182">
        <v>1400000</v>
      </c>
      <c r="H12" s="179" t="s">
        <v>68</v>
      </c>
      <c r="I12" s="183">
        <f>N12/L12*1000</f>
        <v>184782.60869565219</v>
      </c>
      <c r="J12" s="183">
        <f>I12*K12</f>
        <v>1847.826086956522</v>
      </c>
      <c r="K12" s="184">
        <v>0.01</v>
      </c>
      <c r="L12" s="185">
        <v>2.2999999999999998</v>
      </c>
      <c r="M12" s="186">
        <f>N12/J12</f>
        <v>0.22999999999999998</v>
      </c>
      <c r="N12" s="187">
        <v>425</v>
      </c>
      <c r="O12" s="188">
        <f>N12*$C$7</f>
        <v>1385.5</v>
      </c>
      <c r="P12" s="189">
        <f>N12/N21</f>
        <v>0.32467532467532467</v>
      </c>
      <c r="Q12" s="329"/>
      <c r="R12" s="234">
        <v>42319</v>
      </c>
      <c r="S12" s="234">
        <v>42325</v>
      </c>
    </row>
    <row r="13" spans="1:19" s="191" customFormat="1" ht="33" customHeight="1" x14ac:dyDescent="0.25">
      <c r="B13" s="178" t="s">
        <v>150</v>
      </c>
      <c r="C13" s="179" t="s">
        <v>62</v>
      </c>
      <c r="D13" s="180" t="s">
        <v>201</v>
      </c>
      <c r="E13" s="181" t="s">
        <v>151</v>
      </c>
      <c r="F13" s="181" t="s">
        <v>156</v>
      </c>
      <c r="G13" s="182">
        <v>1400000</v>
      </c>
      <c r="H13" s="179" t="s">
        <v>68</v>
      </c>
      <c r="I13" s="183">
        <f>N13/L13*1000</f>
        <v>184782.60869565219</v>
      </c>
      <c r="J13" s="183">
        <f>I13*K13</f>
        <v>1847.826086956522</v>
      </c>
      <c r="K13" s="184">
        <v>0.01</v>
      </c>
      <c r="L13" s="185">
        <v>2.2999999999999998</v>
      </c>
      <c r="M13" s="186">
        <f>N13/J13</f>
        <v>0.22999999999999998</v>
      </c>
      <c r="N13" s="187">
        <v>425</v>
      </c>
      <c r="O13" s="188">
        <f>N13*$C$7</f>
        <v>1385.5</v>
      </c>
      <c r="P13" s="189">
        <f>N13/N21</f>
        <v>0.32467532467532467</v>
      </c>
      <c r="Q13" s="190"/>
      <c r="R13" s="234">
        <v>42326</v>
      </c>
      <c r="S13" s="234">
        <v>42332</v>
      </c>
    </row>
    <row r="14" spans="1:19" s="191" customFormat="1" ht="29.25" hidden="1" customHeight="1" x14ac:dyDescent="0.25">
      <c r="B14" s="178" t="s">
        <v>150</v>
      </c>
      <c r="C14" s="179" t="s">
        <v>62</v>
      </c>
      <c r="D14" s="180" t="s">
        <v>155</v>
      </c>
      <c r="E14" s="181" t="s">
        <v>151</v>
      </c>
      <c r="F14" s="181" t="s">
        <v>157</v>
      </c>
      <c r="G14" s="182">
        <v>1500000</v>
      </c>
      <c r="H14" s="179" t="s">
        <v>68</v>
      </c>
      <c r="I14" s="183">
        <f>N14/L14*1000</f>
        <v>0</v>
      </c>
      <c r="J14" s="183">
        <f>I14*K14</f>
        <v>0</v>
      </c>
      <c r="K14" s="184">
        <v>8.9999999999999993E-3</v>
      </c>
      <c r="L14" s="185">
        <v>1.8</v>
      </c>
      <c r="M14" s="186" t="e">
        <f>N14/J14</f>
        <v>#DIV/0!</v>
      </c>
      <c r="N14" s="187"/>
      <c r="O14" s="188">
        <f>N14*$C$7</f>
        <v>0</v>
      </c>
      <c r="P14" s="189">
        <f>N14/N21</f>
        <v>0</v>
      </c>
      <c r="Q14" s="190">
        <v>7</v>
      </c>
      <c r="R14" s="234"/>
      <c r="S14" s="234"/>
    </row>
    <row r="15" spans="1:19" s="191" customFormat="1" ht="33" hidden="1" customHeight="1" x14ac:dyDescent="0.25">
      <c r="A15" s="207"/>
      <c r="B15" s="178" t="s">
        <v>150</v>
      </c>
      <c r="C15" s="179" t="s">
        <v>62</v>
      </c>
      <c r="D15" s="180" t="s">
        <v>155</v>
      </c>
      <c r="E15" s="181" t="s">
        <v>151</v>
      </c>
      <c r="F15" s="181" t="s">
        <v>157</v>
      </c>
      <c r="G15" s="182">
        <v>1500000</v>
      </c>
      <c r="H15" s="179" t="s">
        <v>68</v>
      </c>
      <c r="I15" s="183">
        <f>N15/L15*1000</f>
        <v>0</v>
      </c>
      <c r="J15" s="183">
        <f>I15*K15</f>
        <v>0</v>
      </c>
      <c r="K15" s="184">
        <v>8.9999999999999993E-3</v>
      </c>
      <c r="L15" s="185">
        <v>1.8</v>
      </c>
      <c r="M15" s="186" t="e">
        <f>N15/J15</f>
        <v>#DIV/0!</v>
      </c>
      <c r="N15" s="187"/>
      <c r="O15" s="188">
        <f>N15*$C$7</f>
        <v>0</v>
      </c>
      <c r="P15" s="189">
        <f>N15/N21</f>
        <v>0</v>
      </c>
      <c r="Q15" s="190">
        <v>7</v>
      </c>
      <c r="R15" s="234"/>
      <c r="S15" s="234"/>
    </row>
    <row r="16" spans="1:19" s="191" customFormat="1" ht="29.25" hidden="1" customHeight="1" x14ac:dyDescent="0.25">
      <c r="A16" s="207"/>
      <c r="B16" s="178"/>
      <c r="C16" s="179"/>
      <c r="D16" s="180"/>
      <c r="E16" s="181"/>
      <c r="F16" s="181"/>
      <c r="G16" s="182"/>
      <c r="H16" s="179"/>
      <c r="I16" s="183"/>
      <c r="J16" s="183"/>
      <c r="K16" s="184"/>
      <c r="L16" s="185"/>
      <c r="M16" s="186"/>
      <c r="N16" s="187"/>
      <c r="O16" s="188"/>
      <c r="P16" s="189"/>
      <c r="Q16" s="190"/>
      <c r="R16" s="234"/>
      <c r="S16" s="234"/>
    </row>
    <row r="17" spans="1:19" s="191" customFormat="1" ht="28.5" customHeight="1" x14ac:dyDescent="0.25">
      <c r="A17" s="208"/>
      <c r="B17" s="178"/>
      <c r="C17" s="179"/>
      <c r="D17" s="180"/>
      <c r="E17" s="181"/>
      <c r="F17" s="181"/>
      <c r="G17" s="182"/>
      <c r="H17" s="179"/>
      <c r="I17" s="183"/>
      <c r="J17" s="183"/>
      <c r="K17" s="184"/>
      <c r="L17" s="185"/>
      <c r="M17" s="186"/>
      <c r="N17" s="187"/>
      <c r="O17" s="188"/>
      <c r="P17" s="189"/>
      <c r="Q17" s="190"/>
      <c r="R17" s="234"/>
      <c r="S17" s="234"/>
    </row>
    <row r="18" spans="1:19" x14ac:dyDescent="0.25">
      <c r="B18" s="425" t="s">
        <v>152</v>
      </c>
      <c r="C18" s="426"/>
      <c r="D18" s="426"/>
      <c r="E18" s="426"/>
      <c r="F18" s="427"/>
      <c r="G18" s="192">
        <v>0.15</v>
      </c>
      <c r="H18" s="419"/>
      <c r="I18" s="420"/>
      <c r="J18" s="420"/>
      <c r="K18" s="420"/>
      <c r="L18" s="420"/>
      <c r="M18" s="421"/>
      <c r="N18" s="193">
        <f>(N11+N12+N13)*15%</f>
        <v>165</v>
      </c>
      <c r="O18" s="194">
        <f>(O11+O12+O14+O15+O13)*15%</f>
        <v>537.9</v>
      </c>
      <c r="P18" s="195">
        <f>N18/N21</f>
        <v>0.12605042016806722</v>
      </c>
      <c r="Q18" s="195"/>
      <c r="R18" s="196"/>
      <c r="S18" s="196"/>
    </row>
    <row r="19" spans="1:19" x14ac:dyDescent="0.25">
      <c r="B19" s="197"/>
      <c r="C19" s="198"/>
      <c r="D19" s="198" t="s">
        <v>153</v>
      </c>
      <c r="E19" s="198"/>
      <c r="F19" s="199"/>
      <c r="G19" s="192">
        <v>0.04</v>
      </c>
      <c r="H19" s="200"/>
      <c r="I19" s="201"/>
      <c r="J19" s="201"/>
      <c r="K19" s="201"/>
      <c r="L19" s="201"/>
      <c r="M19" s="202"/>
      <c r="N19" s="193">
        <f>(N11+N12+N14+N15+N13)*4%</f>
        <v>44</v>
      </c>
      <c r="O19" s="194">
        <f>(O12+O11+O13)*4%</f>
        <v>143.44</v>
      </c>
      <c r="P19" s="195">
        <f>N19/N21</f>
        <v>3.3613445378151259E-2</v>
      </c>
      <c r="Q19" s="195"/>
      <c r="R19" s="196"/>
      <c r="S19" s="196"/>
    </row>
    <row r="20" spans="1:19" x14ac:dyDescent="0.25">
      <c r="B20" s="197"/>
      <c r="C20" s="198"/>
      <c r="D20" s="198"/>
      <c r="E20" s="198"/>
      <c r="F20" s="199"/>
      <c r="G20" s="192"/>
      <c r="H20" s="200"/>
      <c r="I20" s="201"/>
      <c r="J20" s="201"/>
      <c r="K20" s="201"/>
      <c r="L20" s="201"/>
      <c r="M20" s="202"/>
      <c r="N20" s="193"/>
      <c r="O20" s="194"/>
      <c r="P20" s="195"/>
      <c r="Q20" s="195"/>
      <c r="R20" s="196"/>
      <c r="S20" s="196"/>
    </row>
    <row r="21" spans="1:19" x14ac:dyDescent="0.25">
      <c r="B21" s="172" t="s">
        <v>154</v>
      </c>
      <c r="C21" s="203"/>
      <c r="D21" s="230"/>
      <c r="E21" s="230"/>
      <c r="F21" s="230"/>
      <c r="G21" s="230"/>
      <c r="H21" s="230"/>
      <c r="I21" s="230"/>
      <c r="J21" s="230"/>
      <c r="K21" s="230"/>
      <c r="L21" s="230"/>
      <c r="M21" s="230"/>
      <c r="N21" s="231">
        <f>SUM(N11:N20)</f>
        <v>1309</v>
      </c>
      <c r="O21" s="232">
        <f>SUM(O11:O20)</f>
        <v>4267.3399999999992</v>
      </c>
      <c r="P21" s="233">
        <f>SUM(P11:P20)</f>
        <v>1</v>
      </c>
      <c r="Q21" s="233"/>
      <c r="R21" s="230"/>
      <c r="S21" s="230"/>
    </row>
    <row r="23" spans="1:19" x14ac:dyDescent="0.25">
      <c r="N23" s="204"/>
    </row>
    <row r="24" spans="1:19" x14ac:dyDescent="0.25">
      <c r="B24" s="205"/>
      <c r="C24" s="205"/>
      <c r="D24" s="205"/>
      <c r="E24" s="205"/>
      <c r="O24" s="206">
        <f>+MMCC!N41</f>
        <v>621.39231999999902</v>
      </c>
    </row>
    <row r="25" spans="1:19" ht="15.75" x14ac:dyDescent="0.25">
      <c r="B25" s="20" t="s">
        <v>159</v>
      </c>
      <c r="C25" s="205"/>
      <c r="D25" s="205"/>
      <c r="E25" s="205"/>
      <c r="O25" s="206">
        <f>+O24-O21</f>
        <v>-3645.9476800000002</v>
      </c>
    </row>
    <row r="26" spans="1:19" ht="15.75" x14ac:dyDescent="0.25">
      <c r="B26" s="205"/>
      <c r="C26" s="205"/>
      <c r="D26" s="205"/>
      <c r="E26" s="205"/>
      <c r="O26" s="132">
        <f>+O24/C7</f>
        <v>190.61114110429418</v>
      </c>
    </row>
    <row r="27" spans="1:19" x14ac:dyDescent="0.25">
      <c r="B27" s="205"/>
      <c r="C27" s="205"/>
      <c r="D27" s="205"/>
      <c r="E27" s="205"/>
    </row>
    <row r="28" spans="1:19" ht="15" customHeight="1" x14ac:dyDescent="0.25">
      <c r="B28" s="205"/>
      <c r="C28" s="205"/>
      <c r="D28" s="205"/>
      <c r="E28" s="205"/>
    </row>
    <row r="29" spans="1:19" x14ac:dyDescent="0.25">
      <c r="B29" s="205"/>
      <c r="C29" s="205"/>
      <c r="D29" s="205"/>
      <c r="E29" s="205"/>
    </row>
    <row r="33" ht="15" customHeight="1" x14ac:dyDescent="0.25"/>
  </sheetData>
  <mergeCells count="7">
    <mergeCell ref="H18:M18"/>
    <mergeCell ref="C3:D3"/>
    <mergeCell ref="C4:D4"/>
    <mergeCell ref="C5:D5"/>
    <mergeCell ref="C6:D6"/>
    <mergeCell ref="C7:D7"/>
    <mergeCell ref="B18:F1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36"/>
  <sheetViews>
    <sheetView showGridLines="0" zoomScale="56" zoomScaleNormal="56" workbookViewId="0">
      <selection activeCell="E15" sqref="E15"/>
    </sheetView>
  </sheetViews>
  <sheetFormatPr baseColWidth="10" defaultRowHeight="21" x14ac:dyDescent="0.35"/>
  <cols>
    <col min="1" max="1" width="4" style="1" customWidth="1"/>
    <col min="2" max="2" width="28.5703125" style="2" customWidth="1"/>
    <col min="3" max="3" width="28.7109375" style="1" customWidth="1"/>
    <col min="4" max="4" width="36.5703125" style="1" customWidth="1"/>
    <col min="5" max="5" width="24.140625" style="1" bestFit="1" customWidth="1"/>
    <col min="6" max="6" width="20.42578125" style="1" customWidth="1"/>
    <col min="7" max="7" width="13" style="1" customWidth="1"/>
    <col min="8" max="8" width="21.7109375" style="1" customWidth="1"/>
    <col min="9" max="9" width="21" style="1" customWidth="1"/>
    <col min="10" max="10" width="11.7109375" style="1" customWidth="1"/>
    <col min="11" max="11" width="16.5703125" style="1" bestFit="1" customWidth="1"/>
    <col min="12" max="12" width="5.140625" style="4" customWidth="1"/>
    <col min="13" max="13" width="21.7109375" style="1" customWidth="1"/>
    <col min="14" max="14" width="25.7109375" style="1" customWidth="1"/>
    <col min="15" max="15" width="19.85546875" style="126" customWidth="1"/>
    <col min="16" max="17" width="11.42578125" style="1"/>
    <col min="18" max="18" width="20.85546875" style="1" hidden="1" customWidth="1"/>
    <col min="19" max="19" width="23.42578125" style="1" hidden="1" customWidth="1"/>
    <col min="20" max="21" width="11.42578125" style="1"/>
    <col min="22" max="22" width="20" style="1" hidden="1" customWidth="1"/>
    <col min="23" max="23" width="19.85546875" style="1" hidden="1" customWidth="1"/>
    <col min="24" max="16384" width="11.42578125" style="1"/>
  </cols>
  <sheetData>
    <row r="1" spans="1:24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7"/>
      <c r="M1" s="5"/>
      <c r="N1" s="5"/>
      <c r="O1" s="115"/>
      <c r="P1" s="5"/>
      <c r="Q1" s="5"/>
      <c r="X1" s="149"/>
    </row>
    <row r="2" spans="1:24" ht="20.25" customHeight="1" x14ac:dyDescent="0.35">
      <c r="A2" s="5"/>
      <c r="B2" s="6" t="s">
        <v>3</v>
      </c>
      <c r="C2" s="381" t="s">
        <v>32</v>
      </c>
      <c r="D2" s="383"/>
      <c r="E2" s="5"/>
      <c r="F2" s="5"/>
      <c r="G2" s="5"/>
      <c r="H2" s="5"/>
      <c r="I2" s="5"/>
      <c r="J2" s="5"/>
      <c r="K2" s="7"/>
      <c r="L2" s="5"/>
      <c r="M2" s="5"/>
      <c r="N2" s="5"/>
      <c r="O2" s="115"/>
      <c r="P2" s="5"/>
    </row>
    <row r="3" spans="1:24" ht="3.75" customHeight="1" x14ac:dyDescent="0.35">
      <c r="A3" s="7"/>
      <c r="B3" s="8"/>
      <c r="C3" s="9"/>
      <c r="D3" s="10"/>
      <c r="E3" s="7"/>
      <c r="F3" s="7"/>
      <c r="G3" s="7"/>
      <c r="H3" s="7"/>
      <c r="I3" s="7"/>
      <c r="J3" s="7"/>
      <c r="K3" s="7"/>
      <c r="L3" s="7"/>
      <c r="M3" s="7"/>
      <c r="N3" s="7"/>
      <c r="O3" s="116"/>
      <c r="P3" s="7"/>
    </row>
    <row r="4" spans="1:24" ht="14.25" customHeight="1" x14ac:dyDescent="0.35">
      <c r="A4" s="5"/>
      <c r="B4" s="6" t="s">
        <v>4</v>
      </c>
      <c r="C4" s="381" t="s">
        <v>50</v>
      </c>
      <c r="D4" s="383"/>
      <c r="E4" s="5"/>
      <c r="F4" s="5"/>
      <c r="G4" s="5"/>
      <c r="H4" s="5"/>
      <c r="I4" s="5"/>
      <c r="J4" s="5"/>
      <c r="K4" s="7"/>
      <c r="L4" s="5"/>
      <c r="M4" s="5"/>
      <c r="N4" s="5"/>
      <c r="O4" s="115"/>
      <c r="P4" s="5"/>
    </row>
    <row r="5" spans="1:24" ht="3.75" customHeight="1" x14ac:dyDescent="0.35">
      <c r="A5" s="7"/>
      <c r="B5" s="8"/>
      <c r="C5" s="9"/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116"/>
      <c r="P5" s="7"/>
    </row>
    <row r="6" spans="1:24" ht="15.75" customHeight="1" x14ac:dyDescent="0.35">
      <c r="A6" s="5"/>
      <c r="B6" s="6" t="s">
        <v>5</v>
      </c>
      <c r="C6" s="381" t="s">
        <v>17</v>
      </c>
      <c r="D6" s="383"/>
      <c r="E6" s="5"/>
      <c r="F6" s="5"/>
      <c r="G6" s="5"/>
      <c r="H6" s="5"/>
      <c r="I6" s="5"/>
      <c r="J6" s="5"/>
      <c r="K6" s="7"/>
      <c r="L6" s="5"/>
      <c r="M6" s="5"/>
      <c r="N6" s="5"/>
      <c r="O6" s="115"/>
      <c r="P6" s="5"/>
    </row>
    <row r="7" spans="1:24" ht="3.75" customHeight="1" x14ac:dyDescent="0.35">
      <c r="A7" s="7"/>
      <c r="B7" s="8"/>
      <c r="C7" s="9"/>
      <c r="D7" s="10"/>
      <c r="E7" s="7"/>
      <c r="F7" s="7"/>
      <c r="G7" s="7"/>
      <c r="H7" s="7"/>
      <c r="I7" s="7"/>
      <c r="J7" s="7"/>
      <c r="K7" s="7"/>
      <c r="L7" s="7"/>
      <c r="M7" s="7"/>
      <c r="N7" s="7"/>
      <c r="O7" s="116"/>
      <c r="P7" s="7"/>
    </row>
    <row r="8" spans="1:24" ht="14.25" customHeight="1" x14ac:dyDescent="0.35">
      <c r="A8" s="5"/>
      <c r="B8" s="6" t="s">
        <v>6</v>
      </c>
      <c r="C8" s="384">
        <v>42113</v>
      </c>
      <c r="D8" s="386"/>
      <c r="E8" s="11"/>
      <c r="F8" s="5"/>
      <c r="G8" s="5"/>
      <c r="H8" s="5"/>
      <c r="I8" s="5"/>
      <c r="J8" s="5"/>
      <c r="K8" s="7"/>
      <c r="L8" s="5"/>
      <c r="M8" s="5"/>
      <c r="N8" s="5"/>
      <c r="O8" s="115"/>
      <c r="P8" s="41"/>
    </row>
    <row r="9" spans="1:24" ht="3.75" customHeight="1" x14ac:dyDescent="0.35">
      <c r="A9" s="7"/>
      <c r="B9" s="8"/>
      <c r="C9" s="9"/>
      <c r="D9" s="10"/>
      <c r="E9" s="14"/>
      <c r="F9" s="7"/>
      <c r="G9" s="7"/>
      <c r="H9" s="7"/>
      <c r="I9" s="7"/>
      <c r="J9" s="7"/>
      <c r="K9" s="7"/>
      <c r="L9" s="7"/>
      <c r="M9" s="7"/>
      <c r="N9" s="7"/>
      <c r="O9" s="116"/>
      <c r="P9" s="42"/>
    </row>
    <row r="10" spans="1:24" s="3" customFormat="1" ht="12.75" customHeight="1" x14ac:dyDescent="0.35">
      <c r="A10" s="5"/>
      <c r="B10" s="6" t="s">
        <v>16</v>
      </c>
      <c r="C10" s="403">
        <v>3.2</v>
      </c>
      <c r="D10" s="404"/>
      <c r="E10" s="11"/>
      <c r="F10" s="5"/>
      <c r="G10" s="5"/>
      <c r="H10" s="5"/>
      <c r="I10" s="5"/>
      <c r="J10" s="5"/>
      <c r="K10" s="7"/>
      <c r="L10" s="5"/>
      <c r="M10" s="5"/>
      <c r="N10" s="5"/>
      <c r="O10" s="115"/>
      <c r="P10" s="41"/>
    </row>
    <row r="11" spans="1:24" s="3" customFormat="1" ht="30" customHeight="1" x14ac:dyDescent="0.35">
      <c r="A11" s="5"/>
      <c r="B11" s="5"/>
      <c r="C11" s="41"/>
      <c r="D11" s="5"/>
      <c r="E11" s="5"/>
      <c r="F11" s="5"/>
      <c r="G11" s="5"/>
      <c r="H11" s="5"/>
      <c r="I11" s="5"/>
      <c r="J11" s="5"/>
      <c r="K11" s="5"/>
      <c r="L11" s="7"/>
      <c r="M11" s="5"/>
      <c r="N11" s="5"/>
      <c r="O11" s="115"/>
      <c r="P11" s="5"/>
      <c r="Q11" s="41"/>
    </row>
    <row r="12" spans="1:24" ht="36.75" customHeight="1" x14ac:dyDescent="0.35">
      <c r="A12" s="15"/>
      <c r="B12" s="16" t="s">
        <v>7</v>
      </c>
      <c r="C12" s="17" t="s">
        <v>18</v>
      </c>
      <c r="D12" s="17" t="s">
        <v>19</v>
      </c>
      <c r="E12" s="17" t="s">
        <v>20</v>
      </c>
      <c r="F12" s="17" t="s">
        <v>8</v>
      </c>
      <c r="G12" s="17" t="s">
        <v>13</v>
      </c>
      <c r="H12" s="17" t="s">
        <v>21</v>
      </c>
      <c r="I12" s="17" t="s">
        <v>22</v>
      </c>
      <c r="J12" s="17" t="s">
        <v>0</v>
      </c>
      <c r="K12" s="18" t="s">
        <v>23</v>
      </c>
      <c r="L12" s="43"/>
      <c r="M12" s="112" t="s">
        <v>24</v>
      </c>
      <c r="N12" s="17" t="s">
        <v>25</v>
      </c>
      <c r="O12" s="117" t="s">
        <v>43</v>
      </c>
      <c r="P12" s="44"/>
      <c r="Q12" s="15"/>
      <c r="V12" s="146"/>
    </row>
    <row r="13" spans="1:24" ht="5.25" customHeight="1" x14ac:dyDescent="0.35">
      <c r="A13" s="5"/>
      <c r="B13" s="11"/>
      <c r="C13" s="5"/>
      <c r="D13" s="5"/>
      <c r="E13" s="5"/>
      <c r="F13" s="5"/>
      <c r="G13" s="5"/>
      <c r="H13" s="5"/>
      <c r="I13" s="5"/>
      <c r="J13" s="5"/>
      <c r="K13" s="5"/>
      <c r="L13" s="7"/>
      <c r="M13" s="5"/>
      <c r="N13" s="5"/>
      <c r="O13" s="115"/>
      <c r="P13" s="5"/>
      <c r="Q13" s="5"/>
      <c r="V13" s="146">
        <v>0.67847222222222225</v>
      </c>
    </row>
    <row r="14" spans="1:24" ht="22.5" customHeight="1" x14ac:dyDescent="0.35">
      <c r="A14" s="5"/>
      <c r="B14" s="435" t="s">
        <v>38</v>
      </c>
      <c r="C14" s="436"/>
      <c r="D14" s="436"/>
      <c r="E14" s="436"/>
      <c r="F14" s="436"/>
      <c r="G14" s="436"/>
      <c r="H14" s="436"/>
      <c r="I14" s="436"/>
      <c r="J14" s="436"/>
      <c r="K14" s="437"/>
      <c r="L14" s="45"/>
      <c r="M14" s="113"/>
      <c r="N14" s="114"/>
      <c r="O14" s="118"/>
      <c r="P14" s="45"/>
      <c r="Q14" s="5"/>
      <c r="V14" s="1" t="s">
        <v>60</v>
      </c>
      <c r="W14" s="1" t="s">
        <v>61</v>
      </c>
    </row>
    <row r="15" spans="1:24" ht="78" customHeight="1" x14ac:dyDescent="0.35">
      <c r="A15" s="5"/>
      <c r="B15" s="415" t="s">
        <v>1</v>
      </c>
      <c r="C15" s="55" t="s">
        <v>29</v>
      </c>
      <c r="D15" s="81" t="s">
        <v>31</v>
      </c>
      <c r="E15" s="47" t="s">
        <v>65</v>
      </c>
      <c r="F15" s="46" t="s">
        <v>0</v>
      </c>
      <c r="G15" s="48">
        <f t="shared" ref="G15:G17" si="0">M15/J15</f>
        <v>2250</v>
      </c>
      <c r="H15" s="49">
        <v>1.5E-3</v>
      </c>
      <c r="I15" s="48">
        <f>G15/H15</f>
        <v>1500000</v>
      </c>
      <c r="J15" s="50">
        <v>0.2</v>
      </c>
      <c r="K15" s="51">
        <f t="shared" ref="K15:K16" si="1">M15/I15*1000</f>
        <v>0.3</v>
      </c>
      <c r="L15" s="52"/>
      <c r="M15" s="142">
        <v>450</v>
      </c>
      <c r="N15" s="53">
        <f>M15*$C$10</f>
        <v>1440</v>
      </c>
      <c r="O15" s="120">
        <f t="shared" ref="O15:O22" si="2">N15/$N$29</f>
        <v>5.162151421244246E-2</v>
      </c>
      <c r="P15" s="54"/>
      <c r="Q15" s="5"/>
      <c r="R15" s="143" t="s">
        <v>51</v>
      </c>
      <c r="S15" s="143">
        <f>+N29/3.15</f>
        <v>8855.6653968253977</v>
      </c>
      <c r="V15" s="147">
        <v>28309</v>
      </c>
      <c r="W15" s="148">
        <v>27899</v>
      </c>
    </row>
    <row r="16" spans="1:24" ht="78" customHeight="1" x14ac:dyDescent="0.35">
      <c r="A16" s="5"/>
      <c r="B16" s="438"/>
      <c r="C16" s="55" t="s">
        <v>29</v>
      </c>
      <c r="D16" s="81" t="s">
        <v>39</v>
      </c>
      <c r="E16" s="47" t="s">
        <v>65</v>
      </c>
      <c r="F16" s="46" t="s">
        <v>0</v>
      </c>
      <c r="G16" s="48">
        <f>M16/J16</f>
        <v>2390</v>
      </c>
      <c r="H16" s="49">
        <v>1E-3</v>
      </c>
      <c r="I16" s="48">
        <f>G16/H16</f>
        <v>2390000</v>
      </c>
      <c r="J16" s="50">
        <v>0.2</v>
      </c>
      <c r="K16" s="51">
        <f t="shared" si="1"/>
        <v>0.2</v>
      </c>
      <c r="L16" s="52"/>
      <c r="M16" s="142">
        <v>478</v>
      </c>
      <c r="N16" s="53">
        <f t="shared" ref="N16" si="3">M16*$C$10</f>
        <v>1529.6000000000001</v>
      </c>
      <c r="O16" s="120">
        <f t="shared" si="2"/>
        <v>5.4833519541216666E-2</v>
      </c>
      <c r="P16" s="54"/>
      <c r="Q16" s="5"/>
      <c r="R16" s="143" t="s">
        <v>52</v>
      </c>
      <c r="S16" s="143">
        <f>+S15/2</f>
        <v>4427.8326984126988</v>
      </c>
    </row>
    <row r="17" spans="1:17" ht="78" customHeight="1" x14ac:dyDescent="0.35">
      <c r="A17" s="5"/>
      <c r="B17" s="416"/>
      <c r="C17" s="55" t="s">
        <v>29</v>
      </c>
      <c r="D17" s="81" t="s">
        <v>40</v>
      </c>
      <c r="E17" s="47" t="s">
        <v>65</v>
      </c>
      <c r="F17" s="46" t="s">
        <v>0</v>
      </c>
      <c r="G17" s="48">
        <f t="shared" si="0"/>
        <v>1666.6666666666667</v>
      </c>
      <c r="H17" s="49">
        <v>2E-3</v>
      </c>
      <c r="I17" s="48">
        <f>G17/H17</f>
        <v>833333.33333333337</v>
      </c>
      <c r="J17" s="50">
        <v>0.3</v>
      </c>
      <c r="K17" s="51">
        <f>M17/I17*1000</f>
        <v>0.6</v>
      </c>
      <c r="L17" s="52"/>
      <c r="M17" s="142">
        <v>500</v>
      </c>
      <c r="N17" s="53">
        <f>M17*$C$10</f>
        <v>1600</v>
      </c>
      <c r="O17" s="120">
        <f t="shared" si="2"/>
        <v>5.7357238013824953E-2</v>
      </c>
      <c r="P17" s="54"/>
      <c r="Q17" s="5"/>
    </row>
    <row r="18" spans="1:17" ht="78" customHeight="1" x14ac:dyDescent="0.35">
      <c r="A18" s="5"/>
      <c r="B18" s="129" t="s">
        <v>44</v>
      </c>
      <c r="C18" s="55" t="s">
        <v>57</v>
      </c>
      <c r="D18" s="81" t="s">
        <v>31</v>
      </c>
      <c r="E18" s="47" t="s">
        <v>65</v>
      </c>
      <c r="F18" s="46" t="s">
        <v>45</v>
      </c>
      <c r="G18" s="48"/>
      <c r="H18" s="49"/>
      <c r="I18" s="48">
        <v>400000</v>
      </c>
      <c r="J18" s="50"/>
      <c r="K18" s="51">
        <f>22/3.15</f>
        <v>6.9841269841269842</v>
      </c>
      <c r="L18" s="52"/>
      <c r="M18" s="142">
        <f>N18/$C$10</f>
        <v>2156.25</v>
      </c>
      <c r="N18" s="53">
        <f>13800/2</f>
        <v>6900</v>
      </c>
      <c r="O18" s="120">
        <f t="shared" si="2"/>
        <v>0.24735308893462013</v>
      </c>
      <c r="P18" s="54"/>
      <c r="Q18" s="5"/>
    </row>
    <row r="19" spans="1:17" ht="78" customHeight="1" x14ac:dyDescent="0.35">
      <c r="A19" s="5"/>
      <c r="B19" s="76" t="s">
        <v>46</v>
      </c>
      <c r="C19" s="136" t="s">
        <v>48</v>
      </c>
      <c r="D19" s="137" t="s">
        <v>47</v>
      </c>
      <c r="E19" s="47" t="s">
        <v>65</v>
      </c>
      <c r="F19" s="46" t="s">
        <v>49</v>
      </c>
      <c r="G19" s="48">
        <f>M19/J19</f>
        <v>19264.062499999996</v>
      </c>
      <c r="H19" s="49">
        <v>0.03</v>
      </c>
      <c r="I19" s="48">
        <f>G19/H19</f>
        <v>642135.41666666651</v>
      </c>
      <c r="J19" s="50">
        <v>0.12</v>
      </c>
      <c r="K19" s="51">
        <f>M19/(I19/1000)</f>
        <v>3.6</v>
      </c>
      <c r="L19" s="52"/>
      <c r="M19" s="142">
        <f>N19/$C$10</f>
        <v>2311.6874999999995</v>
      </c>
      <c r="N19" s="53">
        <f>14794.8/2</f>
        <v>7397.4</v>
      </c>
      <c r="O19" s="120">
        <f t="shared" si="2"/>
        <v>0.26518402030216792</v>
      </c>
      <c r="P19" s="54"/>
      <c r="Q19" s="5"/>
    </row>
    <row r="20" spans="1:17" ht="78" customHeight="1" x14ac:dyDescent="0.35">
      <c r="A20" s="5"/>
      <c r="B20" s="415" t="s">
        <v>36</v>
      </c>
      <c r="C20" s="136" t="s">
        <v>62</v>
      </c>
      <c r="D20" s="77" t="s">
        <v>64</v>
      </c>
      <c r="E20" s="47" t="s">
        <v>65</v>
      </c>
      <c r="F20" s="137"/>
      <c r="G20" s="138"/>
      <c r="H20" s="139"/>
      <c r="I20" s="138"/>
      <c r="J20" s="140"/>
      <c r="K20" s="439"/>
      <c r="L20" s="141"/>
      <c r="M20" s="429">
        <f>4223.375/2</f>
        <v>2111.6875</v>
      </c>
      <c r="N20" s="431">
        <f>+M20*C10</f>
        <v>6757.4000000000005</v>
      </c>
      <c r="O20" s="120">
        <f t="shared" si="2"/>
        <v>0.242241125096638</v>
      </c>
      <c r="P20" s="54"/>
      <c r="Q20" s="5"/>
    </row>
    <row r="21" spans="1:17" ht="78" customHeight="1" x14ac:dyDescent="0.35">
      <c r="A21" s="5"/>
      <c r="B21" s="416"/>
      <c r="C21" s="136" t="s">
        <v>63</v>
      </c>
      <c r="D21" s="77" t="s">
        <v>64</v>
      </c>
      <c r="E21" s="47" t="s">
        <v>65</v>
      </c>
      <c r="F21" s="137"/>
      <c r="G21" s="138"/>
      <c r="H21" s="139"/>
      <c r="I21" s="138"/>
      <c r="J21" s="140"/>
      <c r="K21" s="440"/>
      <c r="L21" s="141"/>
      <c r="M21" s="430"/>
      <c r="N21" s="432"/>
      <c r="O21" s="120">
        <f t="shared" si="2"/>
        <v>0</v>
      </c>
      <c r="P21" s="54"/>
      <c r="Q21" s="5"/>
    </row>
    <row r="22" spans="1:17" ht="21" customHeight="1" x14ac:dyDescent="0.35">
      <c r="A22" s="11"/>
      <c r="B22" s="428" t="s">
        <v>26</v>
      </c>
      <c r="C22" s="428"/>
      <c r="D22" s="428"/>
      <c r="E22" s="428"/>
      <c r="F22" s="428"/>
      <c r="G22" s="110">
        <f>SUM(G15:G21)</f>
        <v>25570.729166666664</v>
      </c>
      <c r="H22" s="111">
        <f>G22/I22</f>
        <v>4.4351518107988465E-3</v>
      </c>
      <c r="I22" s="110">
        <f>SUM(I15:I21)</f>
        <v>5765468.75</v>
      </c>
      <c r="J22" s="433" t="s">
        <v>27</v>
      </c>
      <c r="K22" s="434"/>
      <c r="L22" s="56"/>
      <c r="M22" s="71">
        <f>SUM(M15:M21)</f>
        <v>8007.625</v>
      </c>
      <c r="N22" s="70">
        <f>SUM(N15:N21)</f>
        <v>25624.400000000001</v>
      </c>
      <c r="O22" s="121">
        <f t="shared" si="2"/>
        <v>0.9185905061009102</v>
      </c>
      <c r="P22" s="57"/>
      <c r="Q22" s="11"/>
    </row>
    <row r="23" spans="1:17" s="92" customFormat="1" ht="21" customHeight="1" x14ac:dyDescent="0.35">
      <c r="A23" s="90"/>
      <c r="B23" s="106" t="s">
        <v>41</v>
      </c>
      <c r="C23" s="107"/>
      <c r="D23" s="107"/>
      <c r="E23" s="107"/>
      <c r="F23" s="107"/>
      <c r="G23" s="100"/>
      <c r="H23" s="101"/>
      <c r="I23" s="100"/>
      <c r="J23" s="102"/>
      <c r="K23" s="102"/>
      <c r="L23" s="89"/>
      <c r="M23" s="102"/>
      <c r="N23" s="103"/>
      <c r="O23" s="122"/>
      <c r="P23" s="104"/>
      <c r="Q23" s="90"/>
    </row>
    <row r="24" spans="1:17" s="92" customFormat="1" ht="21" customHeight="1" x14ac:dyDescent="0.35">
      <c r="A24" s="90"/>
      <c r="B24" s="417" t="s">
        <v>58</v>
      </c>
      <c r="C24" s="418"/>
      <c r="D24" s="418"/>
      <c r="E24" s="418"/>
      <c r="F24" s="418"/>
      <c r="G24" s="94">
        <v>0.04</v>
      </c>
      <c r="H24" s="108"/>
      <c r="I24" s="109"/>
      <c r="J24" s="96"/>
      <c r="K24" s="97"/>
      <c r="L24" s="98"/>
      <c r="M24" s="105">
        <f>(M15+M16+M17+M18+M19+M20)*G24</f>
        <v>320.30500000000001</v>
      </c>
      <c r="N24" s="53">
        <f t="shared" ref="N24:N26" si="4">M24*$C$10</f>
        <v>1024.9760000000001</v>
      </c>
      <c r="O24" s="123"/>
      <c r="P24" s="91"/>
      <c r="Q24" s="90"/>
    </row>
    <row r="25" spans="1:17" ht="21" customHeight="1" x14ac:dyDescent="0.35">
      <c r="A25" s="11"/>
      <c r="B25" s="417" t="s">
        <v>42</v>
      </c>
      <c r="C25" s="418"/>
      <c r="D25" s="418"/>
      <c r="E25" s="418"/>
      <c r="F25" s="418"/>
      <c r="G25" s="95">
        <v>0.11</v>
      </c>
      <c r="H25" s="88"/>
      <c r="I25" s="93"/>
      <c r="J25" s="96"/>
      <c r="K25" s="97"/>
      <c r="L25" s="98"/>
      <c r="M25" s="99">
        <f>(M15+M16+M17)*G25</f>
        <v>157.08000000000001</v>
      </c>
      <c r="N25" s="53">
        <f t="shared" si="4"/>
        <v>502.65600000000006</v>
      </c>
      <c r="O25" s="123"/>
      <c r="P25" s="57"/>
      <c r="Q25" s="11"/>
    </row>
    <row r="26" spans="1:17" ht="21" customHeight="1" x14ac:dyDescent="0.35">
      <c r="A26" s="11"/>
      <c r="B26" s="417" t="s">
        <v>41</v>
      </c>
      <c r="C26" s="418"/>
      <c r="D26" s="418"/>
      <c r="E26" s="418"/>
      <c r="F26" s="418"/>
      <c r="G26" s="95">
        <v>0.11</v>
      </c>
      <c r="H26" s="88"/>
      <c r="I26" s="93"/>
      <c r="J26" s="96"/>
      <c r="K26" s="97"/>
      <c r="L26" s="98"/>
      <c r="M26" s="99">
        <f>(M20)*G26</f>
        <v>232.28562500000001</v>
      </c>
      <c r="N26" s="53">
        <f t="shared" si="4"/>
        <v>743.31400000000008</v>
      </c>
      <c r="O26" s="123"/>
      <c r="P26" s="57"/>
      <c r="Q26" s="11"/>
    </row>
    <row r="27" spans="1:17" ht="21" customHeight="1" x14ac:dyDescent="0.35">
      <c r="A27" s="11"/>
      <c r="B27" s="409" t="s">
        <v>35</v>
      </c>
      <c r="C27" s="410"/>
      <c r="D27" s="410"/>
      <c r="E27" s="410"/>
      <c r="F27" s="410"/>
      <c r="G27" s="410"/>
      <c r="H27" s="410"/>
      <c r="I27" s="410"/>
      <c r="J27" s="410"/>
      <c r="K27" s="411"/>
      <c r="L27" s="56"/>
      <c r="M27" s="86">
        <f>SUM(M24:M26)</f>
        <v>709.67062499999997</v>
      </c>
      <c r="N27" s="87">
        <f>SUM(N24:N26)</f>
        <v>2270.9459999999999</v>
      </c>
      <c r="O27" s="127">
        <f>N27/$N$29</f>
        <v>8.140949389908983E-2</v>
      </c>
      <c r="P27" s="57"/>
      <c r="Q27" s="11"/>
    </row>
    <row r="28" spans="1:17" ht="21" customHeight="1" x14ac:dyDescent="0.35">
      <c r="A28" s="5"/>
      <c r="B28" s="58"/>
      <c r="C28" s="59"/>
      <c r="D28" s="60"/>
      <c r="E28" s="61"/>
      <c r="F28" s="62"/>
      <c r="G28" s="63"/>
      <c r="H28" s="64"/>
      <c r="I28" s="65"/>
      <c r="J28" s="66"/>
      <c r="K28" s="67"/>
      <c r="L28" s="68"/>
      <c r="M28" s="66"/>
      <c r="N28" s="69"/>
      <c r="O28" s="124"/>
      <c r="P28" s="54"/>
      <c r="Q28" s="5"/>
    </row>
    <row r="29" spans="1:17" x14ac:dyDescent="0.35">
      <c r="A29" s="5"/>
      <c r="B29" s="20"/>
      <c r="C29" s="5"/>
      <c r="D29" s="5"/>
      <c r="E29" s="5"/>
      <c r="F29" s="5"/>
      <c r="G29" s="5"/>
      <c r="H29" s="5"/>
      <c r="I29" s="5"/>
      <c r="J29" s="428" t="s">
        <v>28</v>
      </c>
      <c r="K29" s="428"/>
      <c r="L29" s="7"/>
      <c r="M29" s="71">
        <f>SUM(M27,M22)</f>
        <v>8717.2956250000007</v>
      </c>
      <c r="N29" s="70">
        <f>SUM(N27,N22)</f>
        <v>27895.346000000001</v>
      </c>
      <c r="O29" s="121">
        <f>N29/$N$29</f>
        <v>1</v>
      </c>
      <c r="P29" s="5"/>
      <c r="Q29" s="5"/>
    </row>
    <row r="30" spans="1:17" x14ac:dyDescent="0.35">
      <c r="A30" s="5"/>
      <c r="B30" s="20"/>
      <c r="C30" s="5"/>
      <c r="D30" s="5"/>
      <c r="E30" s="5"/>
      <c r="F30" s="5"/>
      <c r="G30" s="5"/>
      <c r="H30" s="5"/>
      <c r="I30" s="5"/>
      <c r="J30" s="5"/>
      <c r="K30" s="5"/>
      <c r="L30" s="7"/>
      <c r="M30" s="5"/>
      <c r="N30" s="131"/>
      <c r="O30" s="115"/>
      <c r="P30" s="5"/>
      <c r="Q30" s="5"/>
    </row>
    <row r="31" spans="1:17" x14ac:dyDescent="0.35">
      <c r="A31" s="5"/>
      <c r="B31" s="20"/>
      <c r="C31" s="19"/>
      <c r="D31" s="19"/>
      <c r="E31" s="72"/>
      <c r="F31" s="19"/>
      <c r="G31" s="5"/>
      <c r="H31" s="5"/>
      <c r="I31" s="73"/>
      <c r="J31" s="11"/>
      <c r="K31" s="5"/>
      <c r="L31" s="7"/>
      <c r="N31" s="130"/>
      <c r="O31" s="125"/>
      <c r="P31" s="74"/>
      <c r="Q31" s="41"/>
    </row>
    <row r="32" spans="1:17" x14ac:dyDescent="0.35">
      <c r="A32" s="5"/>
      <c r="B32" s="20"/>
      <c r="C32" s="19"/>
      <c r="D32" s="19"/>
      <c r="E32" s="19"/>
      <c r="F32" s="19"/>
      <c r="G32" s="5"/>
      <c r="H32" s="5"/>
      <c r="I32" s="5"/>
      <c r="J32" s="5"/>
      <c r="K32" s="5"/>
      <c r="L32" s="7"/>
      <c r="M32" s="5"/>
      <c r="N32" s="5"/>
      <c r="O32" s="115"/>
      <c r="P32" s="74"/>
      <c r="Q32" s="41"/>
    </row>
    <row r="33" spans="1:17" x14ac:dyDescent="0.35">
      <c r="A33" s="5"/>
      <c r="B33" s="20"/>
      <c r="C33" s="19"/>
      <c r="D33" s="19"/>
      <c r="E33" s="19"/>
      <c r="F33" s="19"/>
      <c r="G33" s="5"/>
      <c r="H33" s="5"/>
      <c r="I33" s="5"/>
      <c r="J33" s="5"/>
      <c r="K33" s="5"/>
      <c r="L33" s="7"/>
      <c r="M33" s="5"/>
      <c r="O33" s="115"/>
      <c r="P33" s="74"/>
      <c r="Q33" s="41"/>
    </row>
    <row r="34" spans="1:17" x14ac:dyDescent="0.35">
      <c r="A34" s="5"/>
      <c r="B34" s="20"/>
      <c r="C34" s="19"/>
      <c r="D34" s="19"/>
      <c r="E34" s="19"/>
      <c r="F34" s="19"/>
      <c r="G34" s="5"/>
      <c r="H34" s="5"/>
      <c r="I34" s="5"/>
      <c r="J34" s="5"/>
      <c r="K34" s="5"/>
      <c r="L34" s="7"/>
      <c r="M34" s="5"/>
      <c r="N34" s="145">
        <v>27899</v>
      </c>
      <c r="O34" s="115"/>
      <c r="P34" s="74"/>
      <c r="Q34" s="75"/>
    </row>
    <row r="35" spans="1:17" x14ac:dyDescent="0.35">
      <c r="N35" s="145">
        <f>+N34-N29</f>
        <v>3.6539999999986321</v>
      </c>
    </row>
    <row r="36" spans="1:17" x14ac:dyDescent="0.35">
      <c r="N36" s="132">
        <f>+N29/3.2</f>
        <v>8717.2956250000007</v>
      </c>
    </row>
  </sheetData>
  <mergeCells count="18">
    <mergeCell ref="B14:K14"/>
    <mergeCell ref="B15:B17"/>
    <mergeCell ref="B20:B21"/>
    <mergeCell ref="K20:K21"/>
    <mergeCell ref="C2:D2"/>
    <mergeCell ref="C4:D4"/>
    <mergeCell ref="C6:D6"/>
    <mergeCell ref="C8:D8"/>
    <mergeCell ref="C10:D10"/>
    <mergeCell ref="B27:K27"/>
    <mergeCell ref="J29:K29"/>
    <mergeCell ref="M20:M21"/>
    <mergeCell ref="N20:N21"/>
    <mergeCell ref="B24:F24"/>
    <mergeCell ref="B25:F25"/>
    <mergeCell ref="B26:F26"/>
    <mergeCell ref="B22:F22"/>
    <mergeCell ref="J22:K22"/>
  </mergeCells>
  <conditionalFormatting sqref="M14 L11:M13 L18:M18">
    <cfRule type="cellIs" dxfId="31" priority="15" stopIfTrue="1" operator="equal">
      <formula>0</formula>
    </cfRule>
    <cfRule type="expression" dxfId="30" priority="16" stopIfTrue="1">
      <formula>ISERROR(L11)</formula>
    </cfRule>
  </conditionalFormatting>
  <conditionalFormatting sqref="L15:M15">
    <cfRule type="cellIs" dxfId="29" priority="13" stopIfTrue="1" operator="equal">
      <formula>0</formula>
    </cfRule>
    <cfRule type="expression" dxfId="28" priority="14" stopIfTrue="1">
      <formula>ISERROR(L15)</formula>
    </cfRule>
  </conditionalFormatting>
  <conditionalFormatting sqref="L19">
    <cfRule type="cellIs" dxfId="27" priority="11" stopIfTrue="1" operator="equal">
      <formula>0</formula>
    </cfRule>
    <cfRule type="expression" dxfId="26" priority="12" stopIfTrue="1">
      <formula>ISERROR(L19)</formula>
    </cfRule>
  </conditionalFormatting>
  <conditionalFormatting sqref="L20:M20">
    <cfRule type="cellIs" dxfId="25" priority="9" stopIfTrue="1" operator="equal">
      <formula>0</formula>
    </cfRule>
    <cfRule type="expression" dxfId="24" priority="10" stopIfTrue="1">
      <formula>ISERROR(L20)</formula>
    </cfRule>
  </conditionalFormatting>
  <conditionalFormatting sqref="L21">
    <cfRule type="cellIs" dxfId="23" priority="7" stopIfTrue="1" operator="equal">
      <formula>0</formula>
    </cfRule>
    <cfRule type="expression" dxfId="22" priority="8" stopIfTrue="1">
      <formula>ISERROR(L21)</formula>
    </cfRule>
  </conditionalFormatting>
  <conditionalFormatting sqref="L17:M17">
    <cfRule type="cellIs" dxfId="21" priority="5" stopIfTrue="1" operator="equal">
      <formula>0</formula>
    </cfRule>
    <cfRule type="expression" dxfId="20" priority="6" stopIfTrue="1">
      <formula>ISERROR(L17)</formula>
    </cfRule>
  </conditionalFormatting>
  <conditionalFormatting sqref="L16:M16">
    <cfRule type="cellIs" dxfId="19" priority="3" stopIfTrue="1" operator="equal">
      <formula>0</formula>
    </cfRule>
    <cfRule type="expression" dxfId="18" priority="4" stopIfTrue="1">
      <formula>ISERROR(L16)</formula>
    </cfRule>
  </conditionalFormatting>
  <conditionalFormatting sqref="M19">
    <cfRule type="cellIs" dxfId="17" priority="1" stopIfTrue="1" operator="equal">
      <formula>0</formula>
    </cfRule>
    <cfRule type="expression" dxfId="16" priority="2" stopIfTrue="1">
      <formula>ISERROR(M19)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6"/>
  <sheetViews>
    <sheetView showGridLines="0" zoomScale="56" zoomScaleNormal="56" workbookViewId="0">
      <selection activeCell="C20" sqref="C20:D21"/>
    </sheetView>
  </sheetViews>
  <sheetFormatPr baseColWidth="10" defaultRowHeight="21" x14ac:dyDescent="0.35"/>
  <cols>
    <col min="1" max="1" width="4" style="1" customWidth="1"/>
    <col min="2" max="2" width="28.5703125" style="2" customWidth="1"/>
    <col min="3" max="3" width="28.7109375" style="1" customWidth="1"/>
    <col min="4" max="4" width="36.5703125" style="1" customWidth="1"/>
    <col min="5" max="5" width="24.140625" style="1" bestFit="1" customWidth="1"/>
    <col min="6" max="6" width="20.42578125" style="1" customWidth="1"/>
    <col min="7" max="7" width="13" style="1" customWidth="1"/>
    <col min="8" max="8" width="21.7109375" style="1" customWidth="1"/>
    <col min="9" max="9" width="21" style="1" customWidth="1"/>
    <col min="10" max="10" width="11.7109375" style="1" customWidth="1"/>
    <col min="11" max="11" width="16.5703125" style="1" bestFit="1" customWidth="1"/>
    <col min="12" max="12" width="5.140625" style="4" customWidth="1"/>
    <col min="13" max="13" width="21.7109375" style="1" customWidth="1"/>
    <col min="14" max="14" width="25.7109375" style="1" customWidth="1"/>
    <col min="15" max="15" width="19.85546875" style="126" customWidth="1"/>
    <col min="16" max="17" width="11.42578125" style="1"/>
    <col min="18" max="18" width="20.85546875" style="1" hidden="1" customWidth="1"/>
    <col min="19" max="19" width="23.42578125" style="1" hidden="1" customWidth="1"/>
    <col min="20" max="16384" width="11.42578125" style="1"/>
  </cols>
  <sheetData>
    <row r="1" spans="1:19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7"/>
      <c r="M1" s="5"/>
      <c r="N1" s="5"/>
      <c r="O1" s="115"/>
      <c r="P1" s="5"/>
      <c r="Q1" s="5"/>
    </row>
    <row r="2" spans="1:19" ht="20.25" customHeight="1" x14ac:dyDescent="0.35">
      <c r="A2" s="5"/>
      <c r="B2" s="6" t="s">
        <v>3</v>
      </c>
      <c r="C2" s="381" t="s">
        <v>32</v>
      </c>
      <c r="D2" s="383"/>
      <c r="E2" s="5"/>
      <c r="F2" s="5"/>
      <c r="G2" s="5"/>
      <c r="H2" s="5"/>
      <c r="I2" s="5"/>
      <c r="J2" s="5"/>
      <c r="K2" s="7"/>
      <c r="L2" s="5"/>
      <c r="M2" s="5"/>
      <c r="N2" s="5"/>
      <c r="O2" s="115"/>
      <c r="P2" s="5"/>
    </row>
    <row r="3" spans="1:19" ht="3.75" customHeight="1" x14ac:dyDescent="0.35">
      <c r="A3" s="7"/>
      <c r="B3" s="8"/>
      <c r="C3" s="9"/>
      <c r="D3" s="10"/>
      <c r="E3" s="7"/>
      <c r="F3" s="7"/>
      <c r="G3" s="7"/>
      <c r="H3" s="7"/>
      <c r="I3" s="7"/>
      <c r="J3" s="7"/>
      <c r="K3" s="7"/>
      <c r="L3" s="7"/>
      <c r="M3" s="7"/>
      <c r="N3" s="7"/>
      <c r="O3" s="116"/>
      <c r="P3" s="7"/>
    </row>
    <row r="4" spans="1:19" ht="14.25" customHeight="1" x14ac:dyDescent="0.35">
      <c r="A4" s="5"/>
      <c r="B4" s="6" t="s">
        <v>4</v>
      </c>
      <c r="C4" s="381" t="s">
        <v>50</v>
      </c>
      <c r="D4" s="383"/>
      <c r="E4" s="5"/>
      <c r="F4" s="5"/>
      <c r="G4" s="5"/>
      <c r="H4" s="5"/>
      <c r="I4" s="5"/>
      <c r="J4" s="5"/>
      <c r="K4" s="7"/>
      <c r="L4" s="5"/>
      <c r="M4" s="5"/>
      <c r="N4" s="5"/>
      <c r="O4" s="115"/>
      <c r="P4" s="5"/>
    </row>
    <row r="5" spans="1:19" ht="3.75" customHeight="1" x14ac:dyDescent="0.35">
      <c r="A5" s="7"/>
      <c r="B5" s="8"/>
      <c r="C5" s="9"/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116"/>
      <c r="P5" s="7"/>
    </row>
    <row r="6" spans="1:19" ht="15.75" customHeight="1" x14ac:dyDescent="0.35">
      <c r="A6" s="5"/>
      <c r="B6" s="6" t="s">
        <v>5</v>
      </c>
      <c r="C6" s="381" t="s">
        <v>17</v>
      </c>
      <c r="D6" s="383"/>
      <c r="E6" s="5"/>
      <c r="F6" s="5"/>
      <c r="G6" s="5"/>
      <c r="H6" s="5"/>
      <c r="I6" s="5"/>
      <c r="J6" s="5"/>
      <c r="K6" s="7"/>
      <c r="L6" s="5"/>
      <c r="M6" s="5"/>
      <c r="N6" s="5"/>
      <c r="O6" s="115"/>
      <c r="P6" s="5"/>
    </row>
    <row r="7" spans="1:19" ht="3.75" customHeight="1" x14ac:dyDescent="0.35">
      <c r="A7" s="7"/>
      <c r="B7" s="8"/>
      <c r="C7" s="9"/>
      <c r="D7" s="10"/>
      <c r="E7" s="7"/>
      <c r="F7" s="7"/>
      <c r="G7" s="7"/>
      <c r="H7" s="7"/>
      <c r="I7" s="7"/>
      <c r="J7" s="7"/>
      <c r="K7" s="7"/>
      <c r="L7" s="7"/>
      <c r="M7" s="7"/>
      <c r="N7" s="7"/>
      <c r="O7" s="116"/>
      <c r="P7" s="7"/>
    </row>
    <row r="8" spans="1:19" ht="14.25" customHeight="1" x14ac:dyDescent="0.35">
      <c r="A8" s="5"/>
      <c r="B8" s="6" t="s">
        <v>6</v>
      </c>
      <c r="C8" s="384">
        <v>42113</v>
      </c>
      <c r="D8" s="386"/>
      <c r="E8" s="11"/>
      <c r="F8" s="5"/>
      <c r="G8" s="5"/>
      <c r="H8" s="5"/>
      <c r="I8" s="5"/>
      <c r="J8" s="5"/>
      <c r="K8" s="7"/>
      <c r="L8" s="5"/>
      <c r="M8" s="5"/>
      <c r="N8" s="5"/>
      <c r="O8" s="115"/>
      <c r="P8" s="41"/>
    </row>
    <row r="9" spans="1:19" ht="3.75" customHeight="1" x14ac:dyDescent="0.35">
      <c r="A9" s="7"/>
      <c r="B9" s="8"/>
      <c r="C9" s="9"/>
      <c r="D9" s="10"/>
      <c r="E9" s="14"/>
      <c r="F9" s="7"/>
      <c r="G9" s="7"/>
      <c r="H9" s="7"/>
      <c r="I9" s="7"/>
      <c r="J9" s="7"/>
      <c r="K9" s="7"/>
      <c r="L9" s="7"/>
      <c r="M9" s="7"/>
      <c r="N9" s="7"/>
      <c r="O9" s="116"/>
      <c r="P9" s="42"/>
    </row>
    <row r="10" spans="1:19" s="3" customFormat="1" ht="12.75" customHeight="1" x14ac:dyDescent="0.35">
      <c r="A10" s="5"/>
      <c r="B10" s="6" t="s">
        <v>16</v>
      </c>
      <c r="C10" s="403">
        <v>3.2</v>
      </c>
      <c r="D10" s="404"/>
      <c r="E10" s="11"/>
      <c r="F10" s="5"/>
      <c r="G10" s="5"/>
      <c r="H10" s="5"/>
      <c r="I10" s="5"/>
      <c r="J10" s="5"/>
      <c r="K10" s="7"/>
      <c r="L10" s="5"/>
      <c r="M10" s="5"/>
      <c r="N10" s="5"/>
      <c r="O10" s="115"/>
      <c r="P10" s="41"/>
    </row>
    <row r="11" spans="1:19" s="3" customFormat="1" ht="30" customHeight="1" x14ac:dyDescent="0.35">
      <c r="A11" s="5"/>
      <c r="B11" s="5"/>
      <c r="C11" s="41"/>
      <c r="D11" s="5"/>
      <c r="E11" s="5"/>
      <c r="F11" s="5"/>
      <c r="G11" s="5"/>
      <c r="H11" s="5"/>
      <c r="I11" s="5"/>
      <c r="J11" s="5"/>
      <c r="K11" s="5"/>
      <c r="L11" s="7"/>
      <c r="M11" s="5"/>
      <c r="N11" s="5"/>
      <c r="O11" s="115"/>
      <c r="P11" s="5"/>
      <c r="Q11" s="41"/>
    </row>
    <row r="12" spans="1:19" ht="36.75" customHeight="1" x14ac:dyDescent="0.35">
      <c r="A12" s="15"/>
      <c r="B12" s="16" t="s">
        <v>7</v>
      </c>
      <c r="C12" s="17" t="s">
        <v>18</v>
      </c>
      <c r="D12" s="17" t="s">
        <v>19</v>
      </c>
      <c r="E12" s="17" t="s">
        <v>20</v>
      </c>
      <c r="F12" s="17" t="s">
        <v>8</v>
      </c>
      <c r="G12" s="17" t="s">
        <v>13</v>
      </c>
      <c r="H12" s="17" t="s">
        <v>21</v>
      </c>
      <c r="I12" s="17" t="s">
        <v>22</v>
      </c>
      <c r="J12" s="17" t="s">
        <v>0</v>
      </c>
      <c r="K12" s="18" t="s">
        <v>23</v>
      </c>
      <c r="L12" s="43"/>
      <c r="M12" s="112" t="s">
        <v>24</v>
      </c>
      <c r="N12" s="17" t="s">
        <v>25</v>
      </c>
      <c r="O12" s="117" t="s">
        <v>43</v>
      </c>
      <c r="P12" s="44"/>
      <c r="Q12" s="15"/>
    </row>
    <row r="13" spans="1:19" ht="5.25" customHeight="1" x14ac:dyDescent="0.35">
      <c r="A13" s="5"/>
      <c r="B13" s="11"/>
      <c r="C13" s="5"/>
      <c r="D13" s="5"/>
      <c r="E13" s="5"/>
      <c r="F13" s="5"/>
      <c r="G13" s="5"/>
      <c r="H13" s="5"/>
      <c r="I13" s="5"/>
      <c r="J13" s="5"/>
      <c r="K13" s="5"/>
      <c r="L13" s="7"/>
      <c r="M13" s="5"/>
      <c r="N13" s="5"/>
      <c r="O13" s="115"/>
      <c r="P13" s="5"/>
      <c r="Q13" s="5"/>
    </row>
    <row r="14" spans="1:19" ht="22.5" customHeight="1" x14ac:dyDescent="0.35">
      <c r="A14" s="5"/>
      <c r="B14" s="435" t="s">
        <v>38</v>
      </c>
      <c r="C14" s="436"/>
      <c r="D14" s="436"/>
      <c r="E14" s="436"/>
      <c r="F14" s="436"/>
      <c r="G14" s="436"/>
      <c r="H14" s="436"/>
      <c r="I14" s="436"/>
      <c r="J14" s="436"/>
      <c r="K14" s="437"/>
      <c r="L14" s="45"/>
      <c r="M14" s="113"/>
      <c r="N14" s="114"/>
      <c r="O14" s="118"/>
      <c r="P14" s="45"/>
      <c r="Q14" s="5"/>
    </row>
    <row r="15" spans="1:19" ht="78" customHeight="1" x14ac:dyDescent="0.35">
      <c r="A15" s="5"/>
      <c r="B15" s="415" t="s">
        <v>1</v>
      </c>
      <c r="C15" s="55" t="s">
        <v>29</v>
      </c>
      <c r="D15" s="81" t="s">
        <v>31</v>
      </c>
      <c r="E15" s="47" t="s">
        <v>65</v>
      </c>
      <c r="F15" s="46" t="s">
        <v>0</v>
      </c>
      <c r="G15" s="48">
        <f t="shared" ref="G15:G17" si="0">M15/J15</f>
        <v>2600</v>
      </c>
      <c r="H15" s="49">
        <v>1.5E-3</v>
      </c>
      <c r="I15" s="48">
        <f>G15/H15</f>
        <v>1733333.3333333333</v>
      </c>
      <c r="J15" s="50">
        <v>0.2</v>
      </c>
      <c r="K15" s="51">
        <f t="shared" ref="K15:K16" si="1">M15/I15*1000</f>
        <v>0.30000000000000004</v>
      </c>
      <c r="L15" s="52"/>
      <c r="M15" s="142">
        <v>520</v>
      </c>
      <c r="N15" s="53">
        <f>M15*$C$10</f>
        <v>1664</v>
      </c>
      <c r="O15" s="120">
        <f t="shared" ref="O15:O22" si="2">N15/$N$29</f>
        <v>5.8782995577215454E-2</v>
      </c>
      <c r="P15" s="54"/>
      <c r="Q15" s="5"/>
      <c r="R15" s="143" t="s">
        <v>51</v>
      </c>
      <c r="S15" s="143">
        <f>+N29/3.15</f>
        <v>8986.5098412698426</v>
      </c>
    </row>
    <row r="16" spans="1:19" ht="78" customHeight="1" x14ac:dyDescent="0.35">
      <c r="A16" s="5"/>
      <c r="B16" s="438"/>
      <c r="C16" s="55" t="s">
        <v>29</v>
      </c>
      <c r="D16" s="81" t="s">
        <v>39</v>
      </c>
      <c r="E16" s="47" t="s">
        <v>65</v>
      </c>
      <c r="F16" s="46" t="s">
        <v>0</v>
      </c>
      <c r="G16" s="48">
        <f>M16/J16</f>
        <v>2600</v>
      </c>
      <c r="H16" s="49">
        <v>1E-3</v>
      </c>
      <c r="I16" s="48">
        <f>G16/H16</f>
        <v>2600000</v>
      </c>
      <c r="J16" s="50">
        <v>0.2</v>
      </c>
      <c r="K16" s="51">
        <f t="shared" si="1"/>
        <v>0.2</v>
      </c>
      <c r="L16" s="52"/>
      <c r="M16" s="142">
        <v>520</v>
      </c>
      <c r="N16" s="53">
        <f t="shared" ref="N16" si="3">M16*$C$10</f>
        <v>1664</v>
      </c>
      <c r="O16" s="120">
        <f t="shared" si="2"/>
        <v>5.8782995577215454E-2</v>
      </c>
      <c r="P16" s="54"/>
      <c r="Q16" s="5"/>
      <c r="R16" s="143" t="s">
        <v>52</v>
      </c>
      <c r="S16" s="143">
        <f>+S15/2</f>
        <v>4493.2549206349213</v>
      </c>
    </row>
    <row r="17" spans="1:17" ht="78" customHeight="1" x14ac:dyDescent="0.35">
      <c r="A17" s="5"/>
      <c r="B17" s="416"/>
      <c r="C17" s="55" t="s">
        <v>29</v>
      </c>
      <c r="D17" s="81" t="s">
        <v>40</v>
      </c>
      <c r="E17" s="47" t="s">
        <v>65</v>
      </c>
      <c r="F17" s="46" t="s">
        <v>0</v>
      </c>
      <c r="G17" s="48">
        <f t="shared" si="0"/>
        <v>1666.6666666666667</v>
      </c>
      <c r="H17" s="49">
        <v>2E-3</v>
      </c>
      <c r="I17" s="48">
        <f>G17/H17</f>
        <v>833333.33333333337</v>
      </c>
      <c r="J17" s="50">
        <v>0.3</v>
      </c>
      <c r="K17" s="51">
        <f>M17/I17*1000</f>
        <v>0.6</v>
      </c>
      <c r="L17" s="52"/>
      <c r="M17" s="142">
        <v>500</v>
      </c>
      <c r="N17" s="53">
        <f>M17*$C$10</f>
        <v>1600</v>
      </c>
      <c r="O17" s="120">
        <f t="shared" si="2"/>
        <v>5.652211113193794E-2</v>
      </c>
      <c r="P17" s="54"/>
      <c r="Q17" s="5"/>
    </row>
    <row r="18" spans="1:17" ht="78" customHeight="1" x14ac:dyDescent="0.35">
      <c r="A18" s="5"/>
      <c r="B18" s="129" t="s">
        <v>44</v>
      </c>
      <c r="C18" s="55" t="s">
        <v>57</v>
      </c>
      <c r="D18" s="81" t="s">
        <v>31</v>
      </c>
      <c r="E18" s="47" t="s">
        <v>65</v>
      </c>
      <c r="F18" s="46" t="s">
        <v>45</v>
      </c>
      <c r="G18" s="48"/>
      <c r="H18" s="49"/>
      <c r="I18" s="48">
        <v>400000</v>
      </c>
      <c r="J18" s="50"/>
      <c r="K18" s="51">
        <f>22/3.15</f>
        <v>6.9841269841269842</v>
      </c>
      <c r="L18" s="52"/>
      <c r="M18" s="142">
        <f>+N18/$C$10</f>
        <v>2156.25</v>
      </c>
      <c r="N18" s="53">
        <f>13800/2</f>
        <v>6900</v>
      </c>
      <c r="O18" s="120">
        <f t="shared" si="2"/>
        <v>0.24375160425648235</v>
      </c>
      <c r="P18" s="54"/>
      <c r="Q18" s="5"/>
    </row>
    <row r="19" spans="1:17" ht="78" customHeight="1" x14ac:dyDescent="0.35">
      <c r="A19" s="5"/>
      <c r="B19" s="76" t="s">
        <v>46</v>
      </c>
      <c r="C19" s="136" t="s">
        <v>48</v>
      </c>
      <c r="D19" s="137" t="s">
        <v>47</v>
      </c>
      <c r="E19" s="47" t="s">
        <v>65</v>
      </c>
      <c r="F19" s="46" t="s">
        <v>49</v>
      </c>
      <c r="G19" s="48">
        <f>M19/J19</f>
        <v>19264.062499999996</v>
      </c>
      <c r="H19" s="49">
        <v>0.03</v>
      </c>
      <c r="I19" s="48">
        <f>G19/H19</f>
        <v>642135.41666666651</v>
      </c>
      <c r="J19" s="50">
        <v>0.12</v>
      </c>
      <c r="K19" s="51">
        <f>M19/(I19/1000)</f>
        <v>3.6</v>
      </c>
      <c r="L19" s="52"/>
      <c r="M19" s="142">
        <f>+N19/$C$10</f>
        <v>2311.6874999999995</v>
      </c>
      <c r="N19" s="53">
        <f>14794.8/2</f>
        <v>7397.4</v>
      </c>
      <c r="O19" s="120">
        <f t="shared" si="2"/>
        <v>0.26132291555462356</v>
      </c>
      <c r="P19" s="54"/>
      <c r="Q19" s="5"/>
    </row>
    <row r="20" spans="1:17" ht="78" customHeight="1" x14ac:dyDescent="0.35">
      <c r="A20" s="5"/>
      <c r="B20" s="415" t="s">
        <v>36</v>
      </c>
      <c r="C20" s="136" t="s">
        <v>62</v>
      </c>
      <c r="D20" s="77" t="s">
        <v>64</v>
      </c>
      <c r="E20" s="47" t="s">
        <v>65</v>
      </c>
      <c r="F20" s="137"/>
      <c r="G20" s="138"/>
      <c r="H20" s="139"/>
      <c r="I20" s="138"/>
      <c r="J20" s="140"/>
      <c r="K20" s="439"/>
      <c r="L20" s="141"/>
      <c r="M20" s="429">
        <f>4223.375/2</f>
        <v>2111.6875</v>
      </c>
      <c r="N20" s="431">
        <f>+M20*C10</f>
        <v>6757.4000000000005</v>
      </c>
      <c r="O20" s="120">
        <f t="shared" si="2"/>
        <v>0.23871407110184839</v>
      </c>
      <c r="P20" s="54"/>
      <c r="Q20" s="5"/>
    </row>
    <row r="21" spans="1:17" ht="78" customHeight="1" x14ac:dyDescent="0.35">
      <c r="A21" s="5"/>
      <c r="B21" s="416"/>
      <c r="C21" s="136" t="s">
        <v>63</v>
      </c>
      <c r="D21" s="77" t="s">
        <v>64</v>
      </c>
      <c r="E21" s="47" t="s">
        <v>65</v>
      </c>
      <c r="F21" s="137"/>
      <c r="G21" s="138"/>
      <c r="H21" s="139"/>
      <c r="I21" s="138"/>
      <c r="J21" s="140"/>
      <c r="K21" s="440"/>
      <c r="L21" s="141"/>
      <c r="M21" s="430"/>
      <c r="N21" s="432"/>
      <c r="O21" s="120">
        <f t="shared" si="2"/>
        <v>0</v>
      </c>
      <c r="P21" s="54"/>
      <c r="Q21" s="5"/>
    </row>
    <row r="22" spans="1:17" ht="21" customHeight="1" x14ac:dyDescent="0.35">
      <c r="A22" s="11"/>
      <c r="B22" s="428" t="s">
        <v>26</v>
      </c>
      <c r="C22" s="428"/>
      <c r="D22" s="428"/>
      <c r="E22" s="428"/>
      <c r="F22" s="428"/>
      <c r="G22" s="110">
        <f>SUM(G15:G21)</f>
        <v>26130.729166666664</v>
      </c>
      <c r="H22" s="111">
        <f>G22/I22</f>
        <v>4.2086587422090621E-3</v>
      </c>
      <c r="I22" s="110">
        <f>SUM(I15:I21)</f>
        <v>6208802.0833333321</v>
      </c>
      <c r="J22" s="433" t="s">
        <v>27</v>
      </c>
      <c r="K22" s="434"/>
      <c r="L22" s="56"/>
      <c r="M22" s="71">
        <f>SUM(M15:M21)</f>
        <v>8119.625</v>
      </c>
      <c r="N22" s="70">
        <f>SUM(N15:N21)</f>
        <v>25982.800000000003</v>
      </c>
      <c r="O22" s="121">
        <f t="shared" si="2"/>
        <v>0.91787669319932319</v>
      </c>
      <c r="P22" s="57"/>
      <c r="Q22" s="11"/>
    </row>
    <row r="23" spans="1:17" s="92" customFormat="1" ht="21" customHeight="1" x14ac:dyDescent="0.35">
      <c r="A23" s="90"/>
      <c r="B23" s="106" t="s">
        <v>41</v>
      </c>
      <c r="C23" s="107"/>
      <c r="D23" s="107"/>
      <c r="E23" s="107"/>
      <c r="F23" s="107"/>
      <c r="G23" s="100"/>
      <c r="H23" s="101"/>
      <c r="I23" s="100"/>
      <c r="J23" s="102"/>
      <c r="K23" s="102"/>
      <c r="L23" s="89"/>
      <c r="M23" s="102"/>
      <c r="N23" s="103"/>
      <c r="O23" s="122"/>
      <c r="P23" s="104"/>
      <c r="Q23" s="90"/>
    </row>
    <row r="24" spans="1:17" s="92" customFormat="1" ht="21" customHeight="1" x14ac:dyDescent="0.35">
      <c r="A24" s="90"/>
      <c r="B24" s="417" t="s">
        <v>58</v>
      </c>
      <c r="C24" s="418"/>
      <c r="D24" s="418"/>
      <c r="E24" s="418"/>
      <c r="F24" s="418"/>
      <c r="G24" s="94">
        <v>0.04</v>
      </c>
      <c r="H24" s="108"/>
      <c r="I24" s="109"/>
      <c r="J24" s="96"/>
      <c r="K24" s="97"/>
      <c r="L24" s="98"/>
      <c r="M24" s="105">
        <f>(M15+M16+M17+M18+M19+M20)*G24</f>
        <v>324.78500000000003</v>
      </c>
      <c r="N24" s="53">
        <f t="shared" ref="N24:N26" si="4">M24*$C$10</f>
        <v>1039.3120000000001</v>
      </c>
      <c r="O24" s="123"/>
      <c r="P24" s="91"/>
      <c r="Q24" s="90"/>
    </row>
    <row r="25" spans="1:17" ht="21" customHeight="1" x14ac:dyDescent="0.35">
      <c r="A25" s="11"/>
      <c r="B25" s="417" t="s">
        <v>42</v>
      </c>
      <c r="C25" s="418"/>
      <c r="D25" s="418"/>
      <c r="E25" s="418"/>
      <c r="F25" s="418"/>
      <c r="G25" s="95">
        <v>0.11</v>
      </c>
      <c r="H25" s="88"/>
      <c r="I25" s="93"/>
      <c r="J25" s="96"/>
      <c r="K25" s="97"/>
      <c r="L25" s="98"/>
      <c r="M25" s="99">
        <f>(M15+M16+M17)*G25</f>
        <v>169.4</v>
      </c>
      <c r="N25" s="53">
        <f t="shared" si="4"/>
        <v>542.08000000000004</v>
      </c>
      <c r="O25" s="123"/>
      <c r="P25" s="57"/>
      <c r="Q25" s="11"/>
    </row>
    <row r="26" spans="1:17" ht="21" customHeight="1" x14ac:dyDescent="0.35">
      <c r="A26" s="11"/>
      <c r="B26" s="417" t="s">
        <v>41</v>
      </c>
      <c r="C26" s="418"/>
      <c r="D26" s="418"/>
      <c r="E26" s="418"/>
      <c r="F26" s="418"/>
      <c r="G26" s="95">
        <v>0.11</v>
      </c>
      <c r="H26" s="88"/>
      <c r="I26" s="93"/>
      <c r="J26" s="96"/>
      <c r="K26" s="97"/>
      <c r="L26" s="98"/>
      <c r="M26" s="99">
        <f>(M20)*G26</f>
        <v>232.28562500000001</v>
      </c>
      <c r="N26" s="53">
        <f t="shared" si="4"/>
        <v>743.31400000000008</v>
      </c>
      <c r="O26" s="123"/>
      <c r="P26" s="57"/>
      <c r="Q26" s="11"/>
    </row>
    <row r="27" spans="1:17" ht="21" customHeight="1" x14ac:dyDescent="0.35">
      <c r="A27" s="11"/>
      <c r="B27" s="409" t="s">
        <v>35</v>
      </c>
      <c r="C27" s="410"/>
      <c r="D27" s="410"/>
      <c r="E27" s="410"/>
      <c r="F27" s="410"/>
      <c r="G27" s="410"/>
      <c r="H27" s="410"/>
      <c r="I27" s="410"/>
      <c r="J27" s="410"/>
      <c r="K27" s="411"/>
      <c r="L27" s="56"/>
      <c r="M27" s="86">
        <f>SUM(M24:M26)</f>
        <v>726.47062500000004</v>
      </c>
      <c r="N27" s="87">
        <f>SUM(N24:N26)</f>
        <v>2324.7060000000001</v>
      </c>
      <c r="O27" s="127">
        <f>N27/$N$29</f>
        <v>8.2123306800676824E-2</v>
      </c>
      <c r="P27" s="57"/>
      <c r="Q27" s="11"/>
    </row>
    <row r="28" spans="1:17" ht="21" customHeight="1" x14ac:dyDescent="0.35">
      <c r="A28" s="5"/>
      <c r="B28" s="58"/>
      <c r="C28" s="59"/>
      <c r="D28" s="60"/>
      <c r="E28" s="61"/>
      <c r="F28" s="62"/>
      <c r="G28" s="63"/>
      <c r="H28" s="64"/>
      <c r="I28" s="65"/>
      <c r="J28" s="66"/>
      <c r="K28" s="67"/>
      <c r="L28" s="68"/>
      <c r="M28" s="66"/>
      <c r="N28" s="69"/>
      <c r="O28" s="124"/>
      <c r="P28" s="54"/>
      <c r="Q28" s="5"/>
    </row>
    <row r="29" spans="1:17" x14ac:dyDescent="0.35">
      <c r="A29" s="5"/>
      <c r="B29" s="20"/>
      <c r="C29" s="5"/>
      <c r="D29" s="5"/>
      <c r="E29" s="5"/>
      <c r="F29" s="5"/>
      <c r="G29" s="5"/>
      <c r="H29" s="5"/>
      <c r="I29" s="5"/>
      <c r="J29" s="428" t="s">
        <v>28</v>
      </c>
      <c r="K29" s="428"/>
      <c r="L29" s="7"/>
      <c r="M29" s="71">
        <f>SUM(M27,M22)</f>
        <v>8846.0956249999999</v>
      </c>
      <c r="N29" s="70">
        <f>SUM(N27,N22)</f>
        <v>28307.506000000001</v>
      </c>
      <c r="O29" s="121">
        <f>N29/$N$29</f>
        <v>1</v>
      </c>
      <c r="P29" s="5"/>
      <c r="Q29" s="5"/>
    </row>
    <row r="30" spans="1:17" x14ac:dyDescent="0.35">
      <c r="A30" s="5"/>
      <c r="B30" s="20"/>
      <c r="C30" s="5"/>
      <c r="D30" s="5"/>
      <c r="E30" s="5"/>
      <c r="F30" s="5"/>
      <c r="G30" s="5"/>
      <c r="H30" s="5"/>
      <c r="I30" s="5"/>
      <c r="J30" s="5"/>
      <c r="K30" s="5"/>
      <c r="L30" s="7"/>
      <c r="M30" s="5"/>
      <c r="N30" s="131"/>
      <c r="O30" s="115"/>
      <c r="P30" s="5"/>
      <c r="Q30" s="5"/>
    </row>
    <row r="31" spans="1:17" x14ac:dyDescent="0.35">
      <c r="A31" s="5"/>
      <c r="B31" s="20"/>
      <c r="C31" s="19"/>
      <c r="D31" s="19"/>
      <c r="E31" s="72"/>
      <c r="F31" s="19"/>
      <c r="G31" s="5"/>
      <c r="H31" s="5"/>
      <c r="I31" s="73"/>
      <c r="J31" s="11"/>
      <c r="K31" s="5"/>
      <c r="L31" s="7"/>
      <c r="N31" s="130"/>
      <c r="O31" s="125"/>
      <c r="P31" s="74"/>
      <c r="Q31" s="41"/>
    </row>
    <row r="32" spans="1:17" x14ac:dyDescent="0.35">
      <c r="A32" s="5"/>
      <c r="B32" s="20"/>
      <c r="C32" s="19"/>
      <c r="D32" s="19"/>
      <c r="E32" s="19"/>
      <c r="F32" s="19"/>
      <c r="G32" s="5"/>
      <c r="H32" s="5"/>
      <c r="I32" s="5"/>
      <c r="J32" s="5"/>
      <c r="K32" s="5"/>
      <c r="L32" s="7"/>
      <c r="M32" s="5"/>
      <c r="N32" s="5"/>
      <c r="O32" s="115"/>
      <c r="P32" s="74"/>
      <c r="Q32" s="41"/>
    </row>
    <row r="33" spans="1:17" x14ac:dyDescent="0.35">
      <c r="A33" s="5"/>
      <c r="B33" s="20"/>
      <c r="C33" s="19"/>
      <c r="D33" s="19"/>
      <c r="E33" s="19"/>
      <c r="F33" s="19"/>
      <c r="G33" s="5"/>
      <c r="H33" s="5"/>
      <c r="I33" s="5"/>
      <c r="J33" s="5"/>
      <c r="K33" s="5"/>
      <c r="L33" s="7"/>
      <c r="M33" s="5"/>
      <c r="O33" s="115"/>
      <c r="P33" s="74"/>
      <c r="Q33" s="41"/>
    </row>
    <row r="34" spans="1:17" x14ac:dyDescent="0.35">
      <c r="A34" s="5"/>
      <c r="B34" s="20"/>
      <c r="C34" s="19"/>
      <c r="D34" s="19"/>
      <c r="E34" s="19"/>
      <c r="F34" s="19"/>
      <c r="G34" s="5"/>
      <c r="H34" s="5"/>
      <c r="I34" s="5"/>
      <c r="J34" s="5"/>
      <c r="K34" s="5"/>
      <c r="L34" s="7"/>
      <c r="M34" s="5"/>
      <c r="N34" s="145">
        <v>28309</v>
      </c>
      <c r="O34" s="115"/>
      <c r="P34" s="74"/>
      <c r="Q34" s="75"/>
    </row>
    <row r="35" spans="1:17" x14ac:dyDescent="0.35">
      <c r="N35" s="145">
        <f>+N34-N29</f>
        <v>1.4939999999987776</v>
      </c>
    </row>
    <row r="36" spans="1:17" x14ac:dyDescent="0.35">
      <c r="N36" s="132">
        <f>+N29/3.2</f>
        <v>8846.0956249999999</v>
      </c>
    </row>
  </sheetData>
  <mergeCells count="18">
    <mergeCell ref="B14:K14"/>
    <mergeCell ref="B15:B17"/>
    <mergeCell ref="B20:B21"/>
    <mergeCell ref="K20:K21"/>
    <mergeCell ref="C2:D2"/>
    <mergeCell ref="C4:D4"/>
    <mergeCell ref="C6:D6"/>
    <mergeCell ref="C8:D8"/>
    <mergeCell ref="C10:D10"/>
    <mergeCell ref="B27:K27"/>
    <mergeCell ref="J29:K29"/>
    <mergeCell ref="M20:M21"/>
    <mergeCell ref="N20:N21"/>
    <mergeCell ref="B24:F24"/>
    <mergeCell ref="B25:F25"/>
    <mergeCell ref="B26:F26"/>
    <mergeCell ref="B22:F22"/>
    <mergeCell ref="J22:K22"/>
  </mergeCells>
  <conditionalFormatting sqref="M14 L11:M13 L18:M18">
    <cfRule type="cellIs" dxfId="15" priority="15" stopIfTrue="1" operator="equal">
      <formula>0</formula>
    </cfRule>
    <cfRule type="expression" dxfId="14" priority="16" stopIfTrue="1">
      <formula>ISERROR(L11)</formula>
    </cfRule>
  </conditionalFormatting>
  <conditionalFormatting sqref="L15:M15">
    <cfRule type="cellIs" dxfId="13" priority="13" stopIfTrue="1" operator="equal">
      <formula>0</formula>
    </cfRule>
    <cfRule type="expression" dxfId="12" priority="14" stopIfTrue="1">
      <formula>ISERROR(L15)</formula>
    </cfRule>
  </conditionalFormatting>
  <conditionalFormatting sqref="L19">
    <cfRule type="cellIs" dxfId="11" priority="11" stopIfTrue="1" operator="equal">
      <formula>0</formula>
    </cfRule>
    <cfRule type="expression" dxfId="10" priority="12" stopIfTrue="1">
      <formula>ISERROR(L19)</formula>
    </cfRule>
  </conditionalFormatting>
  <conditionalFormatting sqref="L20:M20">
    <cfRule type="cellIs" dxfId="9" priority="9" stopIfTrue="1" operator="equal">
      <formula>0</formula>
    </cfRule>
    <cfRule type="expression" dxfId="8" priority="10" stopIfTrue="1">
      <formula>ISERROR(L20)</formula>
    </cfRule>
  </conditionalFormatting>
  <conditionalFormatting sqref="L21">
    <cfRule type="cellIs" dxfId="7" priority="7" stopIfTrue="1" operator="equal">
      <formula>0</formula>
    </cfRule>
    <cfRule type="expression" dxfId="6" priority="8" stopIfTrue="1">
      <formula>ISERROR(L21)</formula>
    </cfRule>
  </conditionalFormatting>
  <conditionalFormatting sqref="L17:M17">
    <cfRule type="cellIs" dxfId="5" priority="5" stopIfTrue="1" operator="equal">
      <formula>0</formula>
    </cfRule>
    <cfRule type="expression" dxfId="4" priority="6" stopIfTrue="1">
      <formula>ISERROR(L17)</formula>
    </cfRule>
  </conditionalFormatting>
  <conditionalFormatting sqref="L16:M16">
    <cfRule type="cellIs" dxfId="3" priority="3" stopIfTrue="1" operator="equal">
      <formula>0</formula>
    </cfRule>
    <cfRule type="expression" dxfId="2" priority="4" stopIfTrue="1">
      <formula>ISERROR(L16)</formula>
    </cfRule>
  </conditionalFormatting>
  <conditionalFormatting sqref="M19">
    <cfRule type="cellIs" dxfId="1" priority="1" stopIfTrue="1" operator="equal">
      <formula>0</formula>
    </cfRule>
    <cfRule type="expression" dxfId="0" priority="2" stopIfTrue="1">
      <formula>ISERROR(M19)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F28"/>
  <sheetViews>
    <sheetView showGridLines="0" zoomScale="70" zoomScaleNormal="70" workbookViewId="0">
      <selection activeCell="B20" sqref="B20"/>
    </sheetView>
  </sheetViews>
  <sheetFormatPr baseColWidth="10" defaultRowHeight="21" x14ac:dyDescent="0.35"/>
  <cols>
    <col min="1" max="1" width="4" style="1" customWidth="1"/>
    <col min="2" max="3" width="18.7109375" style="2" customWidth="1"/>
    <col min="4" max="4" width="19.85546875" style="126" customWidth="1"/>
    <col min="5" max="16384" width="11.42578125" style="1"/>
  </cols>
  <sheetData>
    <row r="1" spans="1:6" x14ac:dyDescent="0.35">
      <c r="A1" s="5"/>
      <c r="B1" s="5"/>
      <c r="C1" s="5"/>
      <c r="D1" s="115"/>
      <c r="E1" s="5"/>
      <c r="F1" s="5"/>
    </row>
    <row r="2" spans="1:6" ht="13.5" hidden="1" customHeight="1" x14ac:dyDescent="0.35">
      <c r="A2" s="5"/>
      <c r="B2" s="6" t="s">
        <v>3</v>
      </c>
      <c r="C2" s="144"/>
      <c r="D2" s="115"/>
      <c r="E2" s="5"/>
    </row>
    <row r="3" spans="1:6" ht="3.75" hidden="1" customHeight="1" x14ac:dyDescent="0.35">
      <c r="A3" s="7"/>
      <c r="B3" s="8"/>
      <c r="C3" s="8"/>
      <c r="D3" s="116"/>
      <c r="E3" s="7"/>
    </row>
    <row r="4" spans="1:6" ht="14.25" hidden="1" customHeight="1" x14ac:dyDescent="0.35">
      <c r="A4" s="5"/>
      <c r="B4" s="6" t="s">
        <v>4</v>
      </c>
      <c r="C4" s="144"/>
      <c r="D4" s="115"/>
      <c r="E4" s="5"/>
    </row>
    <row r="5" spans="1:6" ht="3.75" hidden="1" customHeight="1" x14ac:dyDescent="0.35">
      <c r="A5" s="7"/>
      <c r="B5" s="8"/>
      <c r="C5" s="8"/>
      <c r="D5" s="116"/>
      <c r="E5" s="7"/>
    </row>
    <row r="6" spans="1:6" ht="15.75" hidden="1" customHeight="1" x14ac:dyDescent="0.35">
      <c r="A6" s="5"/>
      <c r="B6" s="6" t="s">
        <v>5</v>
      </c>
      <c r="C6" s="144"/>
      <c r="D6" s="115"/>
      <c r="E6" s="5"/>
    </row>
    <row r="7" spans="1:6" ht="3.75" hidden="1" customHeight="1" x14ac:dyDescent="0.35">
      <c r="A7" s="7"/>
      <c r="B7" s="8"/>
      <c r="C7" s="8"/>
      <c r="D7" s="116"/>
      <c r="E7" s="7"/>
    </row>
    <row r="8" spans="1:6" ht="14.25" hidden="1" customHeight="1" x14ac:dyDescent="0.35">
      <c r="A8" s="5"/>
      <c r="B8" s="6" t="s">
        <v>6</v>
      </c>
      <c r="C8" s="144"/>
      <c r="D8" s="115"/>
      <c r="E8" s="41"/>
    </row>
    <row r="9" spans="1:6" ht="3.75" hidden="1" customHeight="1" x14ac:dyDescent="0.35">
      <c r="A9" s="7"/>
      <c r="B9" s="8"/>
      <c r="C9" s="8"/>
      <c r="D9" s="116"/>
      <c r="E9" s="42"/>
    </row>
    <row r="10" spans="1:6" s="3" customFormat="1" ht="12.75" hidden="1" customHeight="1" x14ac:dyDescent="0.35">
      <c r="A10" s="5"/>
      <c r="B10" s="6" t="s">
        <v>16</v>
      </c>
      <c r="C10" s="144"/>
      <c r="D10" s="115"/>
      <c r="E10" s="41"/>
    </row>
    <row r="11" spans="1:6" s="3" customFormat="1" ht="30" customHeight="1" x14ac:dyDescent="0.35">
      <c r="A11" s="5"/>
      <c r="B11" s="5"/>
      <c r="C11" s="5"/>
      <c r="D11" s="115"/>
      <c r="E11" s="5"/>
      <c r="F11" s="41"/>
    </row>
    <row r="12" spans="1:6" s="3" customFormat="1" ht="30" customHeight="1" x14ac:dyDescent="0.35">
      <c r="A12" s="5"/>
      <c r="B12" s="5"/>
      <c r="C12" s="5"/>
      <c r="D12" s="115"/>
      <c r="E12" s="5"/>
      <c r="F12" s="41"/>
    </row>
    <row r="13" spans="1:6" ht="30" customHeight="1" x14ac:dyDescent="0.35">
      <c r="A13" s="15"/>
      <c r="B13" s="16" t="s">
        <v>7</v>
      </c>
      <c r="C13" s="17"/>
      <c r="D13" s="117" t="s">
        <v>43</v>
      </c>
      <c r="E13" s="44"/>
      <c r="F13" s="15"/>
    </row>
    <row r="14" spans="1:6" ht="5.25" customHeight="1" x14ac:dyDescent="0.35">
      <c r="A14" s="5"/>
      <c r="B14" s="11"/>
      <c r="C14" s="11"/>
      <c r="D14" s="115"/>
      <c r="E14" s="5"/>
      <c r="F14" s="5"/>
    </row>
    <row r="15" spans="1:6" ht="22.5" customHeight="1" x14ac:dyDescent="0.35">
      <c r="A15" s="5"/>
      <c r="B15" s="441" t="s">
        <v>53</v>
      </c>
      <c r="C15" s="436"/>
      <c r="D15" s="442"/>
      <c r="E15" s="45"/>
      <c r="F15" s="5"/>
    </row>
    <row r="16" spans="1:6" ht="78" customHeight="1" x14ac:dyDescent="0.35">
      <c r="A16" s="5"/>
      <c r="B16" s="76" t="s">
        <v>54</v>
      </c>
      <c r="C16" s="135" t="e">
        <f>+'Enfagrow '!#REF!+'Enfagrow '!#REF!+'Enfagrow '!#REF!</f>
        <v>#REF!</v>
      </c>
      <c r="D16" s="119" t="e">
        <f t="shared" ref="D16:D21" si="0">+C16/$C$22</f>
        <v>#REF!</v>
      </c>
      <c r="E16" s="54"/>
      <c r="F16" s="5"/>
    </row>
    <row r="17" spans="1:6" ht="78" customHeight="1" x14ac:dyDescent="0.35">
      <c r="A17" s="5"/>
      <c r="B17" s="128" t="s">
        <v>55</v>
      </c>
      <c r="C17" s="134" t="e">
        <f>+'Enfagrow '!#REF!</f>
        <v>#REF!</v>
      </c>
      <c r="D17" s="119" t="e">
        <f t="shared" si="0"/>
        <v>#REF!</v>
      </c>
      <c r="E17" s="54"/>
      <c r="F17" s="5"/>
    </row>
    <row r="18" spans="1:6" ht="78" customHeight="1" x14ac:dyDescent="0.35">
      <c r="A18" s="5"/>
      <c r="B18" s="77" t="s">
        <v>56</v>
      </c>
      <c r="C18" s="77" t="e">
        <f>+'Enfagrow '!#REF!</f>
        <v>#REF!</v>
      </c>
      <c r="D18" s="119" t="e">
        <f t="shared" si="0"/>
        <v>#REF!</v>
      </c>
      <c r="E18" s="54"/>
      <c r="F18" s="5"/>
    </row>
    <row r="19" spans="1:6" ht="78" customHeight="1" x14ac:dyDescent="0.35">
      <c r="A19" s="5"/>
      <c r="B19" s="77" t="s">
        <v>36</v>
      </c>
      <c r="C19" s="77" t="e">
        <f>+'Enfagrow '!#REF!</f>
        <v>#REF!</v>
      </c>
      <c r="D19" s="119" t="e">
        <f t="shared" si="0"/>
        <v>#REF!</v>
      </c>
      <c r="E19" s="54"/>
      <c r="F19" s="5"/>
    </row>
    <row r="20" spans="1:6" ht="21.75" customHeight="1" x14ac:dyDescent="0.35">
      <c r="A20" s="5"/>
      <c r="B20" s="76" t="s">
        <v>59</v>
      </c>
      <c r="C20" s="76">
        <f>+'Enfagrow '!P25</f>
        <v>246.02700000000002</v>
      </c>
      <c r="D20" s="119" t="e">
        <f t="shared" si="0"/>
        <v>#REF!</v>
      </c>
      <c r="E20" s="54"/>
      <c r="F20" s="5"/>
    </row>
    <row r="21" spans="1:6" ht="21" customHeight="1" x14ac:dyDescent="0.35">
      <c r="A21" s="11"/>
      <c r="B21" s="85" t="s">
        <v>35</v>
      </c>
      <c r="C21" s="133">
        <f>+'Enfagrow '!P26</f>
        <v>738.08100000000002</v>
      </c>
      <c r="D21" s="119" t="e">
        <f t="shared" si="0"/>
        <v>#REF!</v>
      </c>
      <c r="E21" s="57"/>
      <c r="F21" s="11"/>
    </row>
    <row r="22" spans="1:6" ht="21" customHeight="1" x14ac:dyDescent="0.35">
      <c r="A22" s="5"/>
      <c r="B22" s="58"/>
      <c r="C22" s="58" t="e">
        <f>SUM(C16:C21)</f>
        <v>#REF!</v>
      </c>
      <c r="D22" s="124"/>
      <c r="E22" s="54"/>
      <c r="F22" s="5"/>
    </row>
    <row r="23" spans="1:6" x14ac:dyDescent="0.35">
      <c r="A23" s="5"/>
      <c r="B23" s="20"/>
      <c r="C23" s="20"/>
      <c r="D23" s="121" t="e">
        <f>SUM(D16:D22)</f>
        <v>#REF!</v>
      </c>
      <c r="E23" s="5"/>
      <c r="F23" s="5"/>
    </row>
    <row r="24" spans="1:6" x14ac:dyDescent="0.35">
      <c r="A24" s="5"/>
      <c r="B24" s="20"/>
      <c r="C24" s="20"/>
      <c r="D24" s="115"/>
      <c r="E24" s="5"/>
      <c r="F24" s="5"/>
    </row>
    <row r="25" spans="1:6" x14ac:dyDescent="0.35">
      <c r="A25" s="5"/>
      <c r="B25" s="20"/>
      <c r="C25" s="20"/>
      <c r="D25" s="125"/>
      <c r="E25" s="74"/>
      <c r="F25" s="41"/>
    </row>
    <row r="26" spans="1:6" x14ac:dyDescent="0.35">
      <c r="A26" s="5"/>
      <c r="B26" s="20"/>
      <c r="C26" s="20"/>
      <c r="D26" s="115"/>
      <c r="E26" s="74"/>
      <c r="F26" s="41"/>
    </row>
    <row r="27" spans="1:6" x14ac:dyDescent="0.35">
      <c r="A27" s="5"/>
      <c r="B27" s="20"/>
      <c r="C27" s="20"/>
      <c r="D27" s="115"/>
      <c r="E27" s="74"/>
      <c r="F27" s="41"/>
    </row>
    <row r="28" spans="1:6" x14ac:dyDescent="0.35">
      <c r="A28" s="5"/>
      <c r="B28" s="20"/>
      <c r="C28" s="20"/>
      <c r="D28" s="115"/>
      <c r="E28" s="74"/>
      <c r="F28" s="75"/>
    </row>
  </sheetData>
  <mergeCells count="1">
    <mergeCell ref="B15:D15"/>
  </mergeCells>
  <pageMargins left="0.70866141732283472" right="0.70866141732283472" top="0.74803149606299213" bottom="0.74803149606299213" header="0.31496062992125984" footer="0.31496062992125984"/>
  <pageSetup paperSize="9" scale="2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showGridLines="0" workbookViewId="0"/>
  </sheetViews>
  <sheetFormatPr baseColWidth="10" defaultRowHeight="15" x14ac:dyDescent="0.25"/>
  <sheetData>
    <row r="4" spans="2:10" ht="15.75" thickBot="1" x14ac:dyDescent="0.3">
      <c r="B4" s="390" t="s">
        <v>210</v>
      </c>
      <c r="C4" s="390"/>
      <c r="D4" s="390"/>
    </row>
    <row r="5" spans="2:10" x14ac:dyDescent="0.25">
      <c r="B5" s="391" t="s">
        <v>226</v>
      </c>
      <c r="C5" s="392"/>
      <c r="D5" s="392"/>
      <c r="E5" s="392"/>
      <c r="F5" s="392"/>
      <c r="G5" s="392"/>
      <c r="H5" s="392"/>
      <c r="I5" s="392"/>
      <c r="J5" s="393"/>
    </row>
    <row r="6" spans="2:10" x14ac:dyDescent="0.25">
      <c r="B6" s="394"/>
      <c r="C6" s="395"/>
      <c r="D6" s="395"/>
      <c r="E6" s="395"/>
      <c r="F6" s="395"/>
      <c r="G6" s="395"/>
      <c r="H6" s="395"/>
      <c r="I6" s="395"/>
      <c r="J6" s="396"/>
    </row>
    <row r="7" spans="2:10" x14ac:dyDescent="0.25">
      <c r="B7" s="394"/>
      <c r="C7" s="395"/>
      <c r="D7" s="395"/>
      <c r="E7" s="395"/>
      <c r="F7" s="395"/>
      <c r="G7" s="395"/>
      <c r="H7" s="395"/>
      <c r="I7" s="395"/>
      <c r="J7" s="396"/>
    </row>
    <row r="8" spans="2:10" x14ac:dyDescent="0.25">
      <c r="B8" s="394"/>
      <c r="C8" s="395"/>
      <c r="D8" s="395"/>
      <c r="E8" s="395"/>
      <c r="F8" s="395"/>
      <c r="G8" s="395"/>
      <c r="H8" s="395"/>
      <c r="I8" s="395"/>
      <c r="J8" s="396"/>
    </row>
    <row r="9" spans="2:10" x14ac:dyDescent="0.25">
      <c r="B9" s="394"/>
      <c r="C9" s="395"/>
      <c r="D9" s="395"/>
      <c r="E9" s="395"/>
      <c r="F9" s="395"/>
      <c r="G9" s="395"/>
      <c r="H9" s="395"/>
      <c r="I9" s="395"/>
      <c r="J9" s="396"/>
    </row>
    <row r="10" spans="2:10" x14ac:dyDescent="0.25">
      <c r="B10" s="394"/>
      <c r="C10" s="395"/>
      <c r="D10" s="395"/>
      <c r="E10" s="395"/>
      <c r="F10" s="395"/>
      <c r="G10" s="395"/>
      <c r="H10" s="395"/>
      <c r="I10" s="395"/>
      <c r="J10" s="396"/>
    </row>
    <row r="11" spans="2:10" x14ac:dyDescent="0.25">
      <c r="B11" s="394"/>
      <c r="C11" s="395"/>
      <c r="D11" s="395"/>
      <c r="E11" s="395"/>
      <c r="F11" s="395"/>
      <c r="G11" s="395"/>
      <c r="H11" s="395"/>
      <c r="I11" s="395"/>
      <c r="J11" s="396"/>
    </row>
    <row r="12" spans="2:10" x14ac:dyDescent="0.25">
      <c r="B12" s="394"/>
      <c r="C12" s="395"/>
      <c r="D12" s="395"/>
      <c r="E12" s="395"/>
      <c r="F12" s="395"/>
      <c r="G12" s="395"/>
      <c r="H12" s="395"/>
      <c r="I12" s="395"/>
      <c r="J12" s="396"/>
    </row>
    <row r="13" spans="2:10" x14ac:dyDescent="0.25">
      <c r="B13" s="394"/>
      <c r="C13" s="395"/>
      <c r="D13" s="395"/>
      <c r="E13" s="395"/>
      <c r="F13" s="395"/>
      <c r="G13" s="395"/>
      <c r="H13" s="395"/>
      <c r="I13" s="395"/>
      <c r="J13" s="396"/>
    </row>
    <row r="14" spans="2:10" x14ac:dyDescent="0.25">
      <c r="B14" s="394"/>
      <c r="C14" s="395"/>
      <c r="D14" s="395"/>
      <c r="E14" s="395"/>
      <c r="F14" s="395"/>
      <c r="G14" s="395"/>
      <c r="H14" s="395"/>
      <c r="I14" s="395"/>
      <c r="J14" s="396"/>
    </row>
    <row r="15" spans="2:10" x14ac:dyDescent="0.25">
      <c r="B15" s="394"/>
      <c r="C15" s="395"/>
      <c r="D15" s="395"/>
      <c r="E15" s="395"/>
      <c r="F15" s="395"/>
      <c r="G15" s="395"/>
      <c r="H15" s="395"/>
      <c r="I15" s="395"/>
      <c r="J15" s="396"/>
    </row>
    <row r="16" spans="2:10" x14ac:dyDescent="0.25">
      <c r="B16" s="394"/>
      <c r="C16" s="395"/>
      <c r="D16" s="395"/>
      <c r="E16" s="395"/>
      <c r="F16" s="395"/>
      <c r="G16" s="395"/>
      <c r="H16" s="395"/>
      <c r="I16" s="395"/>
      <c r="J16" s="396"/>
    </row>
    <row r="17" spans="2:10" x14ac:dyDescent="0.25">
      <c r="B17" s="394"/>
      <c r="C17" s="395"/>
      <c r="D17" s="395"/>
      <c r="E17" s="395"/>
      <c r="F17" s="395"/>
      <c r="G17" s="395"/>
      <c r="H17" s="395"/>
      <c r="I17" s="395"/>
      <c r="J17" s="396"/>
    </row>
    <row r="18" spans="2:10" ht="36" customHeight="1" thickBot="1" x14ac:dyDescent="0.3">
      <c r="B18" s="397"/>
      <c r="C18" s="398"/>
      <c r="D18" s="398"/>
      <c r="E18" s="398"/>
      <c r="F18" s="398"/>
      <c r="G18" s="398"/>
      <c r="H18" s="398"/>
      <c r="I18" s="398"/>
      <c r="J18" s="399"/>
    </row>
  </sheetData>
  <mergeCells count="2">
    <mergeCell ref="B4:D4"/>
    <mergeCell ref="B5:J1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zoomScale="70" zoomScaleNormal="70" workbookViewId="0">
      <selection activeCell="C16" sqref="C16:C19"/>
    </sheetView>
  </sheetViews>
  <sheetFormatPr baseColWidth="10" defaultRowHeight="15" x14ac:dyDescent="0.25"/>
  <cols>
    <col min="2" max="2" width="19.140625" customWidth="1"/>
    <col min="4" max="4" width="15.85546875" customWidth="1"/>
    <col min="5" max="5" width="17.28515625" bestFit="1" customWidth="1"/>
    <col min="6" max="6" width="16.85546875" bestFit="1" customWidth="1"/>
    <col min="7" max="7" width="2.28515625" customWidth="1"/>
    <col min="8" max="8" width="16.85546875" bestFit="1" customWidth="1"/>
    <col min="9" max="9" width="20.140625" bestFit="1" customWidth="1"/>
  </cols>
  <sheetData>
    <row r="1" spans="1:9" x14ac:dyDescent="0.25">
      <c r="A1" s="5"/>
      <c r="B1" s="5"/>
      <c r="C1" s="5"/>
      <c r="D1" s="5"/>
      <c r="E1" s="5"/>
      <c r="F1" s="5"/>
      <c r="G1" s="5"/>
      <c r="H1" s="5"/>
      <c r="I1" s="5"/>
    </row>
    <row r="2" spans="1:9" ht="15.75" x14ac:dyDescent="0.25">
      <c r="A2" s="5"/>
      <c r="B2" s="6" t="s">
        <v>3</v>
      </c>
      <c r="C2" s="381" t="s">
        <v>32</v>
      </c>
      <c r="D2" s="383"/>
      <c r="E2" s="5"/>
      <c r="F2" s="5"/>
      <c r="G2" s="5"/>
      <c r="H2" s="5"/>
      <c r="I2" s="5"/>
    </row>
    <row r="3" spans="1:9" ht="3.75" customHeight="1" x14ac:dyDescent="0.25">
      <c r="A3" s="7"/>
      <c r="B3" s="8"/>
      <c r="C3" s="9"/>
      <c r="D3" s="10"/>
      <c r="E3" s="7"/>
      <c r="F3" s="7"/>
      <c r="G3" s="7"/>
      <c r="H3" s="7"/>
      <c r="I3" s="7"/>
    </row>
    <row r="4" spans="1:9" ht="15.75" x14ac:dyDescent="0.25">
      <c r="A4" s="5"/>
      <c r="B4" s="6" t="s">
        <v>4</v>
      </c>
      <c r="C4" s="381" t="s">
        <v>33</v>
      </c>
      <c r="D4" s="383"/>
      <c r="E4" s="5"/>
      <c r="F4" s="5"/>
      <c r="G4" s="5"/>
      <c r="H4" s="5"/>
      <c r="I4" s="5"/>
    </row>
    <row r="5" spans="1:9" ht="3.75" customHeight="1" x14ac:dyDescent="0.25">
      <c r="A5" s="7"/>
      <c r="B5" s="8"/>
      <c r="C5" s="9"/>
      <c r="D5" s="10"/>
      <c r="E5" s="7"/>
      <c r="F5" s="7"/>
      <c r="G5" s="7"/>
      <c r="H5" s="7"/>
      <c r="I5" s="7"/>
    </row>
    <row r="6" spans="1:9" ht="15.75" x14ac:dyDescent="0.25">
      <c r="A6" s="5"/>
      <c r="B6" s="6" t="s">
        <v>5</v>
      </c>
      <c r="C6" s="381" t="s">
        <v>17</v>
      </c>
      <c r="D6" s="383"/>
      <c r="E6" s="5"/>
      <c r="F6" s="5"/>
      <c r="G6" s="5"/>
      <c r="H6" s="5"/>
      <c r="I6" s="5"/>
    </row>
    <row r="7" spans="1:9" ht="4.5" customHeight="1" x14ac:dyDescent="0.25">
      <c r="A7" s="7"/>
      <c r="B7" s="8"/>
      <c r="C7" s="9"/>
      <c r="D7" s="10"/>
      <c r="E7" s="7"/>
      <c r="F7" s="7"/>
      <c r="G7" s="7"/>
      <c r="H7" s="7"/>
      <c r="I7" s="7"/>
    </row>
    <row r="8" spans="1:9" ht="15.75" x14ac:dyDescent="0.25">
      <c r="A8" s="5"/>
      <c r="B8" s="6" t="s">
        <v>6</v>
      </c>
      <c r="C8" s="384">
        <v>41696</v>
      </c>
      <c r="D8" s="386"/>
      <c r="E8" s="5"/>
      <c r="F8" s="5"/>
      <c r="G8" s="5"/>
      <c r="H8" s="5"/>
      <c r="I8" s="5"/>
    </row>
    <row r="9" spans="1:9" ht="4.5" customHeight="1" x14ac:dyDescent="0.25">
      <c r="A9" s="7"/>
      <c r="B9" s="8"/>
      <c r="C9" s="9"/>
      <c r="D9" s="10"/>
      <c r="E9" s="7"/>
      <c r="F9" s="7"/>
      <c r="G9" s="7"/>
      <c r="H9" s="7"/>
      <c r="I9" s="7"/>
    </row>
    <row r="10" spans="1:9" ht="15.75" x14ac:dyDescent="0.25">
      <c r="A10" s="5"/>
      <c r="B10" s="6" t="s">
        <v>16</v>
      </c>
      <c r="C10" s="403">
        <v>2.8</v>
      </c>
      <c r="D10" s="404"/>
      <c r="E10" s="5"/>
      <c r="F10" s="5"/>
      <c r="G10" s="5"/>
      <c r="H10" s="5"/>
      <c r="I10" s="5"/>
    </row>
    <row r="11" spans="1:9" ht="15.75" x14ac:dyDescent="0.25">
      <c r="A11" s="7"/>
      <c r="B11" s="8"/>
      <c r="C11" s="12"/>
      <c r="D11" s="13"/>
      <c r="E11" s="7"/>
      <c r="F11" s="7"/>
      <c r="G11" s="7"/>
      <c r="H11" s="7"/>
      <c r="I11" s="7"/>
    </row>
    <row r="12" spans="1:9" x14ac:dyDescent="0.25">
      <c r="A12" s="5"/>
      <c r="B12" s="5"/>
      <c r="C12" s="5"/>
      <c r="D12" s="5"/>
      <c r="E12" s="5"/>
      <c r="F12" s="5"/>
      <c r="G12" s="5"/>
      <c r="H12" s="5"/>
      <c r="I12" s="5"/>
    </row>
    <row r="13" spans="1:9" ht="31.5" x14ac:dyDescent="0.25">
      <c r="A13" s="15"/>
      <c r="B13" s="16" t="s">
        <v>7</v>
      </c>
      <c r="C13" s="16" t="s">
        <v>8</v>
      </c>
      <c r="D13" s="16" t="s">
        <v>9</v>
      </c>
      <c r="E13" s="17" t="s">
        <v>10</v>
      </c>
      <c r="F13" s="17" t="s">
        <v>34</v>
      </c>
      <c r="G13" s="15"/>
      <c r="H13" s="443" t="s">
        <v>11</v>
      </c>
      <c r="I13" s="443"/>
    </row>
    <row r="14" spans="1:9" ht="8.25" customHeight="1" x14ac:dyDescent="0.25">
      <c r="A14" s="19"/>
      <c r="B14" s="20"/>
      <c r="C14" s="20"/>
      <c r="D14" s="20"/>
      <c r="E14" s="19"/>
      <c r="F14" s="19"/>
      <c r="G14" s="19"/>
      <c r="H14" s="19"/>
      <c r="I14" s="19"/>
    </row>
    <row r="15" spans="1:9" ht="5.25" customHeight="1" thickBot="1" x14ac:dyDescent="0.3">
      <c r="A15" s="19"/>
      <c r="B15" s="20"/>
      <c r="C15" s="20"/>
      <c r="D15" s="20"/>
      <c r="E15" s="35"/>
      <c r="F15" s="35"/>
      <c r="G15" s="33"/>
      <c r="H15" s="19"/>
      <c r="I15" s="19"/>
    </row>
    <row r="16" spans="1:9" ht="15.75" x14ac:dyDescent="0.25">
      <c r="A16" s="21"/>
      <c r="B16" s="449" t="s">
        <v>1</v>
      </c>
      <c r="C16" s="453" t="s">
        <v>37</v>
      </c>
      <c r="D16" s="22" t="s">
        <v>13</v>
      </c>
      <c r="E16" s="23"/>
      <c r="F16" s="23"/>
      <c r="G16" s="24"/>
      <c r="H16" s="25"/>
      <c r="I16" s="38"/>
    </row>
    <row r="17" spans="1:23" ht="15.75" x14ac:dyDescent="0.25">
      <c r="A17" s="26"/>
      <c r="B17" s="450"/>
      <c r="C17" s="454"/>
      <c r="D17" s="27" t="s">
        <v>12</v>
      </c>
      <c r="E17" s="28">
        <v>736.3</v>
      </c>
      <c r="F17" s="28">
        <v>700</v>
      </c>
      <c r="G17" s="29"/>
      <c r="H17" s="30">
        <f>SUM(E17:F17)</f>
        <v>1436.3</v>
      </c>
      <c r="I17" s="39">
        <f t="shared" ref="I17:I19" si="0">H17*$C$10</f>
        <v>4021.6399999999994</v>
      </c>
    </row>
    <row r="18" spans="1:23" ht="15.75" x14ac:dyDescent="0.25">
      <c r="A18" s="26"/>
      <c r="B18" s="451"/>
      <c r="C18" s="455"/>
      <c r="D18" s="27" t="s">
        <v>35</v>
      </c>
      <c r="E18" s="28">
        <f>E17*15%</f>
        <v>110.44499999999999</v>
      </c>
      <c r="F18" s="28">
        <f>F17*15%</f>
        <v>105</v>
      </c>
      <c r="G18" s="29"/>
      <c r="H18" s="30">
        <f>SUM(E18:F18)</f>
        <v>215.44499999999999</v>
      </c>
      <c r="I18" s="39">
        <f t="shared" si="0"/>
        <v>603.24599999999998</v>
      </c>
    </row>
    <row r="19" spans="1:23" ht="16.5" thickBot="1" x14ac:dyDescent="0.3">
      <c r="A19" s="26"/>
      <c r="B19" s="452"/>
      <c r="C19" s="456"/>
      <c r="D19" s="31" t="s">
        <v>11</v>
      </c>
      <c r="E19" s="32">
        <f>SUM(E17:E18)</f>
        <v>846.74499999999989</v>
      </c>
      <c r="F19" s="32">
        <f>SUM(F17:F18)</f>
        <v>805</v>
      </c>
      <c r="G19" s="33"/>
      <c r="H19" s="34">
        <f>SUM(H17:H18)</f>
        <v>1651.7449999999999</v>
      </c>
      <c r="I19" s="40">
        <f t="shared" si="0"/>
        <v>4624.8859999999995</v>
      </c>
    </row>
    <row r="20" spans="1:23" ht="5.25" customHeight="1" thickBot="1" x14ac:dyDescent="0.3">
      <c r="A20" s="19"/>
      <c r="B20" s="20"/>
      <c r="C20" s="20"/>
      <c r="D20" s="20"/>
      <c r="E20" s="35"/>
      <c r="F20" s="35"/>
      <c r="G20" s="33"/>
      <c r="H20" s="19"/>
      <c r="I20" s="19"/>
    </row>
    <row r="21" spans="1:23" ht="15.75" x14ac:dyDescent="0.25">
      <c r="A21" s="21"/>
      <c r="B21" s="449" t="s">
        <v>36</v>
      </c>
      <c r="C21" s="453" t="s">
        <v>37</v>
      </c>
      <c r="D21" s="22" t="s">
        <v>13</v>
      </c>
      <c r="E21" s="23">
        <v>252178</v>
      </c>
      <c r="F21" s="23">
        <v>252178</v>
      </c>
      <c r="G21" s="24"/>
      <c r="H21" s="25"/>
      <c r="I21" s="38"/>
    </row>
    <row r="22" spans="1:23" ht="15.75" x14ac:dyDescent="0.25">
      <c r="A22" s="26"/>
      <c r="B22" s="450"/>
      <c r="C22" s="454"/>
      <c r="D22" s="27" t="s">
        <v>12</v>
      </c>
      <c r="E22" s="28">
        <v>500</v>
      </c>
      <c r="F22" s="28">
        <v>300</v>
      </c>
      <c r="G22" s="29"/>
      <c r="H22" s="30">
        <f>SUM(E22:F22)</f>
        <v>800</v>
      </c>
      <c r="I22" s="39">
        <f t="shared" ref="I22:I23" si="1">H22*$C$10</f>
        <v>2240</v>
      </c>
    </row>
    <row r="23" spans="1:23" ht="15.75" x14ac:dyDescent="0.25">
      <c r="A23" s="26"/>
      <c r="B23" s="451"/>
      <c r="C23" s="455"/>
      <c r="D23" s="27" t="s">
        <v>35</v>
      </c>
      <c r="E23" s="28">
        <f>E22*15%</f>
        <v>75</v>
      </c>
      <c r="F23" s="28">
        <f>F22*15%</f>
        <v>45</v>
      </c>
      <c r="G23" s="29"/>
      <c r="H23" s="30">
        <f>SUM(E23:F23)</f>
        <v>120</v>
      </c>
      <c r="I23" s="39">
        <f t="shared" si="1"/>
        <v>336</v>
      </c>
    </row>
    <row r="24" spans="1:23" ht="16.5" thickBot="1" x14ac:dyDescent="0.3">
      <c r="A24" s="26"/>
      <c r="B24" s="452"/>
      <c r="C24" s="456"/>
      <c r="D24" s="31" t="s">
        <v>11</v>
      </c>
      <c r="E24" s="32">
        <f t="shared" ref="E24:F24" si="2">SUM(E22:E22)</f>
        <v>500</v>
      </c>
      <c r="F24" s="32">
        <f t="shared" si="2"/>
        <v>300</v>
      </c>
      <c r="G24" s="33"/>
      <c r="H24" s="34">
        <f>SUM(H22:H23)</f>
        <v>920</v>
      </c>
      <c r="I24" s="40">
        <f>SUM(I22:I23)</f>
        <v>2576</v>
      </c>
    </row>
    <row r="25" spans="1:23" ht="5.25" customHeight="1" thickBot="1" x14ac:dyDescent="0.3">
      <c r="A25" s="19"/>
      <c r="B25" s="20"/>
      <c r="C25" s="20"/>
      <c r="D25" s="20"/>
      <c r="E25" s="35"/>
      <c r="F25" s="35"/>
      <c r="G25" s="33"/>
      <c r="H25" s="19"/>
      <c r="I25" s="19"/>
    </row>
    <row r="26" spans="1:23" ht="15.75" x14ac:dyDescent="0.25">
      <c r="A26" s="21"/>
      <c r="B26" s="449" t="s">
        <v>30</v>
      </c>
      <c r="C26" s="453" t="s">
        <v>0</v>
      </c>
      <c r="D26" s="22" t="s">
        <v>13</v>
      </c>
      <c r="E26" s="23">
        <f>E27/0.8</f>
        <v>1250</v>
      </c>
      <c r="F26" s="23">
        <f>F27/0.8</f>
        <v>0</v>
      </c>
      <c r="G26" s="24"/>
      <c r="H26" s="25"/>
      <c r="I26" s="38"/>
    </row>
    <row r="27" spans="1:23" ht="15.75" x14ac:dyDescent="0.25">
      <c r="A27" s="26"/>
      <c r="B27" s="450"/>
      <c r="C27" s="454"/>
      <c r="D27" s="27" t="s">
        <v>12</v>
      </c>
      <c r="E27" s="28">
        <v>1000</v>
      </c>
      <c r="F27" s="28"/>
      <c r="G27" s="29"/>
      <c r="H27" s="30">
        <f>SUM(E27:F27)</f>
        <v>1000</v>
      </c>
      <c r="I27" s="39">
        <f t="shared" ref="I27:I28" si="3">H27*$C$10</f>
        <v>2800</v>
      </c>
    </row>
    <row r="28" spans="1:23" ht="16.5" thickBot="1" x14ac:dyDescent="0.3">
      <c r="A28" s="26"/>
      <c r="B28" s="452"/>
      <c r="C28" s="456"/>
      <c r="D28" s="31" t="s">
        <v>11</v>
      </c>
      <c r="E28" s="32">
        <f t="shared" ref="E28" si="4">SUM(E27:E27)</f>
        <v>1000</v>
      </c>
      <c r="F28" s="32">
        <f t="shared" ref="F28" si="5">SUM(F27:F27)</f>
        <v>0</v>
      </c>
      <c r="G28" s="33"/>
      <c r="H28" s="34">
        <f>SUM(H27:H27)</f>
        <v>1000</v>
      </c>
      <c r="I28" s="40">
        <f t="shared" si="3"/>
        <v>2800</v>
      </c>
    </row>
    <row r="29" spans="1:23" ht="5.25" customHeight="1" x14ac:dyDescent="0.25">
      <c r="A29" s="19"/>
      <c r="B29" s="20"/>
      <c r="C29" s="20"/>
      <c r="D29" s="20"/>
      <c r="E29" s="35"/>
      <c r="F29" s="35"/>
      <c r="G29" s="33"/>
      <c r="H29" s="19"/>
      <c r="I29" s="19"/>
    </row>
    <row r="30" spans="1:23" s="37" customFormat="1" ht="15.75" x14ac:dyDescent="0.25">
      <c r="A30" s="11"/>
      <c r="B30" s="444" t="s">
        <v>15</v>
      </c>
      <c r="C30" s="444"/>
      <c r="D30" s="444"/>
      <c r="E30" s="82">
        <f>SUM(E28,E19,E24)</f>
        <v>2346.7449999999999</v>
      </c>
      <c r="F30" s="82">
        <f>SUM(F28,F19,F24)</f>
        <v>1105</v>
      </c>
      <c r="G30" s="33"/>
      <c r="H30" s="82">
        <f>SUM(H28,H19,H24)</f>
        <v>3571.7449999999999</v>
      </c>
      <c r="I30" s="78">
        <f>SUM(I28,I19,I24)</f>
        <v>10000.885999999999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s="37" customFormat="1" ht="15.75" x14ac:dyDescent="0.25">
      <c r="A31" s="11"/>
      <c r="B31" s="445" t="s">
        <v>2</v>
      </c>
      <c r="C31" s="445"/>
      <c r="D31" s="445"/>
      <c r="E31" s="83">
        <f t="shared" ref="E31:F31" si="6">E30*18%</f>
        <v>422.41409999999996</v>
      </c>
      <c r="F31" s="83">
        <f t="shared" si="6"/>
        <v>198.9</v>
      </c>
      <c r="G31" s="33"/>
      <c r="H31" s="83">
        <f t="shared" ref="H31" si="7">H30*18%</f>
        <v>642.91409999999996</v>
      </c>
      <c r="I31" s="79">
        <f t="shared" ref="I31" si="8">I30*18%</f>
        <v>1800.1594799999996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s="37" customFormat="1" ht="15.75" x14ac:dyDescent="0.25">
      <c r="A32" s="11"/>
      <c r="B32" s="446" t="s">
        <v>11</v>
      </c>
      <c r="C32" s="447"/>
      <c r="D32" s="448"/>
      <c r="E32" s="84">
        <f t="shared" ref="E32:F32" si="9">E31+E30</f>
        <v>2769.1590999999999</v>
      </c>
      <c r="F32" s="84">
        <f t="shared" si="9"/>
        <v>1303.9000000000001</v>
      </c>
      <c r="G32" s="33"/>
      <c r="H32" s="84">
        <f t="shared" ref="H32" si="10">H31+H30</f>
        <v>4214.6590999999999</v>
      </c>
      <c r="I32" s="80">
        <f t="shared" ref="I32" si="11">I31+I30</f>
        <v>11801.045479999999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9" ht="15.75" x14ac:dyDescent="0.25">
      <c r="A33" s="21"/>
      <c r="B33" s="36" t="s">
        <v>14</v>
      </c>
      <c r="C33" s="36">
        <v>1</v>
      </c>
      <c r="D33" s="21"/>
      <c r="E33" s="21"/>
      <c r="F33" s="21"/>
      <c r="G33" s="21"/>
      <c r="H33" s="21"/>
      <c r="I33" s="21"/>
    </row>
    <row r="34" spans="1:9" ht="15.75" x14ac:dyDescent="0.25">
      <c r="G34" s="21"/>
      <c r="H34" s="21"/>
      <c r="I34" s="21"/>
    </row>
    <row r="35" spans="1:9" ht="15.75" x14ac:dyDescent="0.25">
      <c r="G35" s="21"/>
      <c r="H35" s="21"/>
      <c r="I35" s="21"/>
    </row>
    <row r="36" spans="1:9" ht="15.75" x14ac:dyDescent="0.25">
      <c r="G36" s="21"/>
      <c r="H36" s="21"/>
      <c r="I36" s="21"/>
    </row>
  </sheetData>
  <mergeCells count="15">
    <mergeCell ref="H13:I13"/>
    <mergeCell ref="B30:D30"/>
    <mergeCell ref="B31:D31"/>
    <mergeCell ref="B32:D32"/>
    <mergeCell ref="C2:D2"/>
    <mergeCell ref="C4:D4"/>
    <mergeCell ref="C6:D6"/>
    <mergeCell ref="C8:D8"/>
    <mergeCell ref="C10:D10"/>
    <mergeCell ref="B16:B19"/>
    <mergeCell ref="C16:C19"/>
    <mergeCell ref="B26:B28"/>
    <mergeCell ref="C26:C28"/>
    <mergeCell ref="B21:B24"/>
    <mergeCell ref="C21:C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Y56"/>
  <sheetViews>
    <sheetView showGridLines="0" zoomScale="50" zoomScaleNormal="50" workbookViewId="0">
      <pane ySplit="10" topLeftCell="A11" activePane="bottomLeft" state="frozen"/>
      <selection activeCell="M15" sqref="M15:M16"/>
      <selection pane="bottomLeft" activeCell="M15" sqref="M15:M16"/>
    </sheetView>
  </sheetViews>
  <sheetFormatPr baseColWidth="10" defaultRowHeight="21" x14ac:dyDescent="0.35"/>
  <cols>
    <col min="1" max="1" width="4" style="1" customWidth="1"/>
    <col min="2" max="2" width="31.140625" style="2" customWidth="1"/>
    <col min="3" max="3" width="32.42578125" style="1" customWidth="1"/>
    <col min="4" max="4" width="55.7109375" style="1" customWidth="1"/>
    <col min="5" max="5" width="49.28515625" style="1" customWidth="1"/>
    <col min="6" max="6" width="24.7109375" style="1" customWidth="1"/>
    <col min="7" max="7" width="18.7109375" style="1" customWidth="1"/>
    <col min="8" max="8" width="21.7109375" style="1" customWidth="1"/>
    <col min="9" max="9" width="24.5703125" style="1" customWidth="1"/>
    <col min="10" max="10" width="24.140625" style="1" customWidth="1"/>
    <col min="11" max="11" width="22.85546875" style="1" customWidth="1"/>
    <col min="12" max="12" width="5.140625" style="4" customWidth="1"/>
    <col min="13" max="13" width="21.7109375" style="1" customWidth="1"/>
    <col min="14" max="14" width="25.7109375" style="1" customWidth="1"/>
    <col min="15" max="15" width="19.85546875" style="126" customWidth="1"/>
    <col min="16" max="17" width="11.42578125" style="1"/>
    <col min="18" max="18" width="20.85546875" style="1" hidden="1" customWidth="1"/>
    <col min="19" max="19" width="23.42578125" style="1" hidden="1" customWidth="1"/>
    <col min="20" max="20" width="11.42578125" style="1"/>
    <col min="21" max="21" width="23.5703125" style="1" hidden="1" customWidth="1"/>
    <col min="22" max="22" width="19.28515625" style="1" hidden="1" customWidth="1"/>
    <col min="23" max="23" width="15.42578125" style="1" bestFit="1" customWidth="1"/>
    <col min="24" max="24" width="21.85546875" style="1" customWidth="1"/>
    <col min="25" max="25" width="19.5703125" style="1" customWidth="1"/>
    <col min="26" max="16384" width="11.42578125" style="1"/>
  </cols>
  <sheetData>
    <row r="1" spans="1:19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7"/>
      <c r="M1" s="5"/>
      <c r="N1" s="5"/>
      <c r="O1" s="115"/>
      <c r="P1" s="5"/>
      <c r="Q1" s="5"/>
    </row>
    <row r="2" spans="1:19" ht="20.25" customHeight="1" x14ac:dyDescent="0.35">
      <c r="A2" s="5"/>
      <c r="B2" s="221" t="s">
        <v>3</v>
      </c>
      <c r="C2" s="381" t="s">
        <v>32</v>
      </c>
      <c r="D2" s="383"/>
      <c r="E2" s="5"/>
      <c r="F2" s="5"/>
      <c r="G2" s="5"/>
      <c r="H2" s="5"/>
      <c r="I2" s="5"/>
      <c r="J2" s="5"/>
      <c r="K2" s="7"/>
      <c r="L2" s="5"/>
      <c r="M2" s="5"/>
      <c r="N2" s="5"/>
      <c r="O2" s="115"/>
      <c r="P2" s="5"/>
    </row>
    <row r="3" spans="1:19" ht="3.75" customHeight="1" x14ac:dyDescent="0.35">
      <c r="A3" s="7"/>
      <c r="B3" s="8"/>
      <c r="C3" s="9"/>
      <c r="D3" s="10"/>
      <c r="E3" s="7"/>
      <c r="F3" s="7"/>
      <c r="G3" s="7"/>
      <c r="H3" s="7"/>
      <c r="I3" s="7"/>
      <c r="J3" s="7"/>
      <c r="K3" s="7"/>
      <c r="L3" s="7"/>
      <c r="M3" s="7"/>
      <c r="N3" s="7"/>
      <c r="O3" s="116"/>
      <c r="P3" s="7"/>
    </row>
    <row r="4" spans="1:19" ht="14.25" customHeight="1" x14ac:dyDescent="0.35">
      <c r="A4" s="5"/>
      <c r="B4" s="221" t="s">
        <v>4</v>
      </c>
      <c r="C4" s="381" t="s">
        <v>50</v>
      </c>
      <c r="D4" s="383"/>
      <c r="E4" s="5"/>
      <c r="F4" s="5"/>
      <c r="G4" s="5"/>
      <c r="H4" s="5"/>
      <c r="I4" s="5"/>
      <c r="J4" s="5"/>
      <c r="K4" s="7"/>
      <c r="L4" s="5"/>
      <c r="M4" s="5"/>
      <c r="N4" s="5"/>
      <c r="O4" s="115"/>
      <c r="P4" s="5"/>
    </row>
    <row r="5" spans="1:19" ht="3.75" customHeight="1" x14ac:dyDescent="0.35">
      <c r="A5" s="7"/>
      <c r="B5" s="8"/>
      <c r="C5" s="9"/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116"/>
      <c r="P5" s="7"/>
    </row>
    <row r="6" spans="1:19" ht="15.75" customHeight="1" x14ac:dyDescent="0.35">
      <c r="A6" s="5"/>
      <c r="B6" s="221" t="s">
        <v>5</v>
      </c>
      <c r="C6" s="381" t="s">
        <v>17</v>
      </c>
      <c r="D6" s="383"/>
      <c r="E6" s="5"/>
      <c r="F6" s="5"/>
      <c r="G6" s="5"/>
      <c r="H6" s="5"/>
      <c r="I6" s="5"/>
      <c r="J6" s="5"/>
      <c r="K6" s="7"/>
      <c r="L6" s="5"/>
      <c r="M6" s="5"/>
      <c r="N6" s="5"/>
      <c r="O6" s="115"/>
      <c r="P6" s="5"/>
    </row>
    <row r="7" spans="1:19" ht="3.75" customHeight="1" x14ac:dyDescent="0.35">
      <c r="A7" s="7"/>
      <c r="B7" s="8"/>
      <c r="C7" s="9"/>
      <c r="D7" s="10"/>
      <c r="E7" s="7"/>
      <c r="F7" s="7"/>
      <c r="G7" s="7"/>
      <c r="H7" s="7"/>
      <c r="I7" s="7"/>
      <c r="J7" s="7"/>
      <c r="K7" s="7"/>
      <c r="L7" s="7"/>
      <c r="M7" s="7"/>
      <c r="N7" s="7"/>
      <c r="O7" s="116"/>
      <c r="P7" s="7"/>
    </row>
    <row r="8" spans="1:19" ht="14.25" customHeight="1" x14ac:dyDescent="0.35">
      <c r="A8" s="5"/>
      <c r="B8" s="221" t="s">
        <v>6</v>
      </c>
      <c r="C8" s="384">
        <f ca="1">TODAY()</f>
        <v>42808</v>
      </c>
      <c r="D8" s="386"/>
      <c r="E8" s="11"/>
      <c r="F8" s="5"/>
      <c r="G8" s="5"/>
      <c r="H8" s="5"/>
      <c r="I8" s="5"/>
      <c r="J8" s="5"/>
      <c r="K8" s="7"/>
      <c r="L8" s="5"/>
      <c r="M8" s="5"/>
      <c r="N8" s="5"/>
      <c r="O8" s="115"/>
      <c r="P8" s="41"/>
    </row>
    <row r="9" spans="1:19" ht="3.75" customHeight="1" x14ac:dyDescent="0.35">
      <c r="A9" s="7"/>
      <c r="B9" s="8"/>
      <c r="C9" s="9"/>
      <c r="D9" s="10"/>
      <c r="E9" s="14"/>
      <c r="F9" s="7"/>
      <c r="G9" s="7"/>
      <c r="H9" s="7"/>
      <c r="I9" s="7"/>
      <c r="J9" s="7"/>
      <c r="K9" s="7"/>
      <c r="L9" s="7"/>
      <c r="M9" s="7"/>
      <c r="N9" s="7"/>
      <c r="O9" s="116"/>
      <c r="P9" s="42"/>
    </row>
    <row r="10" spans="1:19" s="3" customFormat="1" ht="15.75" customHeight="1" x14ac:dyDescent="0.35">
      <c r="A10" s="5"/>
      <c r="B10" s="221" t="s">
        <v>16</v>
      </c>
      <c r="C10" s="403">
        <v>3.26</v>
      </c>
      <c r="D10" s="404"/>
      <c r="E10" s="11"/>
      <c r="F10" s="5"/>
      <c r="G10" s="5"/>
      <c r="H10" s="5"/>
      <c r="I10" s="5"/>
      <c r="J10" s="5"/>
      <c r="K10" s="7"/>
      <c r="L10" s="5"/>
      <c r="M10" s="5"/>
      <c r="N10" s="5"/>
      <c r="O10" s="115"/>
      <c r="P10" s="41"/>
    </row>
    <row r="11" spans="1:19" s="3" customFormat="1" ht="26.25" customHeight="1" x14ac:dyDescent="0.35">
      <c r="A11" s="5"/>
      <c r="B11" s="5"/>
      <c r="C11" s="41"/>
      <c r="D11" s="5"/>
      <c r="E11" s="5"/>
      <c r="F11" s="5"/>
      <c r="G11" s="5"/>
      <c r="H11" s="5"/>
      <c r="I11" s="5"/>
      <c r="J11" s="5"/>
      <c r="K11" s="5"/>
      <c r="L11" s="7"/>
      <c r="M11" s="5"/>
      <c r="N11" s="5"/>
      <c r="O11" s="115"/>
      <c r="P11" s="5"/>
      <c r="Q11" s="41"/>
    </row>
    <row r="12" spans="1:19" ht="39.75" customHeight="1" x14ac:dyDescent="0.35">
      <c r="A12" s="15"/>
      <c r="B12" s="209" t="s">
        <v>7</v>
      </c>
      <c r="C12" s="209" t="s">
        <v>18</v>
      </c>
      <c r="D12" s="209" t="s">
        <v>19</v>
      </c>
      <c r="E12" s="209" t="s">
        <v>20</v>
      </c>
      <c r="F12" s="209" t="s">
        <v>8</v>
      </c>
      <c r="G12" s="209" t="s">
        <v>168</v>
      </c>
      <c r="H12" s="209" t="s">
        <v>21</v>
      </c>
      <c r="I12" s="209" t="s">
        <v>22</v>
      </c>
      <c r="J12" s="209" t="s">
        <v>161</v>
      </c>
      <c r="K12" s="209" t="s">
        <v>162</v>
      </c>
      <c r="L12" s="43"/>
      <c r="M12" s="212" t="s">
        <v>24</v>
      </c>
      <c r="N12" s="213" t="s">
        <v>25</v>
      </c>
      <c r="O12" s="214" t="s">
        <v>43</v>
      </c>
      <c r="P12" s="44"/>
      <c r="Q12" s="15"/>
    </row>
    <row r="13" spans="1:19" ht="5.25" customHeight="1" x14ac:dyDescent="0.35">
      <c r="A13" s="5"/>
      <c r="B13" s="11"/>
      <c r="C13" s="5"/>
      <c r="D13" s="5"/>
      <c r="E13" s="5"/>
      <c r="F13" s="5"/>
      <c r="G13" s="5"/>
      <c r="H13" s="5"/>
      <c r="I13" s="5"/>
      <c r="J13" s="5"/>
      <c r="K13" s="5"/>
      <c r="L13" s="7"/>
      <c r="M13" s="5"/>
      <c r="N13" s="5"/>
      <c r="O13" s="115"/>
      <c r="P13" s="5"/>
      <c r="Q13" s="5"/>
    </row>
    <row r="14" spans="1:19" ht="22.5" customHeight="1" x14ac:dyDescent="0.35">
      <c r="A14" s="5"/>
      <c r="B14" s="400" t="s">
        <v>187</v>
      </c>
      <c r="C14" s="401"/>
      <c r="D14" s="401"/>
      <c r="E14" s="401"/>
      <c r="F14" s="401"/>
      <c r="G14" s="401"/>
      <c r="H14" s="401"/>
      <c r="I14" s="401"/>
      <c r="J14" s="401"/>
      <c r="K14" s="402"/>
      <c r="L14" s="45"/>
      <c r="M14" s="215"/>
      <c r="N14" s="216"/>
      <c r="O14" s="217"/>
      <c r="P14" s="45"/>
      <c r="Q14" s="5"/>
    </row>
    <row r="15" spans="1:19" ht="78" customHeight="1" x14ac:dyDescent="0.35">
      <c r="A15" s="5"/>
      <c r="B15" s="326" t="s">
        <v>174</v>
      </c>
      <c r="C15" s="317" t="s">
        <v>175</v>
      </c>
      <c r="D15" s="315" t="s">
        <v>176</v>
      </c>
      <c r="E15" s="319" t="s">
        <v>192</v>
      </c>
      <c r="F15" s="243" t="s">
        <v>0</v>
      </c>
      <c r="G15" s="244">
        <f>M15/J15</f>
        <v>3750</v>
      </c>
      <c r="H15" s="322">
        <v>3.0000000000000001E-3</v>
      </c>
      <c r="I15" s="323">
        <f>G15/H15</f>
        <v>1250000</v>
      </c>
      <c r="J15" s="325">
        <v>0.4</v>
      </c>
      <c r="K15" s="247">
        <f>M15/I15*1000</f>
        <v>1.2</v>
      </c>
      <c r="L15" s="248"/>
      <c r="M15" s="249">
        <v>1500</v>
      </c>
      <c r="N15" s="250">
        <f>M15*$C$10</f>
        <v>4890</v>
      </c>
      <c r="O15" s="251">
        <f>N15/$N$35</f>
        <v>0.38000466139051309</v>
      </c>
      <c r="P15" s="54"/>
      <c r="Q15" s="5"/>
      <c r="R15" s="143" t="s">
        <v>51</v>
      </c>
      <c r="S15" s="143">
        <f>+N34/3.15</f>
        <v>0</v>
      </c>
    </row>
    <row r="16" spans="1:19" ht="78" customHeight="1" x14ac:dyDescent="0.35">
      <c r="A16" s="5"/>
      <c r="B16" s="326" t="s">
        <v>174</v>
      </c>
      <c r="C16" s="317" t="s">
        <v>175</v>
      </c>
      <c r="D16" s="315" t="s">
        <v>176</v>
      </c>
      <c r="E16" s="319" t="s">
        <v>193</v>
      </c>
      <c r="F16" s="243" t="s">
        <v>0</v>
      </c>
      <c r="G16" s="244">
        <f>M16/J16</f>
        <v>5738.75</v>
      </c>
      <c r="H16" s="322">
        <v>3.0000000000000001E-3</v>
      </c>
      <c r="I16" s="323">
        <f>G16/H16</f>
        <v>1912916.6666666665</v>
      </c>
      <c r="J16" s="325">
        <v>0.4</v>
      </c>
      <c r="K16" s="247">
        <f>M16/I16*1000</f>
        <v>1.2000000000000002</v>
      </c>
      <c r="L16" s="248"/>
      <c r="M16" s="249">
        <v>2295.5</v>
      </c>
      <c r="N16" s="250">
        <f>M16*$C$10</f>
        <v>7483.33</v>
      </c>
      <c r="O16" s="251">
        <f>N16/$N$35</f>
        <v>0.58153380014794853</v>
      </c>
      <c r="P16" s="54"/>
      <c r="Q16" s="5"/>
      <c r="R16" s="143" t="s">
        <v>51</v>
      </c>
      <c r="S16" s="143">
        <f>+N35/3.15</f>
        <v>4085.1629206349207</v>
      </c>
    </row>
    <row r="17" spans="1:22" ht="78" hidden="1" customHeight="1" x14ac:dyDescent="0.35">
      <c r="A17" s="5"/>
      <c r="B17" s="326" t="s">
        <v>182</v>
      </c>
      <c r="C17" s="317" t="s">
        <v>177</v>
      </c>
      <c r="D17" s="317" t="s">
        <v>189</v>
      </c>
      <c r="E17" s="319" t="s">
        <v>191</v>
      </c>
      <c r="F17" s="243" t="s">
        <v>68</v>
      </c>
      <c r="G17" s="244">
        <f>+H17*I17</f>
        <v>0</v>
      </c>
      <c r="H17" s="322">
        <v>0.7</v>
      </c>
      <c r="I17" s="244">
        <f>+(M17/K17)*1000</f>
        <v>0</v>
      </c>
      <c r="J17" s="246" t="e">
        <f>+M17/G17</f>
        <v>#DIV/0!</v>
      </c>
      <c r="K17" s="324">
        <v>26</v>
      </c>
      <c r="L17" s="248"/>
      <c r="M17" s="249"/>
      <c r="N17" s="250">
        <f>M17*$C$10</f>
        <v>0</v>
      </c>
      <c r="O17" s="251">
        <f>N17/$N$35</f>
        <v>0</v>
      </c>
      <c r="P17" s="54"/>
      <c r="Q17" s="5"/>
      <c r="R17" s="143"/>
      <c r="S17" s="143"/>
    </row>
    <row r="18" spans="1:22" ht="78" hidden="1" customHeight="1" x14ac:dyDescent="0.35">
      <c r="A18" s="5"/>
      <c r="B18" s="326" t="s">
        <v>182</v>
      </c>
      <c r="C18" s="317" t="s">
        <v>177</v>
      </c>
      <c r="D18" s="317" t="s">
        <v>186</v>
      </c>
      <c r="E18" s="319" t="s">
        <v>191</v>
      </c>
      <c r="F18" s="243" t="s">
        <v>68</v>
      </c>
      <c r="G18" s="244">
        <f>+H18*I18</f>
        <v>0</v>
      </c>
      <c r="H18" s="322">
        <v>0.4</v>
      </c>
      <c r="I18" s="244">
        <f>+(M18/K18)*1000</f>
        <v>0</v>
      </c>
      <c r="J18" s="246" t="e">
        <f>+M18/G18</f>
        <v>#DIV/0!</v>
      </c>
      <c r="K18" s="324">
        <v>31</v>
      </c>
      <c r="L18" s="248"/>
      <c r="M18" s="249"/>
      <c r="N18" s="250">
        <f>M18*$C$10</f>
        <v>0</v>
      </c>
      <c r="O18" s="251">
        <f>N18/$N$35</f>
        <v>0</v>
      </c>
      <c r="P18" s="54"/>
      <c r="Q18" s="5"/>
      <c r="R18" s="143"/>
      <c r="S18" s="143"/>
    </row>
    <row r="19" spans="1:22" ht="78" hidden="1" customHeight="1" x14ac:dyDescent="0.35">
      <c r="A19" s="5"/>
      <c r="B19" s="320" t="s">
        <v>178</v>
      </c>
      <c r="C19" s="321" t="s">
        <v>71</v>
      </c>
      <c r="D19" s="321" t="s">
        <v>184</v>
      </c>
      <c r="E19" s="319" t="s">
        <v>191</v>
      </c>
      <c r="F19" s="243" t="s">
        <v>0</v>
      </c>
      <c r="G19" s="244">
        <f t="shared" ref="G19:G20" si="0">M19/J19</f>
        <v>0</v>
      </c>
      <c r="H19" s="245">
        <v>3.0000000000000001E-3</v>
      </c>
      <c r="I19" s="244">
        <f>G19/H19</f>
        <v>0</v>
      </c>
      <c r="J19" s="325">
        <v>0.2</v>
      </c>
      <c r="K19" s="247" t="e">
        <f>M19/I19*1000</f>
        <v>#DIV/0!</v>
      </c>
      <c r="L19" s="248"/>
      <c r="M19" s="249"/>
      <c r="N19" s="250">
        <f t="shared" ref="N19" si="1">M19*$C$10</f>
        <v>0</v>
      </c>
      <c r="O19" s="251">
        <f t="shared" ref="O19:O26" si="2">N19/$N$35</f>
        <v>0</v>
      </c>
      <c r="P19" s="54"/>
      <c r="Q19" s="5"/>
      <c r="R19" s="143" t="s">
        <v>52</v>
      </c>
      <c r="S19" s="143">
        <f>+S16/2</f>
        <v>2042.5814603174604</v>
      </c>
    </row>
    <row r="20" spans="1:22" ht="78" hidden="1" customHeight="1" x14ac:dyDescent="0.35">
      <c r="A20" s="5"/>
      <c r="B20" s="320" t="s">
        <v>178</v>
      </c>
      <c r="C20" s="321" t="s">
        <v>71</v>
      </c>
      <c r="D20" s="321" t="s">
        <v>184</v>
      </c>
      <c r="E20" s="319" t="s">
        <v>191</v>
      </c>
      <c r="F20" s="243" t="s">
        <v>0</v>
      </c>
      <c r="G20" s="244">
        <f t="shared" si="0"/>
        <v>0</v>
      </c>
      <c r="H20" s="245">
        <v>3.0000000000000001E-3</v>
      </c>
      <c r="I20" s="244">
        <f>G20/H20</f>
        <v>0</v>
      </c>
      <c r="J20" s="325">
        <v>0.2</v>
      </c>
      <c r="K20" s="247" t="e">
        <f>M20/I20*1000</f>
        <v>#DIV/0!</v>
      </c>
      <c r="L20" s="248"/>
      <c r="M20" s="249"/>
      <c r="N20" s="250">
        <f>M20*$C$10</f>
        <v>0</v>
      </c>
      <c r="O20" s="251">
        <f t="shared" si="2"/>
        <v>0</v>
      </c>
      <c r="P20" s="54"/>
      <c r="Q20" s="5"/>
    </row>
    <row r="21" spans="1:22" ht="78" hidden="1" customHeight="1" x14ac:dyDescent="0.35">
      <c r="A21" s="5"/>
      <c r="B21" s="318" t="s">
        <v>179</v>
      </c>
      <c r="C21" s="317" t="s">
        <v>188</v>
      </c>
      <c r="D21" s="317" t="s">
        <v>185</v>
      </c>
      <c r="E21" s="319" t="s">
        <v>191</v>
      </c>
      <c r="F21" s="243" t="s">
        <v>68</v>
      </c>
      <c r="G21" s="244">
        <f>+H21*I21</f>
        <v>0</v>
      </c>
      <c r="H21" s="245">
        <v>5.0000000000000001E-3</v>
      </c>
      <c r="I21" s="244">
        <f>+(M21/K21)*1000</f>
        <v>0</v>
      </c>
      <c r="J21" s="246" t="e">
        <f>+M21/G21</f>
        <v>#DIV/0!</v>
      </c>
      <c r="K21" s="324">
        <v>5.28</v>
      </c>
      <c r="L21" s="248"/>
      <c r="M21" s="249"/>
      <c r="N21" s="250">
        <f>M21*$C$10</f>
        <v>0</v>
      </c>
      <c r="O21" s="251">
        <f t="shared" si="2"/>
        <v>0</v>
      </c>
      <c r="P21" s="54"/>
      <c r="Q21" s="5"/>
    </row>
    <row r="22" spans="1:22" ht="78" hidden="1" customHeight="1" x14ac:dyDescent="0.35">
      <c r="A22" s="5"/>
      <c r="B22" s="320" t="s">
        <v>180</v>
      </c>
      <c r="C22" s="318" t="s">
        <v>181</v>
      </c>
      <c r="D22" s="318" t="s">
        <v>190</v>
      </c>
      <c r="E22" s="319" t="s">
        <v>191</v>
      </c>
      <c r="F22" s="243" t="s">
        <v>68</v>
      </c>
      <c r="G22" s="244">
        <f>+H22*I22</f>
        <v>0</v>
      </c>
      <c r="H22" s="245">
        <v>8.0000000000000002E-3</v>
      </c>
      <c r="I22" s="244">
        <f>+(M22/K22)*1000</f>
        <v>0</v>
      </c>
      <c r="J22" s="246" t="e">
        <f>+M22/G22</f>
        <v>#DIV/0!</v>
      </c>
      <c r="K22" s="324">
        <v>15</v>
      </c>
      <c r="L22" s="248"/>
      <c r="M22" s="249"/>
      <c r="N22" s="250">
        <f>+M22*C10</f>
        <v>0</v>
      </c>
      <c r="O22" s="251">
        <f t="shared" si="2"/>
        <v>0</v>
      </c>
      <c r="P22" s="54"/>
      <c r="Q22" s="5"/>
      <c r="U22" s="151" t="s">
        <v>66</v>
      </c>
      <c r="V22" s="152" t="s">
        <v>11</v>
      </c>
    </row>
    <row r="23" spans="1:22" ht="78" hidden="1" customHeight="1" x14ac:dyDescent="0.35">
      <c r="A23" s="5"/>
      <c r="B23" s="241"/>
      <c r="C23" s="77"/>
      <c r="D23" s="153"/>
      <c r="E23" s="47"/>
      <c r="F23" s="252" t="s">
        <v>68</v>
      </c>
      <c r="G23" s="244">
        <f>I23*H23</f>
        <v>0</v>
      </c>
      <c r="H23" s="253">
        <v>0.02</v>
      </c>
      <c r="I23" s="244">
        <f>M23/J23*1000</f>
        <v>0</v>
      </c>
      <c r="J23" s="254">
        <v>1.3</v>
      </c>
      <c r="K23" s="254" t="e">
        <f>+M23/G23</f>
        <v>#DIV/0!</v>
      </c>
      <c r="L23" s="248"/>
      <c r="M23" s="316"/>
      <c r="N23" s="256">
        <f>+M23*C10</f>
        <v>0</v>
      </c>
      <c r="O23" s="251">
        <f t="shared" si="2"/>
        <v>0</v>
      </c>
      <c r="P23" s="54"/>
      <c r="Q23" s="5"/>
      <c r="U23" s="143">
        <f>+M23/6</f>
        <v>0</v>
      </c>
      <c r="V23" s="143">
        <f>+U23*D23</f>
        <v>0</v>
      </c>
    </row>
    <row r="24" spans="1:22" ht="78" hidden="1" customHeight="1" x14ac:dyDescent="0.35">
      <c r="A24" s="5"/>
      <c r="B24" s="242"/>
      <c r="C24" s="77"/>
      <c r="D24" s="153"/>
      <c r="E24" s="47"/>
      <c r="F24" s="252" t="s">
        <v>49</v>
      </c>
      <c r="G24" s="244">
        <f t="shared" ref="G24:G26" si="3">I24*H24</f>
        <v>0</v>
      </c>
      <c r="H24" s="253">
        <v>1.7999999999999999E-2</v>
      </c>
      <c r="I24" s="244">
        <f t="shared" ref="I24:I26" si="4">M24/J24*1000</f>
        <v>0</v>
      </c>
      <c r="J24" s="254">
        <v>0.2</v>
      </c>
      <c r="K24" s="254" t="e">
        <f t="shared" ref="K24:K26" si="5">+M24/G24</f>
        <v>#DIV/0!</v>
      </c>
      <c r="L24" s="248"/>
      <c r="M24" s="255"/>
      <c r="N24" s="256">
        <f>+M24*C10</f>
        <v>0</v>
      </c>
      <c r="O24" s="251">
        <f t="shared" si="2"/>
        <v>0</v>
      </c>
      <c r="P24" s="54"/>
      <c r="Q24" s="5"/>
      <c r="U24" s="143"/>
      <c r="V24" s="143"/>
    </row>
    <row r="25" spans="1:22" ht="78" hidden="1" customHeight="1" x14ac:dyDescent="0.35">
      <c r="A25" s="5"/>
      <c r="B25" s="242"/>
      <c r="C25" s="77"/>
      <c r="D25" s="153"/>
      <c r="E25" s="47"/>
      <c r="F25" s="252" t="s">
        <v>68</v>
      </c>
      <c r="G25" s="244">
        <f t="shared" si="3"/>
        <v>0</v>
      </c>
      <c r="H25" s="253">
        <v>1.7999999999999999E-2</v>
      </c>
      <c r="I25" s="244">
        <f t="shared" si="4"/>
        <v>0</v>
      </c>
      <c r="J25" s="254">
        <v>1.3</v>
      </c>
      <c r="K25" s="254" t="e">
        <f t="shared" si="5"/>
        <v>#DIV/0!</v>
      </c>
      <c r="L25" s="248"/>
      <c r="M25" s="255"/>
      <c r="N25" s="256">
        <f>+M25*C10</f>
        <v>0</v>
      </c>
      <c r="O25" s="251">
        <f t="shared" si="2"/>
        <v>0</v>
      </c>
      <c r="P25" s="54"/>
      <c r="Q25" s="5"/>
      <c r="U25" s="143"/>
      <c r="V25" s="143"/>
    </row>
    <row r="26" spans="1:22" ht="78" hidden="1" customHeight="1" x14ac:dyDescent="0.35">
      <c r="A26" s="5"/>
      <c r="B26" s="242"/>
      <c r="C26" s="77"/>
      <c r="D26" s="153"/>
      <c r="E26" s="47"/>
      <c r="F26" s="252" t="s">
        <v>68</v>
      </c>
      <c r="G26" s="244">
        <f t="shared" si="3"/>
        <v>0</v>
      </c>
      <c r="H26" s="253">
        <v>8.9999999999999993E-3</v>
      </c>
      <c r="I26" s="244">
        <f t="shared" si="4"/>
        <v>0</v>
      </c>
      <c r="J26" s="254">
        <v>1.8</v>
      </c>
      <c r="K26" s="254" t="e">
        <f t="shared" si="5"/>
        <v>#DIV/0!</v>
      </c>
      <c r="L26" s="248"/>
      <c r="M26" s="255"/>
      <c r="N26" s="256">
        <f>+M26*C10</f>
        <v>0</v>
      </c>
      <c r="O26" s="251">
        <f t="shared" si="2"/>
        <v>0</v>
      </c>
      <c r="P26" s="54"/>
      <c r="Q26" s="5"/>
      <c r="U26" s="143">
        <v>703.9</v>
      </c>
      <c r="V26" s="143">
        <f>+U26*D26</f>
        <v>0</v>
      </c>
    </row>
    <row r="27" spans="1:22" s="259" customFormat="1" ht="27" customHeight="1" x14ac:dyDescent="0.25">
      <c r="A27" s="257"/>
      <c r="B27" s="406" t="s">
        <v>26</v>
      </c>
      <c r="C27" s="406"/>
      <c r="D27" s="406"/>
      <c r="E27" s="406"/>
      <c r="F27" s="406"/>
      <c r="G27" s="210">
        <f>SUM(G15:G26)</f>
        <v>9488.75</v>
      </c>
      <c r="H27" s="211">
        <f>G27/I27</f>
        <v>3.0000000000000001E-3</v>
      </c>
      <c r="I27" s="210">
        <f>SUM(I15:I26)</f>
        <v>3162916.6666666665</v>
      </c>
      <c r="J27" s="407" t="s">
        <v>27</v>
      </c>
      <c r="K27" s="408"/>
      <c r="L27" s="248"/>
      <c r="M27" s="218">
        <f>SUM(M15:M26)</f>
        <v>3795.5</v>
      </c>
      <c r="N27" s="219">
        <f>SUM(N15:N26)</f>
        <v>12373.33</v>
      </c>
      <c r="O27" s="220">
        <f>N27/$N$35</f>
        <v>0.96153846153846156</v>
      </c>
      <c r="P27" s="258"/>
      <c r="Q27" s="257"/>
      <c r="V27" s="260">
        <f>SUM(V23:V26)</f>
        <v>0</v>
      </c>
    </row>
    <row r="28" spans="1:22" s="92" customFormat="1" ht="21" customHeight="1" x14ac:dyDescent="0.35">
      <c r="A28" s="90"/>
      <c r="B28" s="106" t="s">
        <v>41</v>
      </c>
      <c r="C28" s="107"/>
      <c r="D28" s="107"/>
      <c r="E28" s="107"/>
      <c r="F28" s="107"/>
      <c r="G28" s="100"/>
      <c r="H28" s="101"/>
      <c r="I28" s="100"/>
      <c r="J28" s="102"/>
      <c r="K28" s="102"/>
      <c r="L28" s="248"/>
      <c r="M28" s="102"/>
      <c r="N28" s="103"/>
      <c r="O28" s="122"/>
      <c r="P28" s="104"/>
      <c r="Q28" s="90"/>
      <c r="U28" s="1"/>
    </row>
    <row r="29" spans="1:22" s="310" customFormat="1" ht="21" customHeight="1" x14ac:dyDescent="0.3">
      <c r="A29" s="300"/>
      <c r="B29" s="373" t="s">
        <v>58</v>
      </c>
      <c r="C29" s="374"/>
      <c r="D29" s="374"/>
      <c r="E29" s="374"/>
      <c r="F29" s="374"/>
      <c r="G29" s="301">
        <v>0.04</v>
      </c>
      <c r="H29" s="302"/>
      <c r="I29" s="303"/>
      <c r="J29" s="304"/>
      <c r="K29" s="305"/>
      <c r="L29" s="306"/>
      <c r="M29" s="307">
        <f>(M16+M19+M20+M21+M23+M26+M22+M25+M24+M17+M18+M15)*G29</f>
        <v>151.82</v>
      </c>
      <c r="N29" s="250">
        <f>M29*$C$10</f>
        <v>494.93319999999994</v>
      </c>
      <c r="O29" s="308"/>
      <c r="P29" s="309"/>
      <c r="Q29" s="300"/>
      <c r="U29" s="267"/>
      <c r="V29" s="267"/>
    </row>
    <row r="30" spans="1:22" s="267" customFormat="1" ht="21" hidden="1" customHeight="1" x14ac:dyDescent="0.3">
      <c r="A30" s="261"/>
      <c r="B30" s="373" t="s">
        <v>183</v>
      </c>
      <c r="C30" s="374"/>
      <c r="D30" s="374"/>
      <c r="E30" s="374"/>
      <c r="F30" s="374"/>
      <c r="G30" s="311">
        <v>0.15</v>
      </c>
      <c r="H30" s="312"/>
      <c r="I30" s="313"/>
      <c r="J30" s="304"/>
      <c r="K30" s="305"/>
      <c r="L30" s="306"/>
      <c r="M30" s="314">
        <f>(M20+M19)*G30</f>
        <v>0</v>
      </c>
      <c r="N30" s="250">
        <f>M30*$C$10</f>
        <v>0</v>
      </c>
      <c r="O30" s="308"/>
      <c r="P30" s="266"/>
      <c r="Q30" s="261"/>
    </row>
    <row r="31" spans="1:22" s="267" customFormat="1" ht="21" hidden="1" customHeight="1" x14ac:dyDescent="0.3">
      <c r="A31" s="261"/>
      <c r="B31" s="373" t="s">
        <v>169</v>
      </c>
      <c r="C31" s="374"/>
      <c r="D31" s="374"/>
      <c r="E31" s="374"/>
      <c r="F31" s="374"/>
      <c r="G31" s="311">
        <v>0.15</v>
      </c>
      <c r="H31" s="312"/>
      <c r="I31" s="313"/>
      <c r="J31" s="304"/>
      <c r="K31" s="305"/>
      <c r="L31" s="306"/>
      <c r="M31" s="314"/>
      <c r="N31" s="250">
        <f>M31*$C$10</f>
        <v>0</v>
      </c>
      <c r="O31" s="308"/>
      <c r="P31" s="266"/>
      <c r="Q31" s="261"/>
    </row>
    <row r="32" spans="1:22" s="267" customFormat="1" ht="21" hidden="1" customHeight="1" x14ac:dyDescent="0.3">
      <c r="A32" s="261"/>
      <c r="B32" s="373" t="s">
        <v>41</v>
      </c>
      <c r="C32" s="374"/>
      <c r="D32" s="374"/>
      <c r="E32" s="374"/>
      <c r="F32" s="374"/>
      <c r="G32" s="311">
        <v>0.15</v>
      </c>
      <c r="H32" s="312"/>
      <c r="I32" s="313"/>
      <c r="J32" s="304"/>
      <c r="K32" s="305"/>
      <c r="L32" s="306"/>
      <c r="M32" s="314">
        <f>(M23+M26+M25)*G32</f>
        <v>0</v>
      </c>
      <c r="N32" s="250">
        <f t="shared" ref="N32" si="6">M32*$C$10</f>
        <v>0</v>
      </c>
      <c r="O32" s="308"/>
      <c r="P32" s="266"/>
      <c r="Q32" s="261"/>
    </row>
    <row r="33" spans="1:25" s="267" customFormat="1" ht="21" customHeight="1" x14ac:dyDescent="0.3">
      <c r="A33" s="261"/>
      <c r="B33" s="369" t="s">
        <v>35</v>
      </c>
      <c r="C33" s="370"/>
      <c r="D33" s="370"/>
      <c r="E33" s="370"/>
      <c r="F33" s="370"/>
      <c r="G33" s="370"/>
      <c r="H33" s="370"/>
      <c r="I33" s="370"/>
      <c r="J33" s="370"/>
      <c r="K33" s="371"/>
      <c r="L33" s="262"/>
      <c r="M33" s="268">
        <f>SUM(M29:M32)</f>
        <v>151.82</v>
      </c>
      <c r="N33" s="269">
        <f>SUM(N29:N32)</f>
        <v>494.93319999999994</v>
      </c>
      <c r="O33" s="270">
        <f>N33/$N$35</f>
        <v>3.8461538461538457E-2</v>
      </c>
      <c r="P33" s="266"/>
      <c r="Q33" s="261"/>
    </row>
    <row r="34" spans="1:25" s="267" customFormat="1" ht="21" customHeight="1" x14ac:dyDescent="0.3">
      <c r="A34" s="271"/>
      <c r="B34" s="272"/>
      <c r="C34" s="273"/>
      <c r="D34" s="274"/>
      <c r="E34" s="275"/>
      <c r="F34" s="276"/>
      <c r="G34" s="277"/>
      <c r="H34" s="278"/>
      <c r="I34" s="279"/>
      <c r="J34" s="280"/>
      <c r="K34" s="281"/>
      <c r="L34" s="282"/>
      <c r="M34" s="280"/>
      <c r="N34" s="283"/>
      <c r="O34" s="284"/>
      <c r="P34" s="285"/>
      <c r="Q34" s="271"/>
    </row>
    <row r="35" spans="1:25" s="267" customFormat="1" ht="18.75" x14ac:dyDescent="0.3">
      <c r="A35" s="271"/>
      <c r="B35" s="286"/>
      <c r="C35" s="271"/>
      <c r="D35" s="271"/>
      <c r="E35" s="271"/>
      <c r="F35" s="271"/>
      <c r="G35" s="271"/>
      <c r="H35" s="271"/>
      <c r="I35" s="271"/>
      <c r="J35" s="405" t="s">
        <v>28</v>
      </c>
      <c r="K35" s="405"/>
      <c r="L35" s="287"/>
      <c r="M35" s="263">
        <f>SUM(M33,M27)</f>
        <v>3947.32</v>
      </c>
      <c r="N35" s="264">
        <f>SUM(N33,N27)</f>
        <v>12868.263199999999</v>
      </c>
      <c r="O35" s="265">
        <f>N35/$N$35</f>
        <v>1</v>
      </c>
      <c r="P35" s="271"/>
      <c r="Q35" s="271"/>
    </row>
    <row r="36" spans="1:25" s="267" customFormat="1" ht="18.75" x14ac:dyDescent="0.3">
      <c r="A36" s="271"/>
      <c r="B36" s="286" t="s">
        <v>159</v>
      </c>
      <c r="C36" s="271"/>
      <c r="D36" s="271"/>
      <c r="E36" s="271"/>
      <c r="F36" s="271"/>
      <c r="G36" s="271"/>
      <c r="H36" s="271"/>
      <c r="I36" s="271"/>
      <c r="J36" s="271"/>
      <c r="K36" s="271"/>
      <c r="L36" s="287"/>
      <c r="M36" s="271"/>
      <c r="N36" s="131"/>
      <c r="O36" s="288"/>
      <c r="P36" s="271"/>
      <c r="Q36" s="271"/>
    </row>
    <row r="37" spans="1:25" s="267" customFormat="1" ht="18.75" x14ac:dyDescent="0.3">
      <c r="A37" s="271"/>
      <c r="B37" s="286"/>
      <c r="C37" s="271"/>
      <c r="D37" s="271"/>
      <c r="E37" s="289"/>
      <c r="F37" s="271"/>
      <c r="G37" s="271"/>
      <c r="H37" s="271"/>
      <c r="I37" s="290"/>
      <c r="J37" s="261"/>
      <c r="K37" s="271"/>
      <c r="L37" s="287"/>
      <c r="N37" s="291"/>
      <c r="O37" s="292"/>
      <c r="P37" s="293"/>
      <c r="Q37" s="294"/>
    </row>
    <row r="38" spans="1:25" s="267" customFormat="1" ht="18.75" x14ac:dyDescent="0.3">
      <c r="A38" s="271"/>
      <c r="B38" s="286"/>
      <c r="C38" s="271"/>
      <c r="D38" s="271"/>
      <c r="E38" s="271"/>
      <c r="F38" s="271"/>
      <c r="G38" s="271"/>
      <c r="H38" s="271"/>
      <c r="I38" s="271"/>
      <c r="J38" s="271"/>
      <c r="K38" s="271"/>
      <c r="L38" s="287"/>
      <c r="M38" s="271"/>
      <c r="N38" s="271"/>
      <c r="O38" s="288"/>
      <c r="P38" s="293"/>
      <c r="Q38" s="294"/>
    </row>
    <row r="39" spans="1:25" s="267" customFormat="1" ht="18.75" x14ac:dyDescent="0.3">
      <c r="A39" s="271"/>
      <c r="B39" s="286"/>
      <c r="C39" s="271"/>
      <c r="D39" s="271"/>
      <c r="E39" s="271"/>
      <c r="F39" s="271"/>
      <c r="G39" s="271"/>
      <c r="H39" s="271"/>
      <c r="I39" s="271"/>
      <c r="J39" s="271"/>
      <c r="K39" s="271"/>
      <c r="L39" s="287"/>
      <c r="M39" s="271"/>
      <c r="O39" s="288"/>
      <c r="P39" s="293"/>
      <c r="Q39" s="294"/>
    </row>
    <row r="40" spans="1:25" s="267" customFormat="1" ht="18.75" x14ac:dyDescent="0.3">
      <c r="A40" s="271"/>
      <c r="B40" s="286"/>
      <c r="C40" s="271"/>
      <c r="D40" s="271"/>
      <c r="E40" s="271"/>
      <c r="F40" s="271"/>
      <c r="G40" s="271"/>
      <c r="H40" s="271"/>
      <c r="I40" s="271"/>
      <c r="J40" s="271"/>
      <c r="K40" s="271"/>
      <c r="L40" s="287"/>
      <c r="M40" s="261" t="s">
        <v>196</v>
      </c>
      <c r="N40" s="295">
        <f>68694</f>
        <v>68694</v>
      </c>
      <c r="O40" s="288"/>
      <c r="P40" s="293"/>
      <c r="Q40" s="285"/>
    </row>
    <row r="41" spans="1:25" s="267" customFormat="1" ht="18.75" x14ac:dyDescent="0.3">
      <c r="B41" s="296"/>
      <c r="L41" s="297"/>
      <c r="M41" s="328" t="s">
        <v>197</v>
      </c>
      <c r="N41" s="327">
        <f>+N40-N35</f>
        <v>55825.736799999999</v>
      </c>
      <c r="O41" s="298"/>
    </row>
    <row r="42" spans="1:25" s="267" customFormat="1" ht="18.75" x14ac:dyDescent="0.3">
      <c r="B42" s="296"/>
      <c r="L42" s="297"/>
      <c r="M42" s="328" t="s">
        <v>198</v>
      </c>
      <c r="N42" s="299">
        <f>+N35/C10</f>
        <v>3947.32</v>
      </c>
      <c r="O42" s="298"/>
    </row>
    <row r="43" spans="1:25" x14ac:dyDescent="0.35">
      <c r="N43" s="155"/>
    </row>
    <row r="48" spans="1:25" x14ac:dyDescent="0.35">
      <c r="Y48" s="154"/>
    </row>
    <row r="49" spans="21:25" x14ac:dyDescent="0.35">
      <c r="U49" s="1">
        <f>+X49*$G$29*G32</f>
        <v>0</v>
      </c>
      <c r="Y49" s="154"/>
    </row>
    <row r="50" spans="21:25" x14ac:dyDescent="0.35">
      <c r="U50" s="1">
        <f>+(X50*$G$29)*G30</f>
        <v>0</v>
      </c>
      <c r="Y50" s="154"/>
    </row>
    <row r="51" spans="21:25" x14ac:dyDescent="0.35">
      <c r="U51" s="1">
        <f>+X51*$G$29</f>
        <v>0</v>
      </c>
      <c r="Y51" s="154"/>
    </row>
    <row r="52" spans="21:25" x14ac:dyDescent="0.35">
      <c r="U52" s="1">
        <f>+X52*$G$29</f>
        <v>0</v>
      </c>
      <c r="Y52" s="154"/>
    </row>
    <row r="53" spans="21:25" x14ac:dyDescent="0.35">
      <c r="U53" s="1">
        <f>+X53*$G$29</f>
        <v>0</v>
      </c>
      <c r="Y53" s="154"/>
    </row>
    <row r="56" spans="21:25" x14ac:dyDescent="0.35">
      <c r="Y56" s="154"/>
    </row>
  </sheetData>
  <mergeCells count="14">
    <mergeCell ref="B33:K33"/>
    <mergeCell ref="J35:K35"/>
    <mergeCell ref="B27:F27"/>
    <mergeCell ref="J27:K27"/>
    <mergeCell ref="B29:F29"/>
    <mergeCell ref="B30:F30"/>
    <mergeCell ref="B31:F31"/>
    <mergeCell ref="B32:F32"/>
    <mergeCell ref="B14:K14"/>
    <mergeCell ref="C2:D2"/>
    <mergeCell ref="C4:D4"/>
    <mergeCell ref="C6:D6"/>
    <mergeCell ref="C8:D8"/>
    <mergeCell ref="C10:D10"/>
  </mergeCells>
  <conditionalFormatting sqref="M14 L11:M13 M21">
    <cfRule type="cellIs" dxfId="191" priority="15" stopIfTrue="1" operator="equal">
      <formula>0</formula>
    </cfRule>
    <cfRule type="expression" dxfId="190" priority="16" stopIfTrue="1">
      <formula>ISERROR(L11)</formula>
    </cfRule>
  </conditionalFormatting>
  <conditionalFormatting sqref="L16:M16 L17:L18">
    <cfRule type="cellIs" dxfId="189" priority="13" stopIfTrue="1" operator="equal">
      <formula>0</formula>
    </cfRule>
    <cfRule type="expression" dxfId="188" priority="14" stopIfTrue="1">
      <formula>ISERROR(L16)</formula>
    </cfRule>
  </conditionalFormatting>
  <conditionalFormatting sqref="M23:M25">
    <cfRule type="cellIs" dxfId="187" priority="11" stopIfTrue="1" operator="equal">
      <formula>0</formula>
    </cfRule>
    <cfRule type="expression" dxfId="186" priority="12" stopIfTrue="1">
      <formula>ISERROR(M23)</formula>
    </cfRule>
  </conditionalFormatting>
  <conditionalFormatting sqref="M20">
    <cfRule type="cellIs" dxfId="185" priority="9" stopIfTrue="1" operator="equal">
      <formula>0</formula>
    </cfRule>
    <cfRule type="expression" dxfId="184" priority="10" stopIfTrue="1">
      <formula>ISERROR(M20)</formula>
    </cfRule>
  </conditionalFormatting>
  <conditionalFormatting sqref="L19:M19 L20:L28">
    <cfRule type="cellIs" dxfId="183" priority="7" stopIfTrue="1" operator="equal">
      <formula>0</formula>
    </cfRule>
    <cfRule type="expression" dxfId="182" priority="8" stopIfTrue="1">
      <formula>ISERROR(L19)</formula>
    </cfRule>
  </conditionalFormatting>
  <conditionalFormatting sqref="M22">
    <cfRule type="cellIs" dxfId="181" priority="5" stopIfTrue="1" operator="equal">
      <formula>0</formula>
    </cfRule>
    <cfRule type="expression" dxfId="180" priority="6" stopIfTrue="1">
      <formula>ISERROR(M22)</formula>
    </cfRule>
  </conditionalFormatting>
  <conditionalFormatting sqref="M17:M18">
    <cfRule type="cellIs" dxfId="179" priority="3" stopIfTrue="1" operator="equal">
      <formula>0</formula>
    </cfRule>
    <cfRule type="expression" dxfId="178" priority="4" stopIfTrue="1">
      <formula>ISERROR(M17)</formula>
    </cfRule>
  </conditionalFormatting>
  <conditionalFormatting sqref="L15:M15">
    <cfRule type="cellIs" dxfId="177" priority="1" stopIfTrue="1" operator="equal">
      <formula>0</formula>
    </cfRule>
    <cfRule type="expression" dxfId="176" priority="2" stopIfTrue="1">
      <formula>ISERROR(L15)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Y57"/>
  <sheetViews>
    <sheetView showGridLines="0" zoomScale="50" zoomScaleNormal="50" workbookViewId="0">
      <pane ySplit="10" topLeftCell="A11" activePane="bottomLeft" state="frozen"/>
      <selection activeCell="M15" sqref="M15:M16"/>
      <selection pane="bottomLeft" activeCell="M15" sqref="M15:M16"/>
    </sheetView>
  </sheetViews>
  <sheetFormatPr baseColWidth="10" defaultRowHeight="21" x14ac:dyDescent="0.35"/>
  <cols>
    <col min="1" max="1" width="4" style="1" customWidth="1"/>
    <col min="2" max="2" width="31.140625" style="2" customWidth="1"/>
    <col min="3" max="3" width="37.5703125" style="1" customWidth="1"/>
    <col min="4" max="4" width="55.7109375" style="1" customWidth="1"/>
    <col min="5" max="5" width="49.28515625" style="1" customWidth="1"/>
    <col min="6" max="6" width="24.7109375" style="1" customWidth="1"/>
    <col min="7" max="7" width="18.7109375" style="1" customWidth="1"/>
    <col min="8" max="8" width="21.7109375" style="1" customWidth="1"/>
    <col min="9" max="9" width="24.5703125" style="1" customWidth="1"/>
    <col min="10" max="10" width="24.140625" style="1" customWidth="1"/>
    <col min="11" max="11" width="22.85546875" style="1" customWidth="1"/>
    <col min="12" max="12" width="5.140625" style="4" customWidth="1"/>
    <col min="13" max="13" width="21.7109375" style="1" customWidth="1"/>
    <col min="14" max="14" width="25.7109375" style="1" customWidth="1"/>
    <col min="15" max="15" width="19.85546875" style="126" customWidth="1"/>
    <col min="16" max="17" width="11.42578125" style="1"/>
    <col min="18" max="18" width="20.85546875" style="1" hidden="1" customWidth="1"/>
    <col min="19" max="19" width="23.42578125" style="1" hidden="1" customWidth="1"/>
    <col min="20" max="20" width="11.42578125" style="1"/>
    <col min="21" max="21" width="23.5703125" style="1" hidden="1" customWidth="1"/>
    <col min="22" max="22" width="19.28515625" style="1" hidden="1" customWidth="1"/>
    <col min="23" max="23" width="15.42578125" style="1" bestFit="1" customWidth="1"/>
    <col min="24" max="24" width="21.85546875" style="1" customWidth="1"/>
    <col min="25" max="25" width="19.5703125" style="1" customWidth="1"/>
    <col min="26" max="16384" width="11.42578125" style="1"/>
  </cols>
  <sheetData>
    <row r="1" spans="1:19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7"/>
      <c r="M1" s="5"/>
      <c r="N1" s="5"/>
      <c r="O1" s="115"/>
      <c r="P1" s="5"/>
      <c r="Q1" s="5"/>
    </row>
    <row r="2" spans="1:19" ht="20.25" customHeight="1" x14ac:dyDescent="0.35">
      <c r="A2" s="5"/>
      <c r="B2" s="221" t="s">
        <v>3</v>
      </c>
      <c r="C2" s="381" t="s">
        <v>32</v>
      </c>
      <c r="D2" s="383"/>
      <c r="E2" s="5"/>
      <c r="F2" s="5"/>
      <c r="G2" s="5"/>
      <c r="H2" s="5"/>
      <c r="I2" s="5"/>
      <c r="J2" s="5"/>
      <c r="K2" s="7"/>
      <c r="L2" s="5"/>
      <c r="M2" s="5"/>
      <c r="N2" s="5"/>
      <c r="O2" s="115"/>
      <c r="P2" s="5"/>
    </row>
    <row r="3" spans="1:19" ht="3.75" customHeight="1" x14ac:dyDescent="0.35">
      <c r="A3" s="7"/>
      <c r="B3" s="8"/>
      <c r="C3" s="9"/>
      <c r="D3" s="10"/>
      <c r="E3" s="7"/>
      <c r="F3" s="7"/>
      <c r="G3" s="7"/>
      <c r="H3" s="7"/>
      <c r="I3" s="7"/>
      <c r="J3" s="7"/>
      <c r="K3" s="7"/>
      <c r="L3" s="7"/>
      <c r="M3" s="7"/>
      <c r="N3" s="7"/>
      <c r="O3" s="116"/>
      <c r="P3" s="7"/>
    </row>
    <row r="4" spans="1:19" ht="14.25" customHeight="1" x14ac:dyDescent="0.35">
      <c r="A4" s="5"/>
      <c r="B4" s="221" t="s">
        <v>4</v>
      </c>
      <c r="C4" s="381" t="s">
        <v>50</v>
      </c>
      <c r="D4" s="383"/>
      <c r="E4" s="5"/>
      <c r="F4" s="5"/>
      <c r="G4" s="5"/>
      <c r="H4" s="5"/>
      <c r="I4" s="5"/>
      <c r="J4" s="5"/>
      <c r="K4" s="7"/>
      <c r="L4" s="5"/>
      <c r="M4" s="5"/>
      <c r="N4" s="5"/>
      <c r="O4" s="115"/>
      <c r="P4" s="5"/>
    </row>
    <row r="5" spans="1:19" ht="3.75" customHeight="1" x14ac:dyDescent="0.35">
      <c r="A5" s="7"/>
      <c r="B5" s="8"/>
      <c r="C5" s="9"/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116"/>
      <c r="P5" s="7"/>
    </row>
    <row r="6" spans="1:19" ht="15.75" customHeight="1" x14ac:dyDescent="0.35">
      <c r="A6" s="5"/>
      <c r="B6" s="221" t="s">
        <v>5</v>
      </c>
      <c r="C6" s="381" t="s">
        <v>17</v>
      </c>
      <c r="D6" s="383"/>
      <c r="E6" s="5"/>
      <c r="F6" s="5"/>
      <c r="G6" s="5"/>
      <c r="H6" s="5"/>
      <c r="I6" s="5"/>
      <c r="J6" s="5"/>
      <c r="K6" s="7"/>
      <c r="L6" s="5"/>
      <c r="M6" s="5"/>
      <c r="N6" s="5"/>
      <c r="O6" s="115"/>
      <c r="P6" s="5"/>
    </row>
    <row r="7" spans="1:19" ht="3.75" customHeight="1" x14ac:dyDescent="0.35">
      <c r="A7" s="7"/>
      <c r="B7" s="8"/>
      <c r="C7" s="9"/>
      <c r="D7" s="10"/>
      <c r="E7" s="7"/>
      <c r="F7" s="7"/>
      <c r="G7" s="7"/>
      <c r="H7" s="7"/>
      <c r="I7" s="7"/>
      <c r="J7" s="7"/>
      <c r="K7" s="7"/>
      <c r="L7" s="7"/>
      <c r="M7" s="7"/>
      <c r="N7" s="7"/>
      <c r="O7" s="116"/>
      <c r="P7" s="7"/>
    </row>
    <row r="8" spans="1:19" ht="14.25" customHeight="1" x14ac:dyDescent="0.35">
      <c r="A8" s="5"/>
      <c r="B8" s="221" t="s">
        <v>6</v>
      </c>
      <c r="C8" s="384">
        <f ca="1">TODAY()</f>
        <v>42808</v>
      </c>
      <c r="D8" s="386"/>
      <c r="E8" s="11"/>
      <c r="F8" s="5"/>
      <c r="G8" s="5"/>
      <c r="H8" s="5"/>
      <c r="I8" s="5"/>
      <c r="J8" s="5"/>
      <c r="K8" s="7"/>
      <c r="L8" s="5"/>
      <c r="M8" s="5"/>
      <c r="N8" s="5"/>
      <c r="O8" s="115"/>
      <c r="P8" s="41"/>
    </row>
    <row r="9" spans="1:19" ht="3.75" customHeight="1" x14ac:dyDescent="0.35">
      <c r="A9" s="7"/>
      <c r="B9" s="8"/>
      <c r="C9" s="9"/>
      <c r="D9" s="10"/>
      <c r="E9" s="14"/>
      <c r="F9" s="7"/>
      <c r="G9" s="7"/>
      <c r="H9" s="7"/>
      <c r="I9" s="7"/>
      <c r="J9" s="7"/>
      <c r="K9" s="7"/>
      <c r="L9" s="7"/>
      <c r="M9" s="7"/>
      <c r="N9" s="7"/>
      <c r="O9" s="116"/>
      <c r="P9" s="42"/>
    </row>
    <row r="10" spans="1:19" s="3" customFormat="1" ht="15.75" customHeight="1" x14ac:dyDescent="0.35">
      <c r="A10" s="5"/>
      <c r="B10" s="221" t="s">
        <v>16</v>
      </c>
      <c r="C10" s="403">
        <v>3.26</v>
      </c>
      <c r="D10" s="404"/>
      <c r="E10" s="11"/>
      <c r="F10" s="5"/>
      <c r="G10" s="5"/>
      <c r="H10" s="5"/>
      <c r="I10" s="5"/>
      <c r="J10" s="5"/>
      <c r="K10" s="7"/>
      <c r="L10" s="5"/>
      <c r="M10" s="5"/>
      <c r="N10" s="5"/>
      <c r="O10" s="115"/>
      <c r="P10" s="41"/>
    </row>
    <row r="11" spans="1:19" s="3" customFormat="1" ht="26.25" customHeight="1" x14ac:dyDescent="0.35">
      <c r="A11" s="5"/>
      <c r="B11" s="5"/>
      <c r="C11" s="41"/>
      <c r="D11" s="5"/>
      <c r="E11" s="5"/>
      <c r="F11" s="5"/>
      <c r="G11" s="5"/>
      <c r="H11" s="5"/>
      <c r="I11" s="5"/>
      <c r="J11" s="5"/>
      <c r="K11" s="5"/>
      <c r="L11" s="7"/>
      <c r="M11" s="5"/>
      <c r="N11" s="5"/>
      <c r="O11" s="115"/>
      <c r="P11" s="5"/>
      <c r="Q11" s="41"/>
    </row>
    <row r="12" spans="1:19" ht="39.75" customHeight="1" x14ac:dyDescent="0.35">
      <c r="A12" s="15"/>
      <c r="B12" s="209" t="s">
        <v>7</v>
      </c>
      <c r="C12" s="209" t="s">
        <v>18</v>
      </c>
      <c r="D12" s="209" t="s">
        <v>19</v>
      </c>
      <c r="E12" s="209" t="s">
        <v>20</v>
      </c>
      <c r="F12" s="209" t="s">
        <v>8</v>
      </c>
      <c r="G12" s="209" t="s">
        <v>168</v>
      </c>
      <c r="H12" s="209" t="s">
        <v>21</v>
      </c>
      <c r="I12" s="209" t="s">
        <v>22</v>
      </c>
      <c r="J12" s="209" t="s">
        <v>161</v>
      </c>
      <c r="K12" s="209" t="s">
        <v>162</v>
      </c>
      <c r="L12" s="43"/>
      <c r="M12" s="212" t="s">
        <v>24</v>
      </c>
      <c r="N12" s="213" t="s">
        <v>25</v>
      </c>
      <c r="O12" s="214" t="s">
        <v>43</v>
      </c>
      <c r="P12" s="44"/>
      <c r="Q12" s="15"/>
    </row>
    <row r="13" spans="1:19" ht="5.25" customHeight="1" x14ac:dyDescent="0.35">
      <c r="A13" s="5"/>
      <c r="B13" s="11"/>
      <c r="C13" s="5"/>
      <c r="D13" s="5"/>
      <c r="E13" s="5"/>
      <c r="F13" s="5"/>
      <c r="G13" s="5"/>
      <c r="H13" s="5"/>
      <c r="I13" s="5"/>
      <c r="J13" s="5"/>
      <c r="K13" s="5"/>
      <c r="L13" s="7"/>
      <c r="M13" s="5"/>
      <c r="N13" s="5"/>
      <c r="O13" s="115"/>
      <c r="P13" s="5"/>
      <c r="Q13" s="5"/>
    </row>
    <row r="14" spans="1:19" ht="22.5" customHeight="1" x14ac:dyDescent="0.35">
      <c r="A14" s="5"/>
      <c r="B14" s="400" t="s">
        <v>187</v>
      </c>
      <c r="C14" s="401"/>
      <c r="D14" s="401"/>
      <c r="E14" s="401"/>
      <c r="F14" s="401"/>
      <c r="G14" s="401"/>
      <c r="H14" s="401"/>
      <c r="I14" s="401"/>
      <c r="J14" s="401"/>
      <c r="K14" s="402"/>
      <c r="L14" s="45"/>
      <c r="M14" s="215"/>
      <c r="N14" s="216"/>
      <c r="O14" s="217"/>
      <c r="P14" s="45"/>
      <c r="Q14" s="5"/>
    </row>
    <row r="15" spans="1:19" ht="78" hidden="1" customHeight="1" x14ac:dyDescent="0.35">
      <c r="A15" s="5"/>
      <c r="B15" s="326" t="s">
        <v>174</v>
      </c>
      <c r="C15" s="317" t="s">
        <v>175</v>
      </c>
      <c r="D15" s="315" t="s">
        <v>176</v>
      </c>
      <c r="E15" s="319" t="s">
        <v>191</v>
      </c>
      <c r="F15" s="243" t="s">
        <v>0</v>
      </c>
      <c r="G15" s="244">
        <f>M15/J15</f>
        <v>0</v>
      </c>
      <c r="H15" s="322">
        <v>3.0000000000000001E-3</v>
      </c>
      <c r="I15" s="323">
        <f>G15/H15</f>
        <v>0</v>
      </c>
      <c r="J15" s="325">
        <v>0.4</v>
      </c>
      <c r="K15" s="247" t="e">
        <f>M15/I15*1000</f>
        <v>#DIV/0!</v>
      </c>
      <c r="L15" s="248"/>
      <c r="M15" s="249"/>
      <c r="N15" s="250">
        <f>M15*$C$10</f>
        <v>0</v>
      </c>
      <c r="O15" s="251">
        <f>N15/$N$36</f>
        <v>0</v>
      </c>
      <c r="P15" s="54"/>
      <c r="Q15" s="5"/>
      <c r="R15" s="143" t="s">
        <v>51</v>
      </c>
      <c r="S15" s="143">
        <f>+N36/3.15</f>
        <v>3875.8191746031744</v>
      </c>
    </row>
    <row r="16" spans="1:19" ht="78" customHeight="1" x14ac:dyDescent="0.35">
      <c r="A16" s="5"/>
      <c r="B16" s="326" t="s">
        <v>182</v>
      </c>
      <c r="C16" s="317" t="s">
        <v>194</v>
      </c>
      <c r="D16" s="317" t="s">
        <v>195</v>
      </c>
      <c r="E16" s="319" t="s">
        <v>192</v>
      </c>
      <c r="F16" s="243" t="s">
        <v>68</v>
      </c>
      <c r="G16" s="244">
        <f>+H16*I16</f>
        <v>32307.692307692309</v>
      </c>
      <c r="H16" s="322">
        <v>0.7</v>
      </c>
      <c r="I16" s="244">
        <f>+(M16/K16)*1000</f>
        <v>46153.846153846156</v>
      </c>
      <c r="J16" s="246">
        <f>+M16/G16</f>
        <v>3.7142857142857144E-2</v>
      </c>
      <c r="K16" s="324">
        <v>26</v>
      </c>
      <c r="L16" s="248"/>
      <c r="M16" s="249">
        <v>1200</v>
      </c>
      <c r="N16" s="250">
        <f>M16*$C$10</f>
        <v>3911.9999999999995</v>
      </c>
      <c r="O16" s="251">
        <f>N16/$N$36</f>
        <v>0.32042381389784885</v>
      </c>
      <c r="P16" s="54"/>
      <c r="Q16" s="5"/>
      <c r="R16" s="143"/>
      <c r="S16" s="143"/>
    </row>
    <row r="17" spans="1:22" ht="78" hidden="1" customHeight="1" x14ac:dyDescent="0.35">
      <c r="A17" s="5"/>
      <c r="B17" s="326" t="s">
        <v>182</v>
      </c>
      <c r="C17" s="317" t="s">
        <v>194</v>
      </c>
      <c r="D17" s="317" t="s">
        <v>189</v>
      </c>
      <c r="E17" s="319" t="s">
        <v>193</v>
      </c>
      <c r="F17" s="243" t="s">
        <v>68</v>
      </c>
      <c r="G17" s="244">
        <f>+H17*I17</f>
        <v>0</v>
      </c>
      <c r="H17" s="322">
        <v>0.7</v>
      </c>
      <c r="I17" s="244">
        <f>+(M17/K17)*1000</f>
        <v>0</v>
      </c>
      <c r="J17" s="246" t="e">
        <f>+M17/G17</f>
        <v>#DIV/0!</v>
      </c>
      <c r="K17" s="324">
        <v>26</v>
      </c>
      <c r="L17" s="248"/>
      <c r="M17" s="249"/>
      <c r="N17" s="250">
        <f>M17*$C$10</f>
        <v>0</v>
      </c>
      <c r="O17" s="251">
        <f>N17/$N$36</f>
        <v>0</v>
      </c>
      <c r="P17" s="54"/>
      <c r="Q17" s="5"/>
      <c r="R17" s="143"/>
      <c r="S17" s="143"/>
    </row>
    <row r="18" spans="1:22" ht="78" hidden="1" customHeight="1" x14ac:dyDescent="0.35">
      <c r="A18" s="5"/>
      <c r="B18" s="326" t="s">
        <v>182</v>
      </c>
      <c r="C18" s="317" t="s">
        <v>194</v>
      </c>
      <c r="D18" s="317" t="s">
        <v>186</v>
      </c>
      <c r="E18" s="319" t="s">
        <v>191</v>
      </c>
      <c r="F18" s="243" t="s">
        <v>68</v>
      </c>
      <c r="G18" s="244">
        <f>+H18*I18</f>
        <v>0</v>
      </c>
      <c r="H18" s="322">
        <v>0.4</v>
      </c>
      <c r="I18" s="244">
        <f>+(M18/K18)*1000</f>
        <v>0</v>
      </c>
      <c r="J18" s="246" t="e">
        <f>+M18/G18</f>
        <v>#DIV/0!</v>
      </c>
      <c r="K18" s="324">
        <v>31</v>
      </c>
      <c r="L18" s="248"/>
      <c r="M18" s="249"/>
      <c r="N18" s="250">
        <f>M18*$C$10</f>
        <v>0</v>
      </c>
      <c r="O18" s="251">
        <f>N18/$N$36</f>
        <v>0</v>
      </c>
      <c r="P18" s="54"/>
      <c r="Q18" s="5"/>
      <c r="R18" s="143"/>
      <c r="S18" s="143"/>
    </row>
    <row r="19" spans="1:22" ht="78" customHeight="1" x14ac:dyDescent="0.35">
      <c r="A19" s="5"/>
      <c r="B19" s="326" t="s">
        <v>182</v>
      </c>
      <c r="C19" s="317" t="s">
        <v>194</v>
      </c>
      <c r="D19" s="317" t="s">
        <v>195</v>
      </c>
      <c r="E19" s="319" t="s">
        <v>193</v>
      </c>
      <c r="F19" s="243" t="s">
        <v>68</v>
      </c>
      <c r="G19" s="244">
        <f>+H19*I19</f>
        <v>30980.645161290322</v>
      </c>
      <c r="H19" s="322">
        <v>0.4</v>
      </c>
      <c r="I19" s="244">
        <f>+(M19/K19)*1000</f>
        <v>77451.612903225803</v>
      </c>
      <c r="J19" s="246">
        <f>+M19/G19</f>
        <v>7.7499999999999999E-2</v>
      </c>
      <c r="K19" s="324">
        <v>31</v>
      </c>
      <c r="L19" s="248"/>
      <c r="M19" s="249">
        <v>2401</v>
      </c>
      <c r="N19" s="250">
        <f>M19*$C$10</f>
        <v>7827.2599999999993</v>
      </c>
      <c r="O19" s="251">
        <f>N19/$N$36</f>
        <v>0.64111464764061266</v>
      </c>
      <c r="P19" s="54"/>
      <c r="Q19" s="5"/>
      <c r="R19" s="143"/>
      <c r="S19" s="143"/>
    </row>
    <row r="20" spans="1:22" ht="78" hidden="1" customHeight="1" x14ac:dyDescent="0.35">
      <c r="A20" s="5"/>
      <c r="B20" s="320" t="s">
        <v>178</v>
      </c>
      <c r="C20" s="321" t="s">
        <v>71</v>
      </c>
      <c r="D20" s="321" t="s">
        <v>184</v>
      </c>
      <c r="E20" s="319" t="s">
        <v>191</v>
      </c>
      <c r="F20" s="243" t="s">
        <v>0</v>
      </c>
      <c r="G20" s="244">
        <f t="shared" ref="G20:G21" si="0">M20/J20</f>
        <v>0</v>
      </c>
      <c r="H20" s="245">
        <v>3.0000000000000001E-3</v>
      </c>
      <c r="I20" s="244">
        <f>G20/H20</f>
        <v>0</v>
      </c>
      <c r="J20" s="325">
        <v>0.2</v>
      </c>
      <c r="K20" s="247" t="e">
        <f>M20/I20*1000</f>
        <v>#DIV/0!</v>
      </c>
      <c r="L20" s="248"/>
      <c r="M20" s="249"/>
      <c r="N20" s="250">
        <f t="shared" ref="N20" si="1">M20*$C$10</f>
        <v>0</v>
      </c>
      <c r="O20" s="251">
        <f t="shared" ref="O20:O27" si="2">N20/$N$36</f>
        <v>0</v>
      </c>
      <c r="P20" s="54"/>
      <c r="Q20" s="5"/>
      <c r="R20" s="143" t="s">
        <v>52</v>
      </c>
      <c r="S20" s="143">
        <f>+S15/2</f>
        <v>1937.9095873015872</v>
      </c>
    </row>
    <row r="21" spans="1:22" ht="78" hidden="1" customHeight="1" x14ac:dyDescent="0.35">
      <c r="A21" s="5"/>
      <c r="B21" s="320" t="s">
        <v>178</v>
      </c>
      <c r="C21" s="321" t="s">
        <v>71</v>
      </c>
      <c r="D21" s="321" t="s">
        <v>184</v>
      </c>
      <c r="E21" s="319" t="s">
        <v>191</v>
      </c>
      <c r="F21" s="243" t="s">
        <v>0</v>
      </c>
      <c r="G21" s="244">
        <f t="shared" si="0"/>
        <v>0</v>
      </c>
      <c r="H21" s="245">
        <v>3.0000000000000001E-3</v>
      </c>
      <c r="I21" s="244">
        <f>G21/H21</f>
        <v>0</v>
      </c>
      <c r="J21" s="325">
        <v>0.2</v>
      </c>
      <c r="K21" s="247" t="e">
        <f>M21/I21*1000</f>
        <v>#DIV/0!</v>
      </c>
      <c r="L21" s="248"/>
      <c r="M21" s="249"/>
      <c r="N21" s="250">
        <f>M21*$C$10</f>
        <v>0</v>
      </c>
      <c r="O21" s="251">
        <f t="shared" si="2"/>
        <v>0</v>
      </c>
      <c r="P21" s="54"/>
      <c r="Q21" s="5"/>
    </row>
    <row r="22" spans="1:22" ht="78" hidden="1" customHeight="1" x14ac:dyDescent="0.35">
      <c r="A22" s="5"/>
      <c r="B22" s="318" t="s">
        <v>179</v>
      </c>
      <c r="C22" s="317" t="s">
        <v>188</v>
      </c>
      <c r="D22" s="317" t="s">
        <v>185</v>
      </c>
      <c r="E22" s="319" t="s">
        <v>191</v>
      </c>
      <c r="F22" s="243" t="s">
        <v>68</v>
      </c>
      <c r="G22" s="244">
        <f>+H22*I22</f>
        <v>0</v>
      </c>
      <c r="H22" s="245">
        <v>5.0000000000000001E-3</v>
      </c>
      <c r="I22" s="244">
        <f>+(M22/K22)*1000</f>
        <v>0</v>
      </c>
      <c r="J22" s="246" t="e">
        <f>+M22/G22</f>
        <v>#DIV/0!</v>
      </c>
      <c r="K22" s="324">
        <v>5.28</v>
      </c>
      <c r="L22" s="248"/>
      <c r="M22" s="249"/>
      <c r="N22" s="250">
        <f>M22*$C$10</f>
        <v>0</v>
      </c>
      <c r="O22" s="251">
        <f t="shared" si="2"/>
        <v>0</v>
      </c>
      <c r="P22" s="54"/>
      <c r="Q22" s="5"/>
    </row>
    <row r="23" spans="1:22" ht="78" hidden="1" customHeight="1" x14ac:dyDescent="0.35">
      <c r="A23" s="5"/>
      <c r="B23" s="320" t="s">
        <v>180</v>
      </c>
      <c r="C23" s="318" t="s">
        <v>181</v>
      </c>
      <c r="D23" s="318" t="s">
        <v>190</v>
      </c>
      <c r="E23" s="319" t="s">
        <v>191</v>
      </c>
      <c r="F23" s="243" t="s">
        <v>68</v>
      </c>
      <c r="G23" s="244">
        <f>+H23*I23</f>
        <v>0</v>
      </c>
      <c r="H23" s="245">
        <v>8.0000000000000002E-3</v>
      </c>
      <c r="I23" s="244">
        <f>+(M23/K23)*1000</f>
        <v>0</v>
      </c>
      <c r="J23" s="246" t="e">
        <f>+M23/G23</f>
        <v>#DIV/0!</v>
      </c>
      <c r="K23" s="324">
        <v>15</v>
      </c>
      <c r="L23" s="248"/>
      <c r="M23" s="249"/>
      <c r="N23" s="250">
        <f>+M23*C10</f>
        <v>0</v>
      </c>
      <c r="O23" s="251">
        <f t="shared" si="2"/>
        <v>0</v>
      </c>
      <c r="P23" s="54"/>
      <c r="Q23" s="5"/>
      <c r="U23" s="151" t="s">
        <v>66</v>
      </c>
      <c r="V23" s="152" t="s">
        <v>11</v>
      </c>
    </row>
    <row r="24" spans="1:22" ht="78" hidden="1" customHeight="1" x14ac:dyDescent="0.35">
      <c r="A24" s="5"/>
      <c r="B24" s="241"/>
      <c r="C24" s="77"/>
      <c r="D24" s="153"/>
      <c r="E24" s="47"/>
      <c r="F24" s="252" t="s">
        <v>68</v>
      </c>
      <c r="G24" s="244">
        <f>I24*H24</f>
        <v>0</v>
      </c>
      <c r="H24" s="253">
        <v>0.02</v>
      </c>
      <c r="I24" s="244">
        <f>M24/J24*1000</f>
        <v>0</v>
      </c>
      <c r="J24" s="254">
        <v>1.3</v>
      </c>
      <c r="K24" s="254" t="e">
        <f>+M24/G24</f>
        <v>#DIV/0!</v>
      </c>
      <c r="L24" s="248"/>
      <c r="M24" s="316"/>
      <c r="N24" s="256">
        <f>+M24*C10</f>
        <v>0</v>
      </c>
      <c r="O24" s="251">
        <f t="shared" si="2"/>
        <v>0</v>
      </c>
      <c r="P24" s="54"/>
      <c r="Q24" s="5"/>
      <c r="U24" s="143">
        <f>+M24/6</f>
        <v>0</v>
      </c>
      <c r="V24" s="143">
        <f>+U24*D24</f>
        <v>0</v>
      </c>
    </row>
    <row r="25" spans="1:22" ht="78" hidden="1" customHeight="1" x14ac:dyDescent="0.35">
      <c r="A25" s="5"/>
      <c r="B25" s="242"/>
      <c r="C25" s="77"/>
      <c r="D25" s="153"/>
      <c r="E25" s="47"/>
      <c r="F25" s="252" t="s">
        <v>49</v>
      </c>
      <c r="G25" s="244">
        <f t="shared" ref="G25:G27" si="3">I25*H25</f>
        <v>0</v>
      </c>
      <c r="H25" s="253">
        <v>1.7999999999999999E-2</v>
      </c>
      <c r="I25" s="244">
        <f t="shared" ref="I25:I27" si="4">M25/J25*1000</f>
        <v>0</v>
      </c>
      <c r="J25" s="254">
        <v>0.2</v>
      </c>
      <c r="K25" s="254" t="e">
        <f t="shared" ref="K25:K27" si="5">+M25/G25</f>
        <v>#DIV/0!</v>
      </c>
      <c r="L25" s="248"/>
      <c r="M25" s="255"/>
      <c r="N25" s="256">
        <f>+M25*C10</f>
        <v>0</v>
      </c>
      <c r="O25" s="251">
        <f t="shared" si="2"/>
        <v>0</v>
      </c>
      <c r="P25" s="54"/>
      <c r="Q25" s="5"/>
      <c r="U25" s="143"/>
      <c r="V25" s="143"/>
    </row>
    <row r="26" spans="1:22" ht="78" hidden="1" customHeight="1" x14ac:dyDescent="0.35">
      <c r="A26" s="5"/>
      <c r="B26" s="242"/>
      <c r="C26" s="77"/>
      <c r="D26" s="153"/>
      <c r="E26" s="47"/>
      <c r="F26" s="252" t="s">
        <v>68</v>
      </c>
      <c r="G26" s="244">
        <f t="shared" si="3"/>
        <v>0</v>
      </c>
      <c r="H26" s="253">
        <v>1.7999999999999999E-2</v>
      </c>
      <c r="I26" s="244">
        <f t="shared" si="4"/>
        <v>0</v>
      </c>
      <c r="J26" s="254">
        <v>1.3</v>
      </c>
      <c r="K26" s="254" t="e">
        <f t="shared" si="5"/>
        <v>#DIV/0!</v>
      </c>
      <c r="L26" s="248"/>
      <c r="M26" s="255"/>
      <c r="N26" s="256">
        <f>+M26*C10</f>
        <v>0</v>
      </c>
      <c r="O26" s="251">
        <f t="shared" si="2"/>
        <v>0</v>
      </c>
      <c r="P26" s="54"/>
      <c r="Q26" s="5"/>
      <c r="U26" s="143"/>
      <c r="V26" s="143"/>
    </row>
    <row r="27" spans="1:22" ht="78" hidden="1" customHeight="1" x14ac:dyDescent="0.35">
      <c r="A27" s="5"/>
      <c r="B27" s="242"/>
      <c r="C27" s="77"/>
      <c r="D27" s="153"/>
      <c r="E27" s="47"/>
      <c r="F27" s="252" t="s">
        <v>68</v>
      </c>
      <c r="G27" s="244">
        <f t="shared" si="3"/>
        <v>0</v>
      </c>
      <c r="H27" s="253">
        <v>8.9999999999999993E-3</v>
      </c>
      <c r="I27" s="244">
        <f t="shared" si="4"/>
        <v>0</v>
      </c>
      <c r="J27" s="254">
        <v>1.8</v>
      </c>
      <c r="K27" s="254" t="e">
        <f t="shared" si="5"/>
        <v>#DIV/0!</v>
      </c>
      <c r="L27" s="248"/>
      <c r="M27" s="255"/>
      <c r="N27" s="256">
        <f>+M27*C10</f>
        <v>0</v>
      </c>
      <c r="O27" s="251">
        <f t="shared" si="2"/>
        <v>0</v>
      </c>
      <c r="P27" s="54"/>
      <c r="Q27" s="5"/>
      <c r="U27" s="143">
        <v>703.9</v>
      </c>
      <c r="V27" s="143">
        <f>+U27*D27</f>
        <v>0</v>
      </c>
    </row>
    <row r="28" spans="1:22" s="259" customFormat="1" ht="27" customHeight="1" x14ac:dyDescent="0.25">
      <c r="A28" s="257"/>
      <c r="B28" s="406" t="s">
        <v>26</v>
      </c>
      <c r="C28" s="406"/>
      <c r="D28" s="406"/>
      <c r="E28" s="406"/>
      <c r="F28" s="406"/>
      <c r="G28" s="210">
        <f>SUM(G15:G27)</f>
        <v>63288.337468982631</v>
      </c>
      <c r="H28" s="211">
        <f>G28/I28</f>
        <v>0.51201895087627725</v>
      </c>
      <c r="I28" s="210">
        <f>SUM(I15:I27)</f>
        <v>123605.45905707196</v>
      </c>
      <c r="J28" s="407" t="s">
        <v>27</v>
      </c>
      <c r="K28" s="408"/>
      <c r="L28" s="248"/>
      <c r="M28" s="218">
        <f>SUM(M15:M27)</f>
        <v>3601</v>
      </c>
      <c r="N28" s="219">
        <f>SUM(N15:N27)</f>
        <v>11739.259999999998</v>
      </c>
      <c r="O28" s="220">
        <f>N28/$N$36</f>
        <v>0.96153846153846145</v>
      </c>
      <c r="P28" s="258"/>
      <c r="Q28" s="257"/>
      <c r="V28" s="260">
        <f>SUM(V24:V27)</f>
        <v>0</v>
      </c>
    </row>
    <row r="29" spans="1:22" s="92" customFormat="1" ht="21" customHeight="1" x14ac:dyDescent="0.35">
      <c r="A29" s="90"/>
      <c r="B29" s="106" t="s">
        <v>41</v>
      </c>
      <c r="C29" s="107"/>
      <c r="D29" s="107"/>
      <c r="E29" s="107"/>
      <c r="F29" s="107"/>
      <c r="G29" s="100"/>
      <c r="H29" s="101"/>
      <c r="I29" s="100"/>
      <c r="J29" s="102"/>
      <c r="K29" s="102"/>
      <c r="L29" s="248"/>
      <c r="M29" s="102"/>
      <c r="N29" s="103"/>
      <c r="O29" s="122"/>
      <c r="P29" s="104"/>
      <c r="Q29" s="90"/>
      <c r="U29" s="1"/>
    </row>
    <row r="30" spans="1:22" s="310" customFormat="1" ht="21" customHeight="1" x14ac:dyDescent="0.3">
      <c r="A30" s="300"/>
      <c r="B30" s="373" t="s">
        <v>58</v>
      </c>
      <c r="C30" s="374"/>
      <c r="D30" s="374"/>
      <c r="E30" s="374"/>
      <c r="F30" s="374"/>
      <c r="G30" s="301">
        <v>0.04</v>
      </c>
      <c r="H30" s="302"/>
      <c r="I30" s="303"/>
      <c r="J30" s="304"/>
      <c r="K30" s="305"/>
      <c r="L30" s="306"/>
      <c r="M30" s="307">
        <f>(M15+M20+M21+M22+M24+M27+M23+M26+M25+M16+M19)*G30</f>
        <v>144.04</v>
      </c>
      <c r="N30" s="250">
        <f>M30*$C$10</f>
        <v>469.57039999999995</v>
      </c>
      <c r="O30" s="308"/>
      <c r="P30" s="309"/>
      <c r="Q30" s="300"/>
      <c r="U30" s="267"/>
      <c r="V30" s="267"/>
    </row>
    <row r="31" spans="1:22" s="267" customFormat="1" ht="21" hidden="1" customHeight="1" x14ac:dyDescent="0.3">
      <c r="A31" s="261"/>
      <c r="B31" s="373" t="s">
        <v>183</v>
      </c>
      <c r="C31" s="374"/>
      <c r="D31" s="374"/>
      <c r="E31" s="374"/>
      <c r="F31" s="374"/>
      <c r="G31" s="311">
        <v>0.15</v>
      </c>
      <c r="H31" s="312"/>
      <c r="I31" s="313"/>
      <c r="J31" s="304"/>
      <c r="K31" s="305"/>
      <c r="L31" s="306"/>
      <c r="M31" s="314">
        <f>(M21+M20)*G31</f>
        <v>0</v>
      </c>
      <c r="N31" s="250">
        <f>M31*$C$10</f>
        <v>0</v>
      </c>
      <c r="O31" s="308"/>
      <c r="P31" s="266"/>
      <c r="Q31" s="261"/>
    </row>
    <row r="32" spans="1:22" s="267" customFormat="1" ht="21" hidden="1" customHeight="1" x14ac:dyDescent="0.3">
      <c r="A32" s="261"/>
      <c r="B32" s="373" t="s">
        <v>169</v>
      </c>
      <c r="C32" s="374"/>
      <c r="D32" s="374"/>
      <c r="E32" s="374"/>
      <c r="F32" s="374"/>
      <c r="G32" s="311">
        <v>0.15</v>
      </c>
      <c r="H32" s="312"/>
      <c r="I32" s="313"/>
      <c r="J32" s="304"/>
      <c r="K32" s="305"/>
      <c r="L32" s="306"/>
      <c r="M32" s="314"/>
      <c r="N32" s="250">
        <f>M32*$C$10</f>
        <v>0</v>
      </c>
      <c r="O32" s="308"/>
      <c r="P32" s="266"/>
      <c r="Q32" s="261"/>
    </row>
    <row r="33" spans="1:17" s="267" customFormat="1" ht="21" hidden="1" customHeight="1" x14ac:dyDescent="0.3">
      <c r="A33" s="261"/>
      <c r="B33" s="373" t="s">
        <v>41</v>
      </c>
      <c r="C33" s="374"/>
      <c r="D33" s="374"/>
      <c r="E33" s="374"/>
      <c r="F33" s="374"/>
      <c r="G33" s="311">
        <v>0.15</v>
      </c>
      <c r="H33" s="312"/>
      <c r="I33" s="313"/>
      <c r="J33" s="304"/>
      <c r="K33" s="305"/>
      <c r="L33" s="306"/>
      <c r="M33" s="314">
        <f>(M24+M27+M26)*G33</f>
        <v>0</v>
      </c>
      <c r="N33" s="250">
        <f t="shared" ref="N33" si="6">M33*$C$10</f>
        <v>0</v>
      </c>
      <c r="O33" s="308"/>
      <c r="P33" s="266"/>
      <c r="Q33" s="261"/>
    </row>
    <row r="34" spans="1:17" s="267" customFormat="1" ht="21" customHeight="1" x14ac:dyDescent="0.3">
      <c r="A34" s="261"/>
      <c r="B34" s="369" t="s">
        <v>35</v>
      </c>
      <c r="C34" s="370"/>
      <c r="D34" s="370"/>
      <c r="E34" s="370"/>
      <c r="F34" s="370"/>
      <c r="G34" s="370"/>
      <c r="H34" s="370"/>
      <c r="I34" s="370"/>
      <c r="J34" s="370"/>
      <c r="K34" s="371"/>
      <c r="L34" s="262"/>
      <c r="M34" s="268">
        <f>SUM(M30:M33)</f>
        <v>144.04</v>
      </c>
      <c r="N34" s="269">
        <f>SUM(N30:N33)</f>
        <v>469.57039999999995</v>
      </c>
      <c r="O34" s="270">
        <f>N34/$N$36</f>
        <v>3.8461538461538464E-2</v>
      </c>
      <c r="P34" s="266"/>
      <c r="Q34" s="261"/>
    </row>
    <row r="35" spans="1:17" s="267" customFormat="1" ht="21" customHeight="1" x14ac:dyDescent="0.3">
      <c r="A35" s="271"/>
      <c r="B35" s="272"/>
      <c r="C35" s="273"/>
      <c r="D35" s="274"/>
      <c r="E35" s="275"/>
      <c r="F35" s="276"/>
      <c r="G35" s="277"/>
      <c r="H35" s="278"/>
      <c r="I35" s="279"/>
      <c r="J35" s="280"/>
      <c r="K35" s="281"/>
      <c r="L35" s="282"/>
      <c r="M35" s="280"/>
      <c r="N35" s="283"/>
      <c r="O35" s="284"/>
      <c r="P35" s="285"/>
      <c r="Q35" s="271"/>
    </row>
    <row r="36" spans="1:17" s="267" customFormat="1" ht="18.75" x14ac:dyDescent="0.3">
      <c r="A36" s="271"/>
      <c r="B36" s="286"/>
      <c r="C36" s="271"/>
      <c r="D36" s="271"/>
      <c r="E36" s="271"/>
      <c r="F36" s="271"/>
      <c r="G36" s="271"/>
      <c r="H36" s="271"/>
      <c r="I36" s="271"/>
      <c r="J36" s="405" t="s">
        <v>28</v>
      </c>
      <c r="K36" s="405"/>
      <c r="L36" s="287"/>
      <c r="M36" s="263">
        <f>SUM(M34,M28)</f>
        <v>3745.04</v>
      </c>
      <c r="N36" s="264">
        <f>SUM(N34,N28)</f>
        <v>12208.830399999999</v>
      </c>
      <c r="O36" s="265">
        <f>N36/$N$36</f>
        <v>1</v>
      </c>
      <c r="P36" s="271"/>
      <c r="Q36" s="271"/>
    </row>
    <row r="37" spans="1:17" s="267" customFormat="1" ht="18.75" x14ac:dyDescent="0.3">
      <c r="A37" s="271"/>
      <c r="B37" s="286" t="s">
        <v>159</v>
      </c>
      <c r="C37" s="271"/>
      <c r="D37" s="271"/>
      <c r="E37" s="271"/>
      <c r="F37" s="271"/>
      <c r="G37" s="271"/>
      <c r="H37" s="271"/>
      <c r="I37" s="271"/>
      <c r="J37" s="271"/>
      <c r="K37" s="271"/>
      <c r="L37" s="287"/>
      <c r="M37" s="271"/>
      <c r="N37" s="131"/>
      <c r="O37" s="288"/>
      <c r="P37" s="271"/>
      <c r="Q37" s="271"/>
    </row>
    <row r="38" spans="1:17" s="267" customFormat="1" ht="18.75" x14ac:dyDescent="0.3">
      <c r="A38" s="271"/>
      <c r="B38" s="286"/>
      <c r="C38" s="271"/>
      <c r="D38" s="271"/>
      <c r="E38" s="289"/>
      <c r="F38" s="271"/>
      <c r="G38" s="271"/>
      <c r="H38" s="271"/>
      <c r="I38" s="290"/>
      <c r="J38" s="261"/>
      <c r="K38" s="271"/>
      <c r="L38" s="287"/>
      <c r="N38" s="291"/>
      <c r="O38" s="292"/>
      <c r="P38" s="293"/>
      <c r="Q38" s="294"/>
    </row>
    <row r="39" spans="1:17" s="267" customFormat="1" ht="18.75" x14ac:dyDescent="0.3">
      <c r="A39" s="271"/>
      <c r="B39" s="286"/>
      <c r="C39" s="271"/>
      <c r="D39" s="271"/>
      <c r="E39" s="271"/>
      <c r="F39" s="271"/>
      <c r="G39" s="271"/>
      <c r="H39" s="271"/>
      <c r="I39" s="271"/>
      <c r="J39" s="271"/>
      <c r="K39" s="271"/>
      <c r="L39" s="287"/>
      <c r="M39" s="271"/>
      <c r="N39" s="271"/>
      <c r="O39" s="288"/>
      <c r="P39" s="293"/>
      <c r="Q39" s="294"/>
    </row>
    <row r="40" spans="1:17" s="267" customFormat="1" ht="18.75" x14ac:dyDescent="0.3">
      <c r="A40" s="271"/>
      <c r="B40" s="286"/>
      <c r="C40" s="271"/>
      <c r="D40" s="271"/>
      <c r="E40" s="271"/>
      <c r="F40" s="271"/>
      <c r="G40" s="271"/>
      <c r="H40" s="271"/>
      <c r="I40" s="271"/>
      <c r="J40" s="271"/>
      <c r="K40" s="271"/>
      <c r="L40" s="287"/>
      <c r="M40" s="271"/>
      <c r="O40" s="288"/>
      <c r="P40" s="293"/>
      <c r="Q40" s="294"/>
    </row>
    <row r="41" spans="1:17" s="267" customFormat="1" ht="18.75" x14ac:dyDescent="0.3">
      <c r="A41" s="271"/>
      <c r="B41" s="286"/>
      <c r="C41" s="271"/>
      <c r="D41" s="271"/>
      <c r="E41" s="271"/>
      <c r="F41" s="271"/>
      <c r="G41" s="271"/>
      <c r="H41" s="271"/>
      <c r="I41" s="271"/>
      <c r="J41" s="271"/>
      <c r="K41" s="271"/>
      <c r="L41" s="287"/>
      <c r="M41" s="261" t="s">
        <v>196</v>
      </c>
      <c r="N41" s="295">
        <f>+Yahoo!N41</f>
        <v>55825.736799999999</v>
      </c>
      <c r="O41" s="288"/>
      <c r="P41" s="293"/>
      <c r="Q41" s="285"/>
    </row>
    <row r="42" spans="1:17" s="267" customFormat="1" ht="18.75" x14ac:dyDescent="0.3">
      <c r="B42" s="296"/>
      <c r="L42" s="297"/>
      <c r="M42" s="328" t="s">
        <v>197</v>
      </c>
      <c r="N42" s="295">
        <f>+N41-N36</f>
        <v>43616.9064</v>
      </c>
      <c r="O42" s="298"/>
    </row>
    <row r="43" spans="1:17" s="267" customFormat="1" ht="18.75" x14ac:dyDescent="0.3">
      <c r="B43" s="296"/>
      <c r="L43" s="297"/>
      <c r="M43" s="328" t="s">
        <v>198</v>
      </c>
      <c r="N43" s="299">
        <f>+N36/C10</f>
        <v>3745.04</v>
      </c>
      <c r="O43" s="298"/>
    </row>
    <row r="44" spans="1:17" x14ac:dyDescent="0.35">
      <c r="N44" s="155"/>
    </row>
    <row r="49" spans="21:25" x14ac:dyDescent="0.35">
      <c r="Y49" s="154"/>
    </row>
    <row r="50" spans="21:25" x14ac:dyDescent="0.35">
      <c r="U50" s="1">
        <f>+X50*$G$30*G33</f>
        <v>0</v>
      </c>
      <c r="Y50" s="154"/>
    </row>
    <row r="51" spans="21:25" x14ac:dyDescent="0.35">
      <c r="U51" s="1">
        <f>+(X51*$G$30)*G31</f>
        <v>0</v>
      </c>
      <c r="Y51" s="154"/>
    </row>
    <row r="52" spans="21:25" x14ac:dyDescent="0.35">
      <c r="U52" s="1">
        <f>+X52*$G$30</f>
        <v>0</v>
      </c>
      <c r="Y52" s="154"/>
    </row>
    <row r="53" spans="21:25" x14ac:dyDescent="0.35">
      <c r="U53" s="1">
        <f>+X53*$G$30</f>
        <v>0</v>
      </c>
      <c r="Y53" s="154"/>
    </row>
    <row r="54" spans="21:25" x14ac:dyDescent="0.35">
      <c r="U54" s="1">
        <f>+X54*$G$30</f>
        <v>0</v>
      </c>
      <c r="Y54" s="154"/>
    </row>
    <row r="57" spans="21:25" x14ac:dyDescent="0.35">
      <c r="Y57" s="154"/>
    </row>
  </sheetData>
  <mergeCells count="14">
    <mergeCell ref="B34:K34"/>
    <mergeCell ref="J36:K36"/>
    <mergeCell ref="B28:F28"/>
    <mergeCell ref="J28:K28"/>
    <mergeCell ref="B30:F30"/>
    <mergeCell ref="B31:F31"/>
    <mergeCell ref="B32:F32"/>
    <mergeCell ref="B33:F33"/>
    <mergeCell ref="B14:K14"/>
    <mergeCell ref="C2:D2"/>
    <mergeCell ref="C4:D4"/>
    <mergeCell ref="C6:D6"/>
    <mergeCell ref="C8:D8"/>
    <mergeCell ref="C10:D10"/>
  </mergeCells>
  <conditionalFormatting sqref="M14 L11:M13 M22">
    <cfRule type="cellIs" dxfId="175" priority="21" stopIfTrue="1" operator="equal">
      <formula>0</formula>
    </cfRule>
    <cfRule type="expression" dxfId="174" priority="22" stopIfTrue="1">
      <formula>ISERROR(L11)</formula>
    </cfRule>
  </conditionalFormatting>
  <conditionalFormatting sqref="L15:M15 L16 L19">
    <cfRule type="cellIs" dxfId="173" priority="19" stopIfTrue="1" operator="equal">
      <formula>0</formula>
    </cfRule>
    <cfRule type="expression" dxfId="172" priority="20" stopIfTrue="1">
      <formula>ISERROR(L15)</formula>
    </cfRule>
  </conditionalFormatting>
  <conditionalFormatting sqref="M24:M26">
    <cfRule type="cellIs" dxfId="171" priority="17" stopIfTrue="1" operator="equal">
      <formula>0</formula>
    </cfRule>
    <cfRule type="expression" dxfId="170" priority="18" stopIfTrue="1">
      <formula>ISERROR(M24)</formula>
    </cfRule>
  </conditionalFormatting>
  <conditionalFormatting sqref="M21">
    <cfRule type="cellIs" dxfId="169" priority="15" stopIfTrue="1" operator="equal">
      <formula>0</formula>
    </cfRule>
    <cfRule type="expression" dxfId="168" priority="16" stopIfTrue="1">
      <formula>ISERROR(M21)</formula>
    </cfRule>
  </conditionalFormatting>
  <conditionalFormatting sqref="L20:M20 L21:L29">
    <cfRule type="cellIs" dxfId="167" priority="13" stopIfTrue="1" operator="equal">
      <formula>0</formula>
    </cfRule>
    <cfRule type="expression" dxfId="166" priority="14" stopIfTrue="1">
      <formula>ISERROR(L20)</formula>
    </cfRule>
  </conditionalFormatting>
  <conditionalFormatting sqref="M23">
    <cfRule type="cellIs" dxfId="165" priority="11" stopIfTrue="1" operator="equal">
      <formula>0</formula>
    </cfRule>
    <cfRule type="expression" dxfId="164" priority="12" stopIfTrue="1">
      <formula>ISERROR(M23)</formula>
    </cfRule>
  </conditionalFormatting>
  <conditionalFormatting sqref="M16 M19">
    <cfRule type="cellIs" dxfId="163" priority="9" stopIfTrue="1" operator="equal">
      <formula>0</formula>
    </cfRule>
    <cfRule type="expression" dxfId="162" priority="10" stopIfTrue="1">
      <formula>ISERROR(M16)</formula>
    </cfRule>
  </conditionalFormatting>
  <conditionalFormatting sqref="L17">
    <cfRule type="cellIs" dxfId="161" priority="7" stopIfTrue="1" operator="equal">
      <formula>0</formula>
    </cfRule>
    <cfRule type="expression" dxfId="160" priority="8" stopIfTrue="1">
      <formula>ISERROR(L17)</formula>
    </cfRule>
  </conditionalFormatting>
  <conditionalFormatting sqref="M17">
    <cfRule type="cellIs" dxfId="159" priority="5" stopIfTrue="1" operator="equal">
      <formula>0</formula>
    </cfRule>
    <cfRule type="expression" dxfId="158" priority="6" stopIfTrue="1">
      <formula>ISERROR(M17)</formula>
    </cfRule>
  </conditionalFormatting>
  <conditionalFormatting sqref="L18">
    <cfRule type="cellIs" dxfId="157" priority="3" stopIfTrue="1" operator="equal">
      <formula>0</formula>
    </cfRule>
    <cfRule type="expression" dxfId="156" priority="4" stopIfTrue="1">
      <formula>ISERROR(L18)</formula>
    </cfRule>
  </conditionalFormatting>
  <conditionalFormatting sqref="M18">
    <cfRule type="cellIs" dxfId="155" priority="1" stopIfTrue="1" operator="equal">
      <formula>0</formula>
    </cfRule>
    <cfRule type="expression" dxfId="154" priority="2" stopIfTrue="1">
      <formula>ISERROR(M18)</formula>
    </cfRule>
  </conditionalFormatting>
  <pageMargins left="0.7" right="0.7" top="0.75" bottom="0.75" header="0.3" footer="0.3"/>
  <pageSetup paperSize="9" orientation="portrait" r:id="rId1"/>
  <ignoredErrors>
    <ignoredError sqref="H2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Y55"/>
  <sheetViews>
    <sheetView showGridLines="0" zoomScale="50" zoomScaleNormal="50" workbookViewId="0">
      <pane ySplit="10" topLeftCell="A11" activePane="bottomLeft" state="frozen"/>
      <selection activeCell="M15" sqref="M15:M16"/>
      <selection pane="bottomLeft" activeCell="M15" sqref="M15:M16"/>
    </sheetView>
  </sheetViews>
  <sheetFormatPr baseColWidth="10" defaultRowHeight="21" x14ac:dyDescent="0.35"/>
  <cols>
    <col min="1" max="1" width="4" style="1" customWidth="1"/>
    <col min="2" max="2" width="31.140625" style="2" customWidth="1"/>
    <col min="3" max="3" width="32.42578125" style="1" customWidth="1"/>
    <col min="4" max="4" width="55.7109375" style="1" customWidth="1"/>
    <col min="5" max="5" width="49.28515625" style="1" customWidth="1"/>
    <col min="6" max="6" width="24.7109375" style="1" customWidth="1"/>
    <col min="7" max="7" width="18.7109375" style="1" customWidth="1"/>
    <col min="8" max="8" width="21.7109375" style="1" customWidth="1"/>
    <col min="9" max="9" width="24.5703125" style="1" customWidth="1"/>
    <col min="10" max="10" width="24.140625" style="1" customWidth="1"/>
    <col min="11" max="11" width="22.85546875" style="1" customWidth="1"/>
    <col min="12" max="12" width="5.140625" style="4" customWidth="1"/>
    <col min="13" max="13" width="21.7109375" style="1" customWidth="1"/>
    <col min="14" max="14" width="25.7109375" style="1" customWidth="1"/>
    <col min="15" max="15" width="19.85546875" style="126" customWidth="1"/>
    <col min="16" max="17" width="11.42578125" style="1"/>
    <col min="18" max="18" width="20.85546875" style="1" hidden="1" customWidth="1"/>
    <col min="19" max="19" width="23.42578125" style="1" hidden="1" customWidth="1"/>
    <col min="20" max="20" width="11.42578125" style="1"/>
    <col min="21" max="21" width="23.5703125" style="1" hidden="1" customWidth="1"/>
    <col min="22" max="22" width="19.28515625" style="1" hidden="1" customWidth="1"/>
    <col min="23" max="23" width="15.42578125" style="1" bestFit="1" customWidth="1"/>
    <col min="24" max="24" width="21.85546875" style="1" customWidth="1"/>
    <col min="25" max="25" width="19.5703125" style="1" customWidth="1"/>
    <col min="26" max="16384" width="11.42578125" style="1"/>
  </cols>
  <sheetData>
    <row r="1" spans="1:19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7"/>
      <c r="M1" s="5"/>
      <c r="N1" s="5"/>
      <c r="O1" s="115"/>
      <c r="P1" s="5"/>
      <c r="Q1" s="5"/>
    </row>
    <row r="2" spans="1:19" ht="20.25" customHeight="1" x14ac:dyDescent="0.35">
      <c r="A2" s="5"/>
      <c r="B2" s="221" t="s">
        <v>3</v>
      </c>
      <c r="C2" s="381" t="s">
        <v>32</v>
      </c>
      <c r="D2" s="383"/>
      <c r="E2" s="5"/>
      <c r="F2" s="5"/>
      <c r="G2" s="5"/>
      <c r="H2" s="5"/>
      <c r="I2" s="5"/>
      <c r="J2" s="5"/>
      <c r="K2" s="7"/>
      <c r="L2" s="5"/>
      <c r="M2" s="5"/>
      <c r="N2" s="5"/>
      <c r="O2" s="115"/>
      <c r="P2" s="5"/>
    </row>
    <row r="3" spans="1:19" ht="3.75" customHeight="1" x14ac:dyDescent="0.35">
      <c r="A3" s="7"/>
      <c r="B3" s="8"/>
      <c r="C3" s="9"/>
      <c r="D3" s="10"/>
      <c r="E3" s="7"/>
      <c r="F3" s="7"/>
      <c r="G3" s="7"/>
      <c r="H3" s="7"/>
      <c r="I3" s="7"/>
      <c r="J3" s="7"/>
      <c r="K3" s="7"/>
      <c r="L3" s="7"/>
      <c r="M3" s="7"/>
      <c r="N3" s="7"/>
      <c r="O3" s="116"/>
      <c r="P3" s="7"/>
    </row>
    <row r="4" spans="1:19" ht="14.25" customHeight="1" x14ac:dyDescent="0.35">
      <c r="A4" s="5"/>
      <c r="B4" s="221" t="s">
        <v>4</v>
      </c>
      <c r="C4" s="381" t="s">
        <v>50</v>
      </c>
      <c r="D4" s="383"/>
      <c r="E4" s="5"/>
      <c r="F4" s="5"/>
      <c r="G4" s="5"/>
      <c r="H4" s="5"/>
      <c r="I4" s="5"/>
      <c r="J4" s="5"/>
      <c r="K4" s="7"/>
      <c r="L4" s="5"/>
      <c r="M4" s="5"/>
      <c r="N4" s="5"/>
      <c r="O4" s="115"/>
      <c r="P4" s="5"/>
    </row>
    <row r="5" spans="1:19" ht="3.75" customHeight="1" x14ac:dyDescent="0.35">
      <c r="A5" s="7"/>
      <c r="B5" s="8"/>
      <c r="C5" s="9"/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116"/>
      <c r="P5" s="7"/>
    </row>
    <row r="6" spans="1:19" ht="15.75" customHeight="1" x14ac:dyDescent="0.35">
      <c r="A6" s="5"/>
      <c r="B6" s="221" t="s">
        <v>5</v>
      </c>
      <c r="C6" s="381" t="s">
        <v>17</v>
      </c>
      <c r="D6" s="383"/>
      <c r="E6" s="5"/>
      <c r="F6" s="5"/>
      <c r="G6" s="5"/>
      <c r="H6" s="5"/>
      <c r="I6" s="5"/>
      <c r="J6" s="5"/>
      <c r="K6" s="7"/>
      <c r="L6" s="5"/>
      <c r="M6" s="5"/>
      <c r="N6" s="5"/>
      <c r="O6" s="115"/>
      <c r="P6" s="5"/>
    </row>
    <row r="7" spans="1:19" ht="3.75" customHeight="1" x14ac:dyDescent="0.35">
      <c r="A7" s="7"/>
      <c r="B7" s="8"/>
      <c r="C7" s="9"/>
      <c r="D7" s="10"/>
      <c r="E7" s="7"/>
      <c r="F7" s="7"/>
      <c r="G7" s="7"/>
      <c r="H7" s="7"/>
      <c r="I7" s="7"/>
      <c r="J7" s="7"/>
      <c r="K7" s="7"/>
      <c r="L7" s="7"/>
      <c r="M7" s="7"/>
      <c r="N7" s="7"/>
      <c r="O7" s="116"/>
      <c r="P7" s="7"/>
    </row>
    <row r="8" spans="1:19" ht="14.25" customHeight="1" x14ac:dyDescent="0.35">
      <c r="A8" s="5"/>
      <c r="B8" s="221" t="s">
        <v>6</v>
      </c>
      <c r="C8" s="384">
        <f ca="1">TODAY()</f>
        <v>42808</v>
      </c>
      <c r="D8" s="386"/>
      <c r="E8" s="11"/>
      <c r="F8" s="5"/>
      <c r="G8" s="5"/>
      <c r="H8" s="5"/>
      <c r="I8" s="5"/>
      <c r="J8" s="5"/>
      <c r="K8" s="7"/>
      <c r="L8" s="5"/>
      <c r="M8" s="5"/>
      <c r="N8" s="5"/>
      <c r="O8" s="115"/>
      <c r="P8" s="41"/>
    </row>
    <row r="9" spans="1:19" ht="3.75" customHeight="1" x14ac:dyDescent="0.35">
      <c r="A9" s="7"/>
      <c r="B9" s="8"/>
      <c r="C9" s="9"/>
      <c r="D9" s="10"/>
      <c r="E9" s="14"/>
      <c r="F9" s="7"/>
      <c r="G9" s="7"/>
      <c r="H9" s="7"/>
      <c r="I9" s="7"/>
      <c r="J9" s="7"/>
      <c r="K9" s="7"/>
      <c r="L9" s="7"/>
      <c r="M9" s="7"/>
      <c r="N9" s="7"/>
      <c r="O9" s="116"/>
      <c r="P9" s="42"/>
    </row>
    <row r="10" spans="1:19" s="3" customFormat="1" ht="15.75" customHeight="1" x14ac:dyDescent="0.35">
      <c r="A10" s="5"/>
      <c r="B10" s="221" t="s">
        <v>16</v>
      </c>
      <c r="C10" s="403">
        <v>3.26</v>
      </c>
      <c r="D10" s="404"/>
      <c r="E10" s="11"/>
      <c r="F10" s="5"/>
      <c r="G10" s="5"/>
      <c r="H10" s="5"/>
      <c r="I10" s="5"/>
      <c r="J10" s="5"/>
      <c r="K10" s="7"/>
      <c r="L10" s="5"/>
      <c r="M10" s="5"/>
      <c r="N10" s="5"/>
      <c r="O10" s="115"/>
      <c r="P10" s="41"/>
    </row>
    <row r="11" spans="1:19" s="3" customFormat="1" ht="26.25" customHeight="1" x14ac:dyDescent="0.35">
      <c r="A11" s="5"/>
      <c r="B11" s="5"/>
      <c r="C11" s="41"/>
      <c r="D11" s="5"/>
      <c r="E11" s="5"/>
      <c r="F11" s="5"/>
      <c r="G11" s="5"/>
      <c r="H11" s="5"/>
      <c r="I11" s="5"/>
      <c r="J11" s="5"/>
      <c r="K11" s="5"/>
      <c r="L11" s="7"/>
      <c r="M11" s="5"/>
      <c r="N11" s="5"/>
      <c r="O11" s="115"/>
      <c r="P11" s="5"/>
      <c r="Q11" s="41"/>
    </row>
    <row r="12" spans="1:19" ht="39.75" customHeight="1" x14ac:dyDescent="0.35">
      <c r="A12" s="15"/>
      <c r="B12" s="209" t="s">
        <v>7</v>
      </c>
      <c r="C12" s="209" t="s">
        <v>18</v>
      </c>
      <c r="D12" s="209" t="s">
        <v>19</v>
      </c>
      <c r="E12" s="209" t="s">
        <v>20</v>
      </c>
      <c r="F12" s="209" t="s">
        <v>8</v>
      </c>
      <c r="G12" s="209" t="s">
        <v>168</v>
      </c>
      <c r="H12" s="209" t="s">
        <v>21</v>
      </c>
      <c r="I12" s="209" t="s">
        <v>22</v>
      </c>
      <c r="J12" s="209" t="s">
        <v>161</v>
      </c>
      <c r="K12" s="209" t="s">
        <v>162</v>
      </c>
      <c r="L12" s="43"/>
      <c r="M12" s="212" t="s">
        <v>24</v>
      </c>
      <c r="N12" s="213" t="s">
        <v>25</v>
      </c>
      <c r="O12" s="214" t="s">
        <v>43</v>
      </c>
      <c r="P12" s="44"/>
      <c r="Q12" s="15"/>
    </row>
    <row r="13" spans="1:19" ht="5.25" customHeight="1" x14ac:dyDescent="0.35">
      <c r="A13" s="5"/>
      <c r="B13" s="11"/>
      <c r="C13" s="5"/>
      <c r="D13" s="5"/>
      <c r="E13" s="5"/>
      <c r="F13" s="5"/>
      <c r="G13" s="5"/>
      <c r="H13" s="5"/>
      <c r="I13" s="5"/>
      <c r="J13" s="5"/>
      <c r="K13" s="5"/>
      <c r="L13" s="7"/>
      <c r="M13" s="5"/>
      <c r="N13" s="5"/>
      <c r="O13" s="115"/>
      <c r="P13" s="5"/>
      <c r="Q13" s="5"/>
    </row>
    <row r="14" spans="1:19" ht="22.5" customHeight="1" x14ac:dyDescent="0.35">
      <c r="A14" s="5"/>
      <c r="B14" s="400" t="s">
        <v>187</v>
      </c>
      <c r="C14" s="401"/>
      <c r="D14" s="401"/>
      <c r="E14" s="401"/>
      <c r="F14" s="401"/>
      <c r="G14" s="401"/>
      <c r="H14" s="401"/>
      <c r="I14" s="401"/>
      <c r="J14" s="401"/>
      <c r="K14" s="402"/>
      <c r="L14" s="45"/>
      <c r="M14" s="215"/>
      <c r="N14" s="216"/>
      <c r="O14" s="217"/>
      <c r="P14" s="45"/>
      <c r="Q14" s="5"/>
    </row>
    <row r="15" spans="1:19" ht="78" hidden="1" customHeight="1" x14ac:dyDescent="0.35">
      <c r="A15" s="5"/>
      <c r="B15" s="326" t="s">
        <v>174</v>
      </c>
      <c r="C15" s="317" t="s">
        <v>175</v>
      </c>
      <c r="D15" s="315" t="s">
        <v>176</v>
      </c>
      <c r="E15" s="319" t="s">
        <v>191</v>
      </c>
      <c r="F15" s="243" t="s">
        <v>0</v>
      </c>
      <c r="G15" s="244">
        <f>M15/J15</f>
        <v>0</v>
      </c>
      <c r="H15" s="322">
        <v>3.0000000000000001E-3</v>
      </c>
      <c r="I15" s="323">
        <f>G15/H15</f>
        <v>0</v>
      </c>
      <c r="J15" s="325">
        <v>0.4</v>
      </c>
      <c r="K15" s="247" t="e">
        <f>M15/I15*1000</f>
        <v>#DIV/0!</v>
      </c>
      <c r="L15" s="248"/>
      <c r="M15" s="249"/>
      <c r="N15" s="250">
        <f>M15*$C$10</f>
        <v>0</v>
      </c>
      <c r="O15" s="251">
        <f>N15/$N$34</f>
        <v>0</v>
      </c>
      <c r="P15" s="54"/>
      <c r="Q15" s="5"/>
      <c r="R15" s="143" t="s">
        <v>51</v>
      </c>
      <c r="S15" s="143">
        <f>+N34/3.15</f>
        <v>5049.3777777777786</v>
      </c>
    </row>
    <row r="16" spans="1:19" ht="78" hidden="1" customHeight="1" x14ac:dyDescent="0.35">
      <c r="A16" s="5"/>
      <c r="B16" s="326" t="s">
        <v>182</v>
      </c>
      <c r="C16" s="317" t="s">
        <v>177</v>
      </c>
      <c r="D16" s="317" t="s">
        <v>189</v>
      </c>
      <c r="E16" s="319" t="s">
        <v>191</v>
      </c>
      <c r="F16" s="243" t="s">
        <v>68</v>
      </c>
      <c r="G16" s="244">
        <f>+H16*I16</f>
        <v>0</v>
      </c>
      <c r="H16" s="322">
        <v>0.7</v>
      </c>
      <c r="I16" s="244">
        <f>+(M16/K16)*1000</f>
        <v>0</v>
      </c>
      <c r="J16" s="246" t="e">
        <f>+M16/G16</f>
        <v>#DIV/0!</v>
      </c>
      <c r="K16" s="324">
        <v>26</v>
      </c>
      <c r="L16" s="248"/>
      <c r="M16" s="249"/>
      <c r="N16" s="250">
        <f>M16*$C$10</f>
        <v>0</v>
      </c>
      <c r="O16" s="251">
        <f>N16/$N$34</f>
        <v>0</v>
      </c>
      <c r="P16" s="54"/>
      <c r="Q16" s="5"/>
      <c r="R16" s="143"/>
      <c r="S16" s="143"/>
    </row>
    <row r="17" spans="1:22" ht="78" hidden="1" customHeight="1" x14ac:dyDescent="0.35">
      <c r="A17" s="5"/>
      <c r="B17" s="326" t="s">
        <v>182</v>
      </c>
      <c r="C17" s="317" t="s">
        <v>177</v>
      </c>
      <c r="D17" s="317" t="s">
        <v>186</v>
      </c>
      <c r="E17" s="319" t="s">
        <v>191</v>
      </c>
      <c r="F17" s="243" t="s">
        <v>68</v>
      </c>
      <c r="G17" s="244">
        <f>+H17*I17</f>
        <v>0</v>
      </c>
      <c r="H17" s="322">
        <v>0.4</v>
      </c>
      <c r="I17" s="244">
        <f>+(M17/K17)*1000</f>
        <v>0</v>
      </c>
      <c r="J17" s="246" t="e">
        <f>+M17/G17</f>
        <v>#DIV/0!</v>
      </c>
      <c r="K17" s="324">
        <v>31</v>
      </c>
      <c r="L17" s="248"/>
      <c r="M17" s="249"/>
      <c r="N17" s="250">
        <f>M17*$C$10</f>
        <v>0</v>
      </c>
      <c r="O17" s="251">
        <f>N17/$N$34</f>
        <v>0</v>
      </c>
      <c r="P17" s="54"/>
      <c r="Q17" s="5"/>
      <c r="R17" s="143"/>
      <c r="S17" s="143"/>
    </row>
    <row r="18" spans="1:22" ht="78" customHeight="1" x14ac:dyDescent="0.35">
      <c r="A18" s="5"/>
      <c r="B18" s="320" t="s">
        <v>178</v>
      </c>
      <c r="C18" s="321" t="s">
        <v>71</v>
      </c>
      <c r="D18" s="321" t="s">
        <v>184</v>
      </c>
      <c r="E18" s="319" t="s">
        <v>192</v>
      </c>
      <c r="F18" s="243" t="s">
        <v>0</v>
      </c>
      <c r="G18" s="244">
        <f t="shared" ref="G18:G19" si="0">M18/J18</f>
        <v>4500</v>
      </c>
      <c r="H18" s="245">
        <v>3.0000000000000001E-3</v>
      </c>
      <c r="I18" s="244">
        <f>G18/H18</f>
        <v>1500000</v>
      </c>
      <c r="J18" s="325">
        <v>0.2</v>
      </c>
      <c r="K18" s="247">
        <f>M18/I18*1000</f>
        <v>0.6</v>
      </c>
      <c r="L18" s="248"/>
      <c r="M18" s="249">
        <v>900</v>
      </c>
      <c r="N18" s="250">
        <f t="shared" ref="N18" si="1">M18*$C$10</f>
        <v>2934</v>
      </c>
      <c r="O18" s="251">
        <f t="shared" ref="O18:O25" si="2">N18/$N$34</f>
        <v>0.1844640295142447</v>
      </c>
      <c r="P18" s="54"/>
      <c r="Q18" s="5"/>
      <c r="R18" s="143" t="s">
        <v>52</v>
      </c>
      <c r="S18" s="143">
        <f>+S15/2</f>
        <v>2524.6888888888893</v>
      </c>
    </row>
    <row r="19" spans="1:22" ht="78" customHeight="1" x14ac:dyDescent="0.35">
      <c r="A19" s="5"/>
      <c r="B19" s="320" t="s">
        <v>178</v>
      </c>
      <c r="C19" s="321" t="s">
        <v>71</v>
      </c>
      <c r="D19" s="321" t="s">
        <v>184</v>
      </c>
      <c r="E19" s="319" t="s">
        <v>193</v>
      </c>
      <c r="F19" s="243" t="s">
        <v>0</v>
      </c>
      <c r="G19" s="244">
        <f t="shared" si="0"/>
        <v>16000</v>
      </c>
      <c r="H19" s="245">
        <v>3.0000000000000001E-3</v>
      </c>
      <c r="I19" s="244">
        <f>G19/H19</f>
        <v>5333333.333333333</v>
      </c>
      <c r="J19" s="325">
        <v>0.2</v>
      </c>
      <c r="K19" s="247">
        <f>M19/I19*1000</f>
        <v>0.60000000000000009</v>
      </c>
      <c r="L19" s="248"/>
      <c r="M19" s="249">
        <v>3200</v>
      </c>
      <c r="N19" s="250">
        <f>M19*$C$10</f>
        <v>10432</v>
      </c>
      <c r="O19" s="251">
        <f t="shared" si="2"/>
        <v>0.65587210493953674</v>
      </c>
      <c r="P19" s="54"/>
      <c r="Q19" s="5"/>
    </row>
    <row r="20" spans="1:22" ht="78" hidden="1" customHeight="1" x14ac:dyDescent="0.35">
      <c r="A20" s="5"/>
      <c r="B20" s="318" t="s">
        <v>179</v>
      </c>
      <c r="C20" s="317" t="s">
        <v>188</v>
      </c>
      <c r="D20" s="317" t="s">
        <v>185</v>
      </c>
      <c r="E20" s="319" t="s">
        <v>191</v>
      </c>
      <c r="F20" s="243" t="s">
        <v>68</v>
      </c>
      <c r="G20" s="244">
        <f>+H20*I20</f>
        <v>0</v>
      </c>
      <c r="H20" s="245">
        <v>5.0000000000000001E-3</v>
      </c>
      <c r="I20" s="244">
        <f>+(M20/K20)*1000</f>
        <v>0</v>
      </c>
      <c r="J20" s="246" t="e">
        <f>+M20/G20</f>
        <v>#DIV/0!</v>
      </c>
      <c r="K20" s="324">
        <v>5.28</v>
      </c>
      <c r="L20" s="248"/>
      <c r="M20" s="249"/>
      <c r="N20" s="250">
        <f>M20*$C$10</f>
        <v>0</v>
      </c>
      <c r="O20" s="251">
        <f t="shared" si="2"/>
        <v>0</v>
      </c>
      <c r="P20" s="54"/>
      <c r="Q20" s="5"/>
    </row>
    <row r="21" spans="1:22" ht="78" hidden="1" customHeight="1" x14ac:dyDescent="0.35">
      <c r="A21" s="5"/>
      <c r="B21" s="320" t="s">
        <v>180</v>
      </c>
      <c r="C21" s="318" t="s">
        <v>181</v>
      </c>
      <c r="D21" s="318" t="s">
        <v>190</v>
      </c>
      <c r="E21" s="319" t="s">
        <v>191</v>
      </c>
      <c r="F21" s="243" t="s">
        <v>68</v>
      </c>
      <c r="G21" s="244">
        <f>+H21*I21</f>
        <v>0</v>
      </c>
      <c r="H21" s="245">
        <v>8.0000000000000002E-3</v>
      </c>
      <c r="I21" s="244">
        <f>+(M21/K21)*1000</f>
        <v>0</v>
      </c>
      <c r="J21" s="246" t="e">
        <f>+M21/G21</f>
        <v>#DIV/0!</v>
      </c>
      <c r="K21" s="324">
        <v>15</v>
      </c>
      <c r="L21" s="248"/>
      <c r="M21" s="249"/>
      <c r="N21" s="250">
        <f>+M21*C10</f>
        <v>0</v>
      </c>
      <c r="O21" s="251">
        <f t="shared" si="2"/>
        <v>0</v>
      </c>
      <c r="P21" s="54"/>
      <c r="Q21" s="5"/>
      <c r="U21" s="151" t="s">
        <v>66</v>
      </c>
      <c r="V21" s="152" t="s">
        <v>11</v>
      </c>
    </row>
    <row r="22" spans="1:22" ht="78" hidden="1" customHeight="1" x14ac:dyDescent="0.35">
      <c r="A22" s="5"/>
      <c r="B22" s="241"/>
      <c r="C22" s="77"/>
      <c r="D22" s="153"/>
      <c r="E22" s="47"/>
      <c r="F22" s="252" t="s">
        <v>68</v>
      </c>
      <c r="G22" s="244">
        <f>I22*H22</f>
        <v>0</v>
      </c>
      <c r="H22" s="253">
        <v>0.02</v>
      </c>
      <c r="I22" s="244">
        <f>M22/J22*1000</f>
        <v>0</v>
      </c>
      <c r="J22" s="254">
        <v>1.3</v>
      </c>
      <c r="K22" s="254" t="e">
        <f>+M22/G22</f>
        <v>#DIV/0!</v>
      </c>
      <c r="L22" s="248"/>
      <c r="M22" s="316"/>
      <c r="N22" s="256">
        <f>+M22*C10</f>
        <v>0</v>
      </c>
      <c r="O22" s="251">
        <f t="shared" si="2"/>
        <v>0</v>
      </c>
      <c r="P22" s="54"/>
      <c r="Q22" s="5"/>
      <c r="U22" s="143">
        <f>+M22/6</f>
        <v>0</v>
      </c>
      <c r="V22" s="143">
        <f>+U22*D22</f>
        <v>0</v>
      </c>
    </row>
    <row r="23" spans="1:22" ht="78" hidden="1" customHeight="1" x14ac:dyDescent="0.35">
      <c r="A23" s="5"/>
      <c r="B23" s="242"/>
      <c r="C23" s="77"/>
      <c r="D23" s="153"/>
      <c r="E23" s="47"/>
      <c r="F23" s="252" t="s">
        <v>49</v>
      </c>
      <c r="G23" s="244">
        <f t="shared" ref="G23:G25" si="3">I23*H23</f>
        <v>0</v>
      </c>
      <c r="H23" s="253">
        <v>1.7999999999999999E-2</v>
      </c>
      <c r="I23" s="244">
        <f t="shared" ref="I23:I25" si="4">M23/J23*1000</f>
        <v>0</v>
      </c>
      <c r="J23" s="254">
        <v>0.2</v>
      </c>
      <c r="K23" s="254" t="e">
        <f t="shared" ref="K23:K25" si="5">+M23/G23</f>
        <v>#DIV/0!</v>
      </c>
      <c r="L23" s="248"/>
      <c r="M23" s="255"/>
      <c r="N23" s="256">
        <f>+M23*C10</f>
        <v>0</v>
      </c>
      <c r="O23" s="251">
        <f t="shared" si="2"/>
        <v>0</v>
      </c>
      <c r="P23" s="54"/>
      <c r="Q23" s="5"/>
      <c r="U23" s="143"/>
      <c r="V23" s="143"/>
    </row>
    <row r="24" spans="1:22" ht="78" hidden="1" customHeight="1" x14ac:dyDescent="0.35">
      <c r="A24" s="5"/>
      <c r="B24" s="242"/>
      <c r="C24" s="77"/>
      <c r="D24" s="153"/>
      <c r="E24" s="47"/>
      <c r="F24" s="252" t="s">
        <v>68</v>
      </c>
      <c r="G24" s="244">
        <f t="shared" si="3"/>
        <v>0</v>
      </c>
      <c r="H24" s="253">
        <v>1.7999999999999999E-2</v>
      </c>
      <c r="I24" s="244">
        <f t="shared" si="4"/>
        <v>0</v>
      </c>
      <c r="J24" s="254">
        <v>1.3</v>
      </c>
      <c r="K24" s="254" t="e">
        <f t="shared" si="5"/>
        <v>#DIV/0!</v>
      </c>
      <c r="L24" s="248"/>
      <c r="M24" s="255"/>
      <c r="N24" s="256">
        <f>+M24*C10</f>
        <v>0</v>
      </c>
      <c r="O24" s="251">
        <f t="shared" si="2"/>
        <v>0</v>
      </c>
      <c r="P24" s="54"/>
      <c r="Q24" s="5"/>
      <c r="U24" s="143"/>
      <c r="V24" s="143"/>
    </row>
    <row r="25" spans="1:22" ht="78" hidden="1" customHeight="1" x14ac:dyDescent="0.35">
      <c r="A25" s="5"/>
      <c r="B25" s="242"/>
      <c r="C25" s="77"/>
      <c r="D25" s="153"/>
      <c r="E25" s="47"/>
      <c r="F25" s="252" t="s">
        <v>68</v>
      </c>
      <c r="G25" s="244">
        <f t="shared" si="3"/>
        <v>0</v>
      </c>
      <c r="H25" s="253">
        <v>8.9999999999999993E-3</v>
      </c>
      <c r="I25" s="244">
        <f t="shared" si="4"/>
        <v>0</v>
      </c>
      <c r="J25" s="254">
        <v>1.8</v>
      </c>
      <c r="K25" s="254" t="e">
        <f t="shared" si="5"/>
        <v>#DIV/0!</v>
      </c>
      <c r="L25" s="248"/>
      <c r="M25" s="255"/>
      <c r="N25" s="256">
        <f>+M25*C10</f>
        <v>0</v>
      </c>
      <c r="O25" s="251">
        <f t="shared" si="2"/>
        <v>0</v>
      </c>
      <c r="P25" s="54"/>
      <c r="Q25" s="5"/>
      <c r="U25" s="143">
        <v>703.9</v>
      </c>
      <c r="V25" s="143">
        <f>+U25*D25</f>
        <v>0</v>
      </c>
    </row>
    <row r="26" spans="1:22" s="259" customFormat="1" ht="27" customHeight="1" x14ac:dyDescent="0.25">
      <c r="A26" s="257"/>
      <c r="B26" s="406" t="s">
        <v>26</v>
      </c>
      <c r="C26" s="406"/>
      <c r="D26" s="406"/>
      <c r="E26" s="406"/>
      <c r="F26" s="406"/>
      <c r="G26" s="210">
        <f>SUM(G15:G25)</f>
        <v>20500</v>
      </c>
      <c r="H26" s="211">
        <f>G26/I26</f>
        <v>3.0000000000000001E-3</v>
      </c>
      <c r="I26" s="210">
        <f>SUM(I15:I25)</f>
        <v>6833333.333333333</v>
      </c>
      <c r="J26" s="407" t="s">
        <v>27</v>
      </c>
      <c r="K26" s="408"/>
      <c r="L26" s="248"/>
      <c r="M26" s="218">
        <f>SUM(M15:M25)</f>
        <v>4100</v>
      </c>
      <c r="N26" s="219">
        <f>SUM(N15:N25)</f>
        <v>13366</v>
      </c>
      <c r="O26" s="220">
        <f>N26/$N$34</f>
        <v>0.84033613445378141</v>
      </c>
      <c r="P26" s="258"/>
      <c r="Q26" s="257"/>
      <c r="V26" s="260">
        <f>SUM(V22:V25)</f>
        <v>0</v>
      </c>
    </row>
    <row r="27" spans="1:22" s="92" customFormat="1" ht="21" customHeight="1" x14ac:dyDescent="0.35">
      <c r="A27" s="90"/>
      <c r="B27" s="106" t="s">
        <v>41</v>
      </c>
      <c r="C27" s="107"/>
      <c r="D27" s="107"/>
      <c r="E27" s="107"/>
      <c r="F27" s="107"/>
      <c r="G27" s="100"/>
      <c r="H27" s="101"/>
      <c r="I27" s="100"/>
      <c r="J27" s="102"/>
      <c r="K27" s="102"/>
      <c r="L27" s="248"/>
      <c r="M27" s="102"/>
      <c r="N27" s="103"/>
      <c r="O27" s="122"/>
      <c r="P27" s="104"/>
      <c r="Q27" s="90"/>
      <c r="U27" s="1"/>
    </row>
    <row r="28" spans="1:22" s="310" customFormat="1" ht="21" customHeight="1" x14ac:dyDescent="0.3">
      <c r="A28" s="300"/>
      <c r="B28" s="373" t="s">
        <v>58</v>
      </c>
      <c r="C28" s="374"/>
      <c r="D28" s="374"/>
      <c r="E28" s="374"/>
      <c r="F28" s="374"/>
      <c r="G28" s="301">
        <v>0.04</v>
      </c>
      <c r="H28" s="302"/>
      <c r="I28" s="303"/>
      <c r="J28" s="304"/>
      <c r="K28" s="305"/>
      <c r="L28" s="306"/>
      <c r="M28" s="307">
        <f>(M15+M18+M19+M20+M22+M25+M21+M24+M23+M16+M17)*G28</f>
        <v>164</v>
      </c>
      <c r="N28" s="250">
        <f>M28*$C$10</f>
        <v>534.64</v>
      </c>
      <c r="O28" s="308"/>
      <c r="P28" s="309"/>
      <c r="Q28" s="300"/>
      <c r="U28" s="267"/>
      <c r="V28" s="267"/>
    </row>
    <row r="29" spans="1:22" s="267" customFormat="1" ht="21" customHeight="1" x14ac:dyDescent="0.3">
      <c r="A29" s="261"/>
      <c r="B29" s="373" t="s">
        <v>183</v>
      </c>
      <c r="C29" s="374"/>
      <c r="D29" s="374"/>
      <c r="E29" s="374"/>
      <c r="F29" s="374"/>
      <c r="G29" s="311">
        <v>0.15</v>
      </c>
      <c r="H29" s="312"/>
      <c r="I29" s="313"/>
      <c r="J29" s="304"/>
      <c r="K29" s="305"/>
      <c r="L29" s="306"/>
      <c r="M29" s="314">
        <f>(M19+M18)*G29</f>
        <v>615</v>
      </c>
      <c r="N29" s="250">
        <f>M29*$C$10</f>
        <v>2004.8999999999999</v>
      </c>
      <c r="O29" s="308"/>
      <c r="P29" s="266"/>
      <c r="Q29" s="261"/>
    </row>
    <row r="30" spans="1:22" s="267" customFormat="1" ht="21" hidden="1" customHeight="1" x14ac:dyDescent="0.3">
      <c r="A30" s="261"/>
      <c r="B30" s="373" t="s">
        <v>169</v>
      </c>
      <c r="C30" s="374"/>
      <c r="D30" s="374"/>
      <c r="E30" s="374"/>
      <c r="F30" s="374"/>
      <c r="G30" s="311">
        <v>0.15</v>
      </c>
      <c r="H30" s="312"/>
      <c r="I30" s="313"/>
      <c r="J30" s="304"/>
      <c r="K30" s="305"/>
      <c r="L30" s="306"/>
      <c r="M30" s="314"/>
      <c r="N30" s="250">
        <f>M30*$C$10</f>
        <v>0</v>
      </c>
      <c r="O30" s="308"/>
      <c r="P30" s="266"/>
      <c r="Q30" s="261"/>
    </row>
    <row r="31" spans="1:22" s="267" customFormat="1" ht="21" hidden="1" customHeight="1" x14ac:dyDescent="0.3">
      <c r="A31" s="261"/>
      <c r="B31" s="373" t="s">
        <v>41</v>
      </c>
      <c r="C31" s="374"/>
      <c r="D31" s="374"/>
      <c r="E31" s="374"/>
      <c r="F31" s="374"/>
      <c r="G31" s="311">
        <v>0.15</v>
      </c>
      <c r="H31" s="312"/>
      <c r="I31" s="313"/>
      <c r="J31" s="304"/>
      <c r="K31" s="305"/>
      <c r="L31" s="306"/>
      <c r="M31" s="314">
        <f>(M22+M25+M24)*G31</f>
        <v>0</v>
      </c>
      <c r="N31" s="250">
        <f t="shared" ref="N31" si="6">M31*$C$10</f>
        <v>0</v>
      </c>
      <c r="O31" s="308"/>
      <c r="P31" s="266"/>
      <c r="Q31" s="261"/>
    </row>
    <row r="32" spans="1:22" s="267" customFormat="1" ht="21" customHeight="1" x14ac:dyDescent="0.3">
      <c r="A32" s="261"/>
      <c r="B32" s="369" t="s">
        <v>35</v>
      </c>
      <c r="C32" s="370"/>
      <c r="D32" s="370"/>
      <c r="E32" s="370"/>
      <c r="F32" s="370"/>
      <c r="G32" s="370"/>
      <c r="H32" s="370"/>
      <c r="I32" s="370"/>
      <c r="J32" s="370"/>
      <c r="K32" s="371"/>
      <c r="L32" s="262"/>
      <c r="M32" s="268">
        <f>SUM(M28:M31)</f>
        <v>779</v>
      </c>
      <c r="N32" s="269">
        <f>SUM(N28:N31)</f>
        <v>2539.54</v>
      </c>
      <c r="O32" s="270">
        <f>N32/$N$34</f>
        <v>0.15966386554621848</v>
      </c>
      <c r="P32" s="266"/>
      <c r="Q32" s="261"/>
    </row>
    <row r="33" spans="1:25" s="267" customFormat="1" ht="21" customHeight="1" x14ac:dyDescent="0.3">
      <c r="A33" s="271"/>
      <c r="B33" s="272"/>
      <c r="C33" s="273"/>
      <c r="D33" s="274"/>
      <c r="E33" s="275"/>
      <c r="F33" s="276"/>
      <c r="G33" s="277"/>
      <c r="H33" s="278"/>
      <c r="I33" s="279"/>
      <c r="J33" s="280"/>
      <c r="K33" s="281"/>
      <c r="L33" s="282"/>
      <c r="M33" s="280"/>
      <c r="N33" s="283"/>
      <c r="O33" s="284"/>
      <c r="P33" s="285"/>
      <c r="Q33" s="271"/>
    </row>
    <row r="34" spans="1:25" s="267" customFormat="1" ht="18.75" x14ac:dyDescent="0.3">
      <c r="A34" s="271"/>
      <c r="B34" s="286"/>
      <c r="C34" s="271"/>
      <c r="D34" s="271"/>
      <c r="E34" s="271"/>
      <c r="F34" s="271"/>
      <c r="G34" s="271"/>
      <c r="H34" s="271"/>
      <c r="I34" s="271"/>
      <c r="J34" s="405" t="s">
        <v>28</v>
      </c>
      <c r="K34" s="405"/>
      <c r="L34" s="287"/>
      <c r="M34" s="263">
        <f>SUM(M32,M26)</f>
        <v>4879</v>
      </c>
      <c r="N34" s="264">
        <f>SUM(N32,N26)</f>
        <v>15905.54</v>
      </c>
      <c r="O34" s="265">
        <f>N34/$N$34</f>
        <v>1</v>
      </c>
      <c r="P34" s="271"/>
      <c r="Q34" s="271"/>
    </row>
    <row r="35" spans="1:25" s="267" customFormat="1" ht="18.75" x14ac:dyDescent="0.3">
      <c r="A35" s="271"/>
      <c r="B35" s="286" t="s">
        <v>159</v>
      </c>
      <c r="C35" s="271"/>
      <c r="D35" s="271"/>
      <c r="E35" s="271"/>
      <c r="F35" s="271"/>
      <c r="G35" s="271"/>
      <c r="H35" s="271"/>
      <c r="I35" s="271"/>
      <c r="J35" s="271"/>
      <c r="K35" s="271"/>
      <c r="L35" s="287"/>
      <c r="M35" s="271"/>
      <c r="N35" s="131"/>
      <c r="O35" s="288"/>
      <c r="P35" s="271"/>
      <c r="Q35" s="271"/>
    </row>
    <row r="36" spans="1:25" s="267" customFormat="1" ht="18.75" x14ac:dyDescent="0.3">
      <c r="A36" s="271"/>
      <c r="B36" s="286"/>
      <c r="C36" s="271"/>
      <c r="D36" s="271"/>
      <c r="E36" s="289"/>
      <c r="F36" s="271"/>
      <c r="G36" s="271"/>
      <c r="H36" s="271"/>
      <c r="I36" s="290"/>
      <c r="J36" s="261"/>
      <c r="K36" s="271"/>
      <c r="L36" s="287"/>
      <c r="N36" s="291"/>
      <c r="O36" s="292"/>
      <c r="P36" s="293"/>
      <c r="Q36" s="294"/>
    </row>
    <row r="37" spans="1:25" s="267" customFormat="1" ht="18.75" x14ac:dyDescent="0.3">
      <c r="A37" s="271"/>
      <c r="B37" s="286"/>
      <c r="C37" s="271"/>
      <c r="D37" s="271"/>
      <c r="E37" s="271"/>
      <c r="F37" s="271"/>
      <c r="G37" s="271"/>
      <c r="H37" s="271"/>
      <c r="I37" s="271"/>
      <c r="J37" s="271"/>
      <c r="K37" s="271"/>
      <c r="L37" s="287"/>
      <c r="M37" s="271"/>
      <c r="N37" s="271"/>
      <c r="O37" s="288"/>
      <c r="P37" s="293"/>
      <c r="Q37" s="294"/>
    </row>
    <row r="38" spans="1:25" s="267" customFormat="1" ht="18.75" x14ac:dyDescent="0.3">
      <c r="A38" s="271"/>
      <c r="B38" s="286"/>
      <c r="C38" s="271"/>
      <c r="D38" s="271"/>
      <c r="E38" s="271"/>
      <c r="F38" s="271"/>
      <c r="G38" s="271"/>
      <c r="H38" s="271"/>
      <c r="I38" s="271"/>
      <c r="J38" s="271"/>
      <c r="K38" s="271"/>
      <c r="L38" s="287"/>
      <c r="M38" s="271"/>
      <c r="O38" s="288"/>
      <c r="P38" s="293"/>
      <c r="Q38" s="294"/>
    </row>
    <row r="39" spans="1:25" s="267" customFormat="1" ht="18.75" x14ac:dyDescent="0.3">
      <c r="A39" s="271"/>
      <c r="B39" s="286"/>
      <c r="C39" s="271"/>
      <c r="D39" s="271"/>
      <c r="E39" s="271"/>
      <c r="F39" s="271"/>
      <c r="G39" s="271"/>
      <c r="H39" s="271"/>
      <c r="I39" s="271"/>
      <c r="J39" s="271"/>
      <c r="K39" s="271"/>
      <c r="L39" s="287"/>
      <c r="M39" s="261" t="s">
        <v>196</v>
      </c>
      <c r="N39" s="295">
        <f>+Impaktu!N42</f>
        <v>43616.9064</v>
      </c>
      <c r="O39" s="288"/>
      <c r="P39" s="293"/>
      <c r="Q39" s="285"/>
    </row>
    <row r="40" spans="1:25" s="267" customFormat="1" ht="18.75" x14ac:dyDescent="0.3">
      <c r="B40" s="296"/>
      <c r="L40" s="297"/>
      <c r="M40" s="328" t="s">
        <v>197</v>
      </c>
      <c r="N40" s="295">
        <f>+N39-N34</f>
        <v>27711.366399999999</v>
      </c>
      <c r="O40" s="298"/>
    </row>
    <row r="41" spans="1:25" s="267" customFormat="1" ht="18.75" x14ac:dyDescent="0.3">
      <c r="B41" s="296"/>
      <c r="L41" s="297"/>
      <c r="M41" s="328" t="s">
        <v>198</v>
      </c>
      <c r="N41" s="299">
        <f>+N34/C10</f>
        <v>4879.0000000000009</v>
      </c>
      <c r="O41" s="298"/>
    </row>
    <row r="42" spans="1:25" x14ac:dyDescent="0.35">
      <c r="N42" s="155"/>
    </row>
    <row r="47" spans="1:25" x14ac:dyDescent="0.35">
      <c r="Y47" s="154"/>
    </row>
    <row r="48" spans="1:25" x14ac:dyDescent="0.35">
      <c r="U48" s="1">
        <f>+X48*$G$28*G31</f>
        <v>0</v>
      </c>
      <c r="Y48" s="154"/>
    </row>
    <row r="49" spans="21:25" x14ac:dyDescent="0.35">
      <c r="U49" s="1">
        <f>+(X49*$G$28)*G29</f>
        <v>0</v>
      </c>
      <c r="Y49" s="154"/>
    </row>
    <row r="50" spans="21:25" x14ac:dyDescent="0.35">
      <c r="U50" s="1">
        <f>+X50*$G$28</f>
        <v>0</v>
      </c>
      <c r="Y50" s="154"/>
    </row>
    <row r="51" spans="21:25" x14ac:dyDescent="0.35">
      <c r="U51" s="1">
        <f>+X51*$G$28</f>
        <v>0</v>
      </c>
      <c r="Y51" s="154"/>
    </row>
    <row r="52" spans="21:25" x14ac:dyDescent="0.35">
      <c r="U52" s="1">
        <f>+X52*$G$28</f>
        <v>0</v>
      </c>
      <c r="Y52" s="154"/>
    </row>
    <row r="55" spans="21:25" x14ac:dyDescent="0.35">
      <c r="Y55" s="154"/>
    </row>
  </sheetData>
  <mergeCells count="14">
    <mergeCell ref="B32:K32"/>
    <mergeCell ref="J34:K34"/>
    <mergeCell ref="B26:F26"/>
    <mergeCell ref="J26:K26"/>
    <mergeCell ref="B28:F28"/>
    <mergeCell ref="B29:F29"/>
    <mergeCell ref="B30:F30"/>
    <mergeCell ref="B31:F31"/>
    <mergeCell ref="B14:K14"/>
    <mergeCell ref="C2:D2"/>
    <mergeCell ref="C4:D4"/>
    <mergeCell ref="C6:D6"/>
    <mergeCell ref="C8:D8"/>
    <mergeCell ref="C10:D10"/>
  </mergeCells>
  <conditionalFormatting sqref="M14 L11:M13 M20">
    <cfRule type="cellIs" dxfId="153" priority="13" stopIfTrue="1" operator="equal">
      <formula>0</formula>
    </cfRule>
    <cfRule type="expression" dxfId="152" priority="14" stopIfTrue="1">
      <formula>ISERROR(L11)</formula>
    </cfRule>
  </conditionalFormatting>
  <conditionalFormatting sqref="L15:M15 L16:L17">
    <cfRule type="cellIs" dxfId="151" priority="11" stopIfTrue="1" operator="equal">
      <formula>0</formula>
    </cfRule>
    <cfRule type="expression" dxfId="150" priority="12" stopIfTrue="1">
      <formula>ISERROR(L15)</formula>
    </cfRule>
  </conditionalFormatting>
  <conditionalFormatting sqref="M22:M24">
    <cfRule type="cellIs" dxfId="149" priority="9" stopIfTrue="1" operator="equal">
      <formula>0</formula>
    </cfRule>
    <cfRule type="expression" dxfId="148" priority="10" stopIfTrue="1">
      <formula>ISERROR(M22)</formula>
    </cfRule>
  </conditionalFormatting>
  <conditionalFormatting sqref="M19">
    <cfRule type="cellIs" dxfId="147" priority="7" stopIfTrue="1" operator="equal">
      <formula>0</formula>
    </cfRule>
    <cfRule type="expression" dxfId="146" priority="8" stopIfTrue="1">
      <formula>ISERROR(M19)</formula>
    </cfRule>
  </conditionalFormatting>
  <conditionalFormatting sqref="L18:M18 L19:L27">
    <cfRule type="cellIs" dxfId="145" priority="5" stopIfTrue="1" operator="equal">
      <formula>0</formula>
    </cfRule>
    <cfRule type="expression" dxfId="144" priority="6" stopIfTrue="1">
      <formula>ISERROR(L18)</formula>
    </cfRule>
  </conditionalFormatting>
  <conditionalFormatting sqref="M21">
    <cfRule type="cellIs" dxfId="143" priority="3" stopIfTrue="1" operator="equal">
      <formula>0</formula>
    </cfRule>
    <cfRule type="expression" dxfId="142" priority="4" stopIfTrue="1">
      <formula>ISERROR(M21)</formula>
    </cfRule>
  </conditionalFormatting>
  <conditionalFormatting sqref="M16:M17">
    <cfRule type="cellIs" dxfId="141" priority="1" stopIfTrue="1" operator="equal">
      <formula>0</formula>
    </cfRule>
    <cfRule type="expression" dxfId="140" priority="2" stopIfTrue="1">
      <formula>ISERROR(M16)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Y56"/>
  <sheetViews>
    <sheetView showGridLines="0" zoomScale="50" zoomScaleNormal="50" workbookViewId="0">
      <pane ySplit="10" topLeftCell="A11" activePane="bottomLeft" state="frozen"/>
      <selection activeCell="M15" sqref="M15:M16"/>
      <selection pane="bottomLeft" activeCell="M15" sqref="M15:M16"/>
    </sheetView>
  </sheetViews>
  <sheetFormatPr baseColWidth="10" defaultRowHeight="21" x14ac:dyDescent="0.35"/>
  <cols>
    <col min="1" max="1" width="4" style="1" customWidth="1"/>
    <col min="2" max="2" width="31.140625" style="2" customWidth="1"/>
    <col min="3" max="3" width="32.42578125" style="1" customWidth="1"/>
    <col min="4" max="4" width="55.7109375" style="1" customWidth="1"/>
    <col min="5" max="5" width="49.28515625" style="1" customWidth="1"/>
    <col min="6" max="6" width="24.7109375" style="1" customWidth="1"/>
    <col min="7" max="7" width="18.7109375" style="1" customWidth="1"/>
    <col min="8" max="8" width="21.7109375" style="1" customWidth="1"/>
    <col min="9" max="9" width="24.5703125" style="1" customWidth="1"/>
    <col min="10" max="10" width="24.140625" style="1" customWidth="1"/>
    <col min="11" max="11" width="22.85546875" style="1" customWidth="1"/>
    <col min="12" max="12" width="5.140625" style="4" customWidth="1"/>
    <col min="13" max="13" width="21.7109375" style="1" customWidth="1"/>
    <col min="14" max="14" width="25.7109375" style="1" customWidth="1"/>
    <col min="15" max="15" width="19.85546875" style="126" customWidth="1"/>
    <col min="16" max="17" width="11.42578125" style="1"/>
    <col min="18" max="18" width="20.85546875" style="1" hidden="1" customWidth="1"/>
    <col min="19" max="19" width="23.42578125" style="1" hidden="1" customWidth="1"/>
    <col min="20" max="20" width="11.42578125" style="1"/>
    <col min="21" max="21" width="23.5703125" style="1" hidden="1" customWidth="1"/>
    <col min="22" max="22" width="19.28515625" style="1" hidden="1" customWidth="1"/>
    <col min="23" max="23" width="15.42578125" style="1" bestFit="1" customWidth="1"/>
    <col min="24" max="24" width="21.85546875" style="1" customWidth="1"/>
    <col min="25" max="25" width="19.5703125" style="1" customWidth="1"/>
    <col min="26" max="16384" width="11.42578125" style="1"/>
  </cols>
  <sheetData>
    <row r="1" spans="1:19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7"/>
      <c r="M1" s="5"/>
      <c r="N1" s="5"/>
      <c r="O1" s="115"/>
      <c r="P1" s="5"/>
      <c r="Q1" s="5"/>
    </row>
    <row r="2" spans="1:19" ht="20.25" customHeight="1" x14ac:dyDescent="0.35">
      <c r="A2" s="5"/>
      <c r="B2" s="221" t="s">
        <v>3</v>
      </c>
      <c r="C2" s="381" t="s">
        <v>32</v>
      </c>
      <c r="D2" s="383"/>
      <c r="E2" s="5"/>
      <c r="F2" s="5"/>
      <c r="G2" s="5"/>
      <c r="H2" s="5"/>
      <c r="I2" s="5"/>
      <c r="J2" s="5"/>
      <c r="K2" s="7"/>
      <c r="L2" s="5"/>
      <c r="M2" s="5"/>
      <c r="N2" s="5"/>
      <c r="O2" s="115"/>
      <c r="P2" s="5"/>
    </row>
    <row r="3" spans="1:19" ht="3.75" customHeight="1" x14ac:dyDescent="0.35">
      <c r="A3" s="7"/>
      <c r="B3" s="8"/>
      <c r="C3" s="9"/>
      <c r="D3" s="10"/>
      <c r="E3" s="7"/>
      <c r="F3" s="7"/>
      <c r="G3" s="7"/>
      <c r="H3" s="7"/>
      <c r="I3" s="7"/>
      <c r="J3" s="7"/>
      <c r="K3" s="7"/>
      <c r="L3" s="7"/>
      <c r="M3" s="7"/>
      <c r="N3" s="7"/>
      <c r="O3" s="116"/>
      <c r="P3" s="7"/>
    </row>
    <row r="4" spans="1:19" ht="14.25" customHeight="1" x14ac:dyDescent="0.35">
      <c r="A4" s="5"/>
      <c r="B4" s="221" t="s">
        <v>4</v>
      </c>
      <c r="C4" s="381" t="s">
        <v>50</v>
      </c>
      <c r="D4" s="383"/>
      <c r="E4" s="5"/>
      <c r="F4" s="5"/>
      <c r="G4" s="5"/>
      <c r="H4" s="5"/>
      <c r="I4" s="5"/>
      <c r="J4" s="5"/>
      <c r="K4" s="7"/>
      <c r="L4" s="5"/>
      <c r="M4" s="5"/>
      <c r="N4" s="5"/>
      <c r="O4" s="115"/>
      <c r="P4" s="5"/>
    </row>
    <row r="5" spans="1:19" ht="3.75" customHeight="1" x14ac:dyDescent="0.35">
      <c r="A5" s="7"/>
      <c r="B5" s="8"/>
      <c r="C5" s="9"/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116"/>
      <c r="P5" s="7"/>
    </row>
    <row r="6" spans="1:19" ht="15.75" customHeight="1" x14ac:dyDescent="0.35">
      <c r="A6" s="5"/>
      <c r="B6" s="221" t="s">
        <v>5</v>
      </c>
      <c r="C6" s="381" t="s">
        <v>17</v>
      </c>
      <c r="D6" s="383"/>
      <c r="E6" s="5"/>
      <c r="F6" s="5"/>
      <c r="G6" s="5"/>
      <c r="H6" s="5"/>
      <c r="I6" s="5"/>
      <c r="J6" s="5"/>
      <c r="K6" s="7"/>
      <c r="L6" s="5"/>
      <c r="M6" s="5"/>
      <c r="N6" s="5"/>
      <c r="O6" s="115"/>
      <c r="P6" s="5"/>
    </row>
    <row r="7" spans="1:19" ht="3.75" customHeight="1" x14ac:dyDescent="0.35">
      <c r="A7" s="7"/>
      <c r="B7" s="8"/>
      <c r="C7" s="9"/>
      <c r="D7" s="10"/>
      <c r="E7" s="7"/>
      <c r="F7" s="7"/>
      <c r="G7" s="7"/>
      <c r="H7" s="7"/>
      <c r="I7" s="7"/>
      <c r="J7" s="7"/>
      <c r="K7" s="7"/>
      <c r="L7" s="7"/>
      <c r="M7" s="7"/>
      <c r="N7" s="7"/>
      <c r="O7" s="116"/>
      <c r="P7" s="7"/>
    </row>
    <row r="8" spans="1:19" ht="14.25" customHeight="1" x14ac:dyDescent="0.35">
      <c r="A8" s="5"/>
      <c r="B8" s="221" t="s">
        <v>6</v>
      </c>
      <c r="C8" s="384">
        <f ca="1">TODAY()</f>
        <v>42808</v>
      </c>
      <c r="D8" s="386"/>
      <c r="E8" s="11"/>
      <c r="F8" s="5"/>
      <c r="G8" s="5"/>
      <c r="H8" s="5"/>
      <c r="I8" s="5"/>
      <c r="J8" s="5"/>
      <c r="K8" s="7"/>
      <c r="L8" s="5"/>
      <c r="M8" s="5"/>
      <c r="N8" s="5"/>
      <c r="O8" s="115"/>
      <c r="P8" s="41"/>
    </row>
    <row r="9" spans="1:19" ht="3.75" customHeight="1" x14ac:dyDescent="0.35">
      <c r="A9" s="7"/>
      <c r="B9" s="8"/>
      <c r="C9" s="9"/>
      <c r="D9" s="10"/>
      <c r="E9" s="14"/>
      <c r="F9" s="7"/>
      <c r="G9" s="7"/>
      <c r="H9" s="7"/>
      <c r="I9" s="7"/>
      <c r="J9" s="7"/>
      <c r="K9" s="7"/>
      <c r="L9" s="7"/>
      <c r="M9" s="7"/>
      <c r="N9" s="7"/>
      <c r="O9" s="116"/>
      <c r="P9" s="42"/>
    </row>
    <row r="10" spans="1:19" s="3" customFormat="1" ht="15.75" customHeight="1" x14ac:dyDescent="0.35">
      <c r="A10" s="5"/>
      <c r="B10" s="221" t="s">
        <v>16</v>
      </c>
      <c r="C10" s="403">
        <v>3.26</v>
      </c>
      <c r="D10" s="404"/>
      <c r="E10" s="11"/>
      <c r="F10" s="5"/>
      <c r="G10" s="5"/>
      <c r="H10" s="5"/>
      <c r="I10" s="5"/>
      <c r="J10" s="5"/>
      <c r="K10" s="7"/>
      <c r="L10" s="5"/>
      <c r="M10" s="5"/>
      <c r="N10" s="5"/>
      <c r="O10" s="115"/>
      <c r="P10" s="41"/>
    </row>
    <row r="11" spans="1:19" s="3" customFormat="1" ht="26.25" customHeight="1" x14ac:dyDescent="0.35">
      <c r="A11" s="5"/>
      <c r="B11" s="5"/>
      <c r="C11" s="41"/>
      <c r="D11" s="5"/>
      <c r="E11" s="5"/>
      <c r="F11" s="5"/>
      <c r="G11" s="5"/>
      <c r="H11" s="5"/>
      <c r="I11" s="5"/>
      <c r="J11" s="5"/>
      <c r="K11" s="5"/>
      <c r="L11" s="7"/>
      <c r="M11" s="5"/>
      <c r="N11" s="5"/>
      <c r="O11" s="115"/>
      <c r="P11" s="5"/>
      <c r="Q11" s="41"/>
    </row>
    <row r="12" spans="1:19" ht="39.75" customHeight="1" x14ac:dyDescent="0.35">
      <c r="A12" s="15"/>
      <c r="B12" s="209" t="s">
        <v>7</v>
      </c>
      <c r="C12" s="209" t="s">
        <v>18</v>
      </c>
      <c r="D12" s="209" t="s">
        <v>19</v>
      </c>
      <c r="E12" s="209" t="s">
        <v>20</v>
      </c>
      <c r="F12" s="209" t="s">
        <v>8</v>
      </c>
      <c r="G12" s="209" t="s">
        <v>168</v>
      </c>
      <c r="H12" s="209" t="s">
        <v>21</v>
      </c>
      <c r="I12" s="209" t="s">
        <v>22</v>
      </c>
      <c r="J12" s="209" t="s">
        <v>161</v>
      </c>
      <c r="K12" s="209" t="s">
        <v>162</v>
      </c>
      <c r="L12" s="43"/>
      <c r="M12" s="212" t="s">
        <v>24</v>
      </c>
      <c r="N12" s="213" t="s">
        <v>25</v>
      </c>
      <c r="O12" s="214" t="s">
        <v>43</v>
      </c>
      <c r="P12" s="44"/>
      <c r="Q12" s="15"/>
    </row>
    <row r="13" spans="1:19" ht="5.25" customHeight="1" x14ac:dyDescent="0.35">
      <c r="A13" s="5"/>
      <c r="B13" s="11"/>
      <c r="C13" s="5"/>
      <c r="D13" s="5"/>
      <c r="E13" s="5"/>
      <c r="F13" s="5"/>
      <c r="G13" s="5"/>
      <c r="H13" s="5"/>
      <c r="I13" s="5"/>
      <c r="J13" s="5"/>
      <c r="K13" s="5"/>
      <c r="L13" s="7"/>
      <c r="M13" s="5"/>
      <c r="N13" s="5"/>
      <c r="O13" s="115"/>
      <c r="P13" s="5"/>
      <c r="Q13" s="5"/>
    </row>
    <row r="14" spans="1:19" ht="22.5" customHeight="1" x14ac:dyDescent="0.35">
      <c r="A14" s="5"/>
      <c r="B14" s="400" t="s">
        <v>187</v>
      </c>
      <c r="C14" s="401"/>
      <c r="D14" s="401"/>
      <c r="E14" s="401"/>
      <c r="F14" s="401"/>
      <c r="G14" s="401"/>
      <c r="H14" s="401"/>
      <c r="I14" s="401"/>
      <c r="J14" s="401"/>
      <c r="K14" s="402"/>
      <c r="L14" s="45"/>
      <c r="M14" s="215"/>
      <c r="N14" s="216"/>
      <c r="O14" s="217"/>
      <c r="P14" s="45"/>
      <c r="Q14" s="5"/>
    </row>
    <row r="15" spans="1:19" ht="78" hidden="1" customHeight="1" x14ac:dyDescent="0.35">
      <c r="A15" s="5"/>
      <c r="B15" s="326" t="s">
        <v>174</v>
      </c>
      <c r="C15" s="317" t="s">
        <v>175</v>
      </c>
      <c r="D15" s="315" t="s">
        <v>176</v>
      </c>
      <c r="E15" s="319" t="s">
        <v>191</v>
      </c>
      <c r="F15" s="243" t="s">
        <v>0</v>
      </c>
      <c r="G15" s="244">
        <f>M15/J15</f>
        <v>0</v>
      </c>
      <c r="H15" s="322">
        <v>3.0000000000000001E-3</v>
      </c>
      <c r="I15" s="323">
        <f>G15/H15</f>
        <v>0</v>
      </c>
      <c r="J15" s="325">
        <v>0.4</v>
      </c>
      <c r="K15" s="247" t="e">
        <f>M15/I15*1000</f>
        <v>#DIV/0!</v>
      </c>
      <c r="L15" s="248"/>
      <c r="M15" s="249"/>
      <c r="N15" s="250">
        <f>M15*$C$10</f>
        <v>0</v>
      </c>
      <c r="O15" s="251">
        <f>N15/$N$35</f>
        <v>0</v>
      </c>
      <c r="P15" s="54"/>
      <c r="Q15" s="5"/>
      <c r="R15" s="143" t="s">
        <v>51</v>
      </c>
      <c r="S15" s="143">
        <f>+N35/3.15</f>
        <v>3982.3746031746032</v>
      </c>
    </row>
    <row r="16" spans="1:19" ht="78" hidden="1" customHeight="1" x14ac:dyDescent="0.35">
      <c r="A16" s="5"/>
      <c r="B16" s="326" t="s">
        <v>182</v>
      </c>
      <c r="C16" s="317" t="s">
        <v>177</v>
      </c>
      <c r="D16" s="317" t="s">
        <v>189</v>
      </c>
      <c r="E16" s="319" t="s">
        <v>191</v>
      </c>
      <c r="F16" s="243" t="s">
        <v>68</v>
      </c>
      <c r="G16" s="244">
        <f>+H16*I16</f>
        <v>0</v>
      </c>
      <c r="H16" s="322">
        <v>0.7</v>
      </c>
      <c r="I16" s="244">
        <f>+(M16/K16)*1000</f>
        <v>0</v>
      </c>
      <c r="J16" s="246" t="e">
        <f>+M16/G16</f>
        <v>#DIV/0!</v>
      </c>
      <c r="K16" s="324">
        <v>26</v>
      </c>
      <c r="L16" s="248"/>
      <c r="M16" s="249"/>
      <c r="N16" s="250">
        <f>M16*$C$10</f>
        <v>0</v>
      </c>
      <c r="O16" s="251">
        <f>N16/$N$35</f>
        <v>0</v>
      </c>
      <c r="P16" s="54"/>
      <c r="Q16" s="5"/>
      <c r="R16" s="143"/>
      <c r="S16" s="143"/>
    </row>
    <row r="17" spans="1:22" ht="78" hidden="1" customHeight="1" x14ac:dyDescent="0.35">
      <c r="A17" s="5"/>
      <c r="B17" s="326" t="s">
        <v>182</v>
      </c>
      <c r="C17" s="317" t="s">
        <v>177</v>
      </c>
      <c r="D17" s="317" t="s">
        <v>186</v>
      </c>
      <c r="E17" s="319" t="s">
        <v>191</v>
      </c>
      <c r="F17" s="243" t="s">
        <v>68</v>
      </c>
      <c r="G17" s="244">
        <f>+H17*I17</f>
        <v>0</v>
      </c>
      <c r="H17" s="322">
        <v>0.4</v>
      </c>
      <c r="I17" s="244">
        <f>+(M17/K17)*1000</f>
        <v>0</v>
      </c>
      <c r="J17" s="246" t="e">
        <f>+M17/G17</f>
        <v>#DIV/0!</v>
      </c>
      <c r="K17" s="324">
        <v>31</v>
      </c>
      <c r="L17" s="248"/>
      <c r="M17" s="249"/>
      <c r="N17" s="250">
        <f>M17*$C$10</f>
        <v>0</v>
      </c>
      <c r="O17" s="251">
        <f>N17/$N$35</f>
        <v>0</v>
      </c>
      <c r="P17" s="54"/>
      <c r="Q17" s="5"/>
      <c r="R17" s="143"/>
      <c r="S17" s="143"/>
    </row>
    <row r="18" spans="1:22" ht="78" hidden="1" customHeight="1" x14ac:dyDescent="0.35">
      <c r="A18" s="5"/>
      <c r="B18" s="320" t="s">
        <v>178</v>
      </c>
      <c r="C18" s="321" t="s">
        <v>71</v>
      </c>
      <c r="D18" s="321" t="s">
        <v>184</v>
      </c>
      <c r="E18" s="319" t="s">
        <v>191</v>
      </c>
      <c r="F18" s="243" t="s">
        <v>0</v>
      </c>
      <c r="G18" s="244">
        <f t="shared" ref="G18:G19" si="0">M18/J18</f>
        <v>0</v>
      </c>
      <c r="H18" s="245">
        <v>3.0000000000000001E-3</v>
      </c>
      <c r="I18" s="244">
        <f>G18/H18</f>
        <v>0</v>
      </c>
      <c r="J18" s="325">
        <v>0.2</v>
      </c>
      <c r="K18" s="247" t="e">
        <f>M18/I18*1000</f>
        <v>#DIV/0!</v>
      </c>
      <c r="L18" s="248"/>
      <c r="M18" s="249"/>
      <c r="N18" s="250">
        <f t="shared" ref="N18" si="1">M18*$C$10</f>
        <v>0</v>
      </c>
      <c r="O18" s="251">
        <f t="shared" ref="O18:O26" si="2">N18/$N$35</f>
        <v>0</v>
      </c>
      <c r="P18" s="54"/>
      <c r="Q18" s="5"/>
      <c r="R18" s="143" t="s">
        <v>52</v>
      </c>
      <c r="S18" s="143">
        <f>+S15/2</f>
        <v>1991.1873015873016</v>
      </c>
    </row>
    <row r="19" spans="1:22" ht="78" hidden="1" customHeight="1" x14ac:dyDescent="0.35">
      <c r="A19" s="5"/>
      <c r="B19" s="320" t="s">
        <v>178</v>
      </c>
      <c r="C19" s="321" t="s">
        <v>71</v>
      </c>
      <c r="D19" s="321" t="s">
        <v>184</v>
      </c>
      <c r="E19" s="319" t="s">
        <v>191</v>
      </c>
      <c r="F19" s="243" t="s">
        <v>0</v>
      </c>
      <c r="G19" s="244">
        <f t="shared" si="0"/>
        <v>0</v>
      </c>
      <c r="H19" s="245">
        <v>3.0000000000000001E-3</v>
      </c>
      <c r="I19" s="244">
        <f>G19/H19</f>
        <v>0</v>
      </c>
      <c r="J19" s="325">
        <v>0.2</v>
      </c>
      <c r="K19" s="247" t="e">
        <f>M19/I19*1000</f>
        <v>#DIV/0!</v>
      </c>
      <c r="L19" s="248"/>
      <c r="M19" s="249"/>
      <c r="N19" s="250">
        <f>M19*$C$10</f>
        <v>0</v>
      </c>
      <c r="O19" s="251">
        <f t="shared" si="2"/>
        <v>0</v>
      </c>
      <c r="P19" s="54"/>
      <c r="Q19" s="5"/>
    </row>
    <row r="20" spans="1:22" ht="78" customHeight="1" x14ac:dyDescent="0.35">
      <c r="A20" s="5"/>
      <c r="B20" s="318" t="s">
        <v>179</v>
      </c>
      <c r="C20" s="317" t="s">
        <v>188</v>
      </c>
      <c r="D20" s="317" t="s">
        <v>185</v>
      </c>
      <c r="E20" s="319" t="s">
        <v>192</v>
      </c>
      <c r="F20" s="243" t="s">
        <v>68</v>
      </c>
      <c r="G20" s="244">
        <f>+H20*I20</f>
        <v>1231.060606060606</v>
      </c>
      <c r="H20" s="245">
        <v>5.0000000000000001E-3</v>
      </c>
      <c r="I20" s="244">
        <f>+(M20/K20)*1000</f>
        <v>246212.12121212119</v>
      </c>
      <c r="J20" s="246">
        <f>+M20/G20</f>
        <v>1.056</v>
      </c>
      <c r="K20" s="324">
        <v>5.28</v>
      </c>
      <c r="L20" s="248"/>
      <c r="M20" s="249">
        <v>1300</v>
      </c>
      <c r="N20" s="250">
        <f>M20*$C$10</f>
        <v>4238</v>
      </c>
      <c r="O20" s="251">
        <f t="shared" si="2"/>
        <v>0.33783783783783783</v>
      </c>
      <c r="P20" s="54"/>
      <c r="Q20" s="5"/>
    </row>
    <row r="21" spans="1:22" ht="78" customHeight="1" x14ac:dyDescent="0.35">
      <c r="A21" s="5"/>
      <c r="B21" s="318" t="s">
        <v>179</v>
      </c>
      <c r="C21" s="317" t="s">
        <v>188</v>
      </c>
      <c r="D21" s="317" t="s">
        <v>185</v>
      </c>
      <c r="E21" s="319" t="s">
        <v>193</v>
      </c>
      <c r="F21" s="243" t="s">
        <v>68</v>
      </c>
      <c r="G21" s="244">
        <f>+H21*I21</f>
        <v>2272.7272727272725</v>
      </c>
      <c r="H21" s="245">
        <v>5.0000000000000001E-3</v>
      </c>
      <c r="I21" s="244">
        <f>+(M21/K21)*1000</f>
        <v>454545.45454545453</v>
      </c>
      <c r="J21" s="246">
        <f>+M21/G21</f>
        <v>1.056</v>
      </c>
      <c r="K21" s="324">
        <v>5.28</v>
      </c>
      <c r="L21" s="248"/>
      <c r="M21" s="249">
        <v>2400</v>
      </c>
      <c r="N21" s="250">
        <f>M21*$C$10</f>
        <v>7823.9999999999991</v>
      </c>
      <c r="O21" s="251">
        <f t="shared" ref="O21" si="3">N21/$N$35</f>
        <v>0.62370062370062362</v>
      </c>
      <c r="P21" s="54"/>
      <c r="Q21" s="5"/>
    </row>
    <row r="22" spans="1:22" ht="78" hidden="1" customHeight="1" x14ac:dyDescent="0.35">
      <c r="A22" s="5"/>
      <c r="B22" s="320" t="s">
        <v>180</v>
      </c>
      <c r="C22" s="318" t="s">
        <v>181</v>
      </c>
      <c r="D22" s="318" t="s">
        <v>190</v>
      </c>
      <c r="E22" s="319" t="s">
        <v>191</v>
      </c>
      <c r="F22" s="243" t="s">
        <v>68</v>
      </c>
      <c r="G22" s="244">
        <f>+H22*I22</f>
        <v>0</v>
      </c>
      <c r="H22" s="245">
        <v>8.0000000000000002E-3</v>
      </c>
      <c r="I22" s="244">
        <f>+(M22/K22)*1000</f>
        <v>0</v>
      </c>
      <c r="J22" s="246" t="e">
        <f>+M22/G22</f>
        <v>#DIV/0!</v>
      </c>
      <c r="K22" s="324">
        <v>15</v>
      </c>
      <c r="L22" s="248"/>
      <c r="M22" s="249"/>
      <c r="N22" s="250">
        <f>+M22*C10</f>
        <v>0</v>
      </c>
      <c r="O22" s="251">
        <f t="shared" si="2"/>
        <v>0</v>
      </c>
      <c r="P22" s="54"/>
      <c r="Q22" s="5"/>
      <c r="U22" s="151" t="s">
        <v>66</v>
      </c>
      <c r="V22" s="152" t="s">
        <v>11</v>
      </c>
    </row>
    <row r="23" spans="1:22" ht="78" hidden="1" customHeight="1" x14ac:dyDescent="0.35">
      <c r="A23" s="5"/>
      <c r="B23" s="241"/>
      <c r="C23" s="77"/>
      <c r="D23" s="153"/>
      <c r="E23" s="47"/>
      <c r="F23" s="252" t="s">
        <v>68</v>
      </c>
      <c r="G23" s="244">
        <f>I23*H23</f>
        <v>0</v>
      </c>
      <c r="H23" s="253">
        <v>0.02</v>
      </c>
      <c r="I23" s="244">
        <f>M23/J23*1000</f>
        <v>0</v>
      </c>
      <c r="J23" s="254">
        <v>1.3</v>
      </c>
      <c r="K23" s="254" t="e">
        <f>+M23/G23</f>
        <v>#DIV/0!</v>
      </c>
      <c r="L23" s="248"/>
      <c r="M23" s="316"/>
      <c r="N23" s="256">
        <f>+M23*C10</f>
        <v>0</v>
      </c>
      <c r="O23" s="251">
        <f t="shared" si="2"/>
        <v>0</v>
      </c>
      <c r="P23" s="54"/>
      <c r="Q23" s="5"/>
      <c r="U23" s="143">
        <f>+M23/6</f>
        <v>0</v>
      </c>
      <c r="V23" s="143">
        <f>+U23*D23</f>
        <v>0</v>
      </c>
    </row>
    <row r="24" spans="1:22" ht="78" hidden="1" customHeight="1" x14ac:dyDescent="0.35">
      <c r="A24" s="5"/>
      <c r="B24" s="242"/>
      <c r="C24" s="77"/>
      <c r="D24" s="153"/>
      <c r="E24" s="47"/>
      <c r="F24" s="252" t="s">
        <v>49</v>
      </c>
      <c r="G24" s="244">
        <f t="shared" ref="G24:G26" si="4">I24*H24</f>
        <v>0</v>
      </c>
      <c r="H24" s="253">
        <v>1.7999999999999999E-2</v>
      </c>
      <c r="I24" s="244">
        <f t="shared" ref="I24:I26" si="5">M24/J24*1000</f>
        <v>0</v>
      </c>
      <c r="J24" s="254">
        <v>0.2</v>
      </c>
      <c r="K24" s="254" t="e">
        <f t="shared" ref="K24:K26" si="6">+M24/G24</f>
        <v>#DIV/0!</v>
      </c>
      <c r="L24" s="248"/>
      <c r="M24" s="255"/>
      <c r="N24" s="256">
        <f>+M24*C10</f>
        <v>0</v>
      </c>
      <c r="O24" s="251">
        <f t="shared" si="2"/>
        <v>0</v>
      </c>
      <c r="P24" s="54"/>
      <c r="Q24" s="5"/>
      <c r="U24" s="143"/>
      <c r="V24" s="143"/>
    </row>
    <row r="25" spans="1:22" ht="78" hidden="1" customHeight="1" x14ac:dyDescent="0.35">
      <c r="A25" s="5"/>
      <c r="B25" s="242"/>
      <c r="C25" s="77"/>
      <c r="D25" s="153"/>
      <c r="E25" s="47"/>
      <c r="F25" s="252" t="s">
        <v>68</v>
      </c>
      <c r="G25" s="244">
        <f t="shared" si="4"/>
        <v>0</v>
      </c>
      <c r="H25" s="253">
        <v>1.7999999999999999E-2</v>
      </c>
      <c r="I25" s="244">
        <f t="shared" si="5"/>
        <v>0</v>
      </c>
      <c r="J25" s="254">
        <v>1.3</v>
      </c>
      <c r="K25" s="254" t="e">
        <f t="shared" si="6"/>
        <v>#DIV/0!</v>
      </c>
      <c r="L25" s="248"/>
      <c r="M25" s="255"/>
      <c r="N25" s="256">
        <f>+M25*C10</f>
        <v>0</v>
      </c>
      <c r="O25" s="251">
        <f t="shared" si="2"/>
        <v>0</v>
      </c>
      <c r="P25" s="54"/>
      <c r="Q25" s="5"/>
      <c r="U25" s="143"/>
      <c r="V25" s="143"/>
    </row>
    <row r="26" spans="1:22" ht="78" hidden="1" customHeight="1" x14ac:dyDescent="0.35">
      <c r="A26" s="5"/>
      <c r="B26" s="242"/>
      <c r="C26" s="77"/>
      <c r="D26" s="153"/>
      <c r="E26" s="47"/>
      <c r="F26" s="252" t="s">
        <v>68</v>
      </c>
      <c r="G26" s="244">
        <f t="shared" si="4"/>
        <v>0</v>
      </c>
      <c r="H26" s="253">
        <v>8.9999999999999993E-3</v>
      </c>
      <c r="I26" s="244">
        <f t="shared" si="5"/>
        <v>0</v>
      </c>
      <c r="J26" s="254">
        <v>1.8</v>
      </c>
      <c r="K26" s="254" t="e">
        <f t="shared" si="6"/>
        <v>#DIV/0!</v>
      </c>
      <c r="L26" s="248"/>
      <c r="M26" s="255"/>
      <c r="N26" s="256">
        <f>+M26*C10</f>
        <v>0</v>
      </c>
      <c r="O26" s="251">
        <f t="shared" si="2"/>
        <v>0</v>
      </c>
      <c r="P26" s="54"/>
      <c r="Q26" s="5"/>
      <c r="U26" s="143">
        <v>703.9</v>
      </c>
      <c r="V26" s="143">
        <f>+U26*D26</f>
        <v>0</v>
      </c>
    </row>
    <row r="27" spans="1:22" s="259" customFormat="1" ht="27" customHeight="1" x14ac:dyDescent="0.25">
      <c r="A27" s="257"/>
      <c r="B27" s="406" t="s">
        <v>26</v>
      </c>
      <c r="C27" s="406"/>
      <c r="D27" s="406"/>
      <c r="E27" s="406"/>
      <c r="F27" s="406"/>
      <c r="G27" s="210">
        <f>SUM(G15:G26)</f>
        <v>3503.7878787878785</v>
      </c>
      <c r="H27" s="211">
        <f>G27/I27</f>
        <v>5.0000000000000001E-3</v>
      </c>
      <c r="I27" s="210">
        <f>SUM(I15:I26)</f>
        <v>700757.57575757569</v>
      </c>
      <c r="J27" s="407" t="s">
        <v>27</v>
      </c>
      <c r="K27" s="408"/>
      <c r="L27" s="248"/>
      <c r="M27" s="218">
        <f>SUM(M15:M26)</f>
        <v>3700</v>
      </c>
      <c r="N27" s="219">
        <f>SUM(N15:N26)</f>
        <v>12062</v>
      </c>
      <c r="O27" s="220">
        <f>N27/$N$35</f>
        <v>0.96153846153846156</v>
      </c>
      <c r="P27" s="258"/>
      <c r="Q27" s="257"/>
      <c r="V27" s="260">
        <f>SUM(V23:V26)</f>
        <v>0</v>
      </c>
    </row>
    <row r="28" spans="1:22" s="92" customFormat="1" ht="21" customHeight="1" x14ac:dyDescent="0.35">
      <c r="A28" s="90"/>
      <c r="B28" s="106" t="s">
        <v>41</v>
      </c>
      <c r="C28" s="107"/>
      <c r="D28" s="107"/>
      <c r="E28" s="107"/>
      <c r="F28" s="107"/>
      <c r="G28" s="100"/>
      <c r="H28" s="101"/>
      <c r="I28" s="100"/>
      <c r="J28" s="102"/>
      <c r="K28" s="102"/>
      <c r="L28" s="248"/>
      <c r="M28" s="102"/>
      <c r="N28" s="103"/>
      <c r="O28" s="122"/>
      <c r="P28" s="104"/>
      <c r="Q28" s="90"/>
      <c r="U28" s="1"/>
    </row>
    <row r="29" spans="1:22" s="310" customFormat="1" ht="21" customHeight="1" x14ac:dyDescent="0.3">
      <c r="A29" s="300"/>
      <c r="B29" s="373" t="s">
        <v>58</v>
      </c>
      <c r="C29" s="374"/>
      <c r="D29" s="374"/>
      <c r="E29" s="374"/>
      <c r="F29" s="374"/>
      <c r="G29" s="301">
        <v>0.04</v>
      </c>
      <c r="H29" s="302"/>
      <c r="I29" s="303"/>
      <c r="J29" s="304"/>
      <c r="K29" s="305"/>
      <c r="L29" s="306"/>
      <c r="M29" s="307">
        <f>(M15+M18+M19+M20+M23+M26+M22+M25+M24+M16+M17+M21)*G29</f>
        <v>148</v>
      </c>
      <c r="N29" s="250">
        <f>M29*$C$10</f>
        <v>482.47999999999996</v>
      </c>
      <c r="O29" s="308"/>
      <c r="P29" s="309"/>
      <c r="Q29" s="300"/>
      <c r="U29" s="267"/>
      <c r="V29" s="267"/>
    </row>
    <row r="30" spans="1:22" s="267" customFormat="1" ht="21" hidden="1" customHeight="1" x14ac:dyDescent="0.3">
      <c r="A30" s="261"/>
      <c r="B30" s="373" t="s">
        <v>183</v>
      </c>
      <c r="C30" s="374"/>
      <c r="D30" s="374"/>
      <c r="E30" s="374"/>
      <c r="F30" s="374"/>
      <c r="G30" s="311">
        <v>0.15</v>
      </c>
      <c r="H30" s="312"/>
      <c r="I30" s="313"/>
      <c r="J30" s="304"/>
      <c r="K30" s="305"/>
      <c r="L30" s="306"/>
      <c r="M30" s="314">
        <f>(M19+M18)*G30</f>
        <v>0</v>
      </c>
      <c r="N30" s="250">
        <f>M30*$C$10</f>
        <v>0</v>
      </c>
      <c r="O30" s="308"/>
      <c r="P30" s="266"/>
      <c r="Q30" s="261"/>
    </row>
    <row r="31" spans="1:22" s="267" customFormat="1" ht="21" hidden="1" customHeight="1" x14ac:dyDescent="0.3">
      <c r="A31" s="261"/>
      <c r="B31" s="373" t="s">
        <v>169</v>
      </c>
      <c r="C31" s="374"/>
      <c r="D31" s="374"/>
      <c r="E31" s="374"/>
      <c r="F31" s="374"/>
      <c r="G31" s="311">
        <v>0.15</v>
      </c>
      <c r="H31" s="312"/>
      <c r="I31" s="313"/>
      <c r="J31" s="304"/>
      <c r="K31" s="305"/>
      <c r="L31" s="306"/>
      <c r="M31" s="314"/>
      <c r="N31" s="250">
        <f>M31*$C$10</f>
        <v>0</v>
      </c>
      <c r="O31" s="308"/>
      <c r="P31" s="266"/>
      <c r="Q31" s="261"/>
    </row>
    <row r="32" spans="1:22" s="267" customFormat="1" ht="21" hidden="1" customHeight="1" x14ac:dyDescent="0.3">
      <c r="A32" s="261"/>
      <c r="B32" s="373" t="s">
        <v>41</v>
      </c>
      <c r="C32" s="374"/>
      <c r="D32" s="374"/>
      <c r="E32" s="374"/>
      <c r="F32" s="374"/>
      <c r="G32" s="311">
        <v>0.15</v>
      </c>
      <c r="H32" s="312"/>
      <c r="I32" s="313"/>
      <c r="J32" s="304"/>
      <c r="K32" s="305"/>
      <c r="L32" s="306"/>
      <c r="M32" s="314">
        <f>(M23+M26+M25)*G32</f>
        <v>0</v>
      </c>
      <c r="N32" s="250">
        <f t="shared" ref="N32" si="7">M32*$C$10</f>
        <v>0</v>
      </c>
      <c r="O32" s="308"/>
      <c r="P32" s="266"/>
      <c r="Q32" s="261"/>
    </row>
    <row r="33" spans="1:25" s="267" customFormat="1" ht="21" customHeight="1" x14ac:dyDescent="0.3">
      <c r="A33" s="261"/>
      <c r="B33" s="369" t="s">
        <v>35</v>
      </c>
      <c r="C33" s="370"/>
      <c r="D33" s="370"/>
      <c r="E33" s="370"/>
      <c r="F33" s="370"/>
      <c r="G33" s="370"/>
      <c r="H33" s="370"/>
      <c r="I33" s="370"/>
      <c r="J33" s="370"/>
      <c r="K33" s="371"/>
      <c r="L33" s="262"/>
      <c r="M33" s="268">
        <f>SUM(M29:M32)</f>
        <v>148</v>
      </c>
      <c r="N33" s="269">
        <f>SUM(N29:N32)</f>
        <v>482.47999999999996</v>
      </c>
      <c r="O33" s="270">
        <f>N33/$N$35</f>
        <v>3.8461538461538457E-2</v>
      </c>
      <c r="P33" s="266"/>
      <c r="Q33" s="261"/>
    </row>
    <row r="34" spans="1:25" s="267" customFormat="1" ht="21" customHeight="1" x14ac:dyDescent="0.3">
      <c r="A34" s="271"/>
      <c r="B34" s="272"/>
      <c r="C34" s="273"/>
      <c r="D34" s="274"/>
      <c r="E34" s="275"/>
      <c r="F34" s="276"/>
      <c r="G34" s="277"/>
      <c r="H34" s="278"/>
      <c r="I34" s="279"/>
      <c r="J34" s="280"/>
      <c r="K34" s="281"/>
      <c r="L34" s="282"/>
      <c r="M34" s="280"/>
      <c r="N34" s="283"/>
      <c r="O34" s="284"/>
      <c r="P34" s="285"/>
      <c r="Q34" s="271"/>
    </row>
    <row r="35" spans="1:25" s="267" customFormat="1" ht="18.75" x14ac:dyDescent="0.3">
      <c r="A35" s="271"/>
      <c r="B35" s="286"/>
      <c r="C35" s="271"/>
      <c r="D35" s="271"/>
      <c r="E35" s="271"/>
      <c r="F35" s="271"/>
      <c r="G35" s="271"/>
      <c r="H35" s="271"/>
      <c r="I35" s="271"/>
      <c r="J35" s="405" t="s">
        <v>28</v>
      </c>
      <c r="K35" s="405"/>
      <c r="L35" s="287"/>
      <c r="M35" s="263">
        <f>SUM(M33,M27)</f>
        <v>3848</v>
      </c>
      <c r="N35" s="264">
        <f>SUM(N33,N27)</f>
        <v>12544.48</v>
      </c>
      <c r="O35" s="265">
        <f>N35/$N$35</f>
        <v>1</v>
      </c>
      <c r="P35" s="271"/>
      <c r="Q35" s="271"/>
    </row>
    <row r="36" spans="1:25" s="267" customFormat="1" ht="18.75" x14ac:dyDescent="0.3">
      <c r="A36" s="271"/>
      <c r="B36" s="286" t="s">
        <v>159</v>
      </c>
      <c r="C36" s="271"/>
      <c r="D36" s="271"/>
      <c r="E36" s="271"/>
      <c r="F36" s="271"/>
      <c r="G36" s="271"/>
      <c r="H36" s="271"/>
      <c r="I36" s="271"/>
      <c r="J36" s="271"/>
      <c r="K36" s="271"/>
      <c r="L36" s="287"/>
      <c r="M36" s="271"/>
      <c r="N36" s="131"/>
      <c r="O36" s="288"/>
      <c r="P36" s="271"/>
      <c r="Q36" s="271"/>
    </row>
    <row r="37" spans="1:25" s="267" customFormat="1" ht="18.75" x14ac:dyDescent="0.3">
      <c r="A37" s="271"/>
      <c r="B37" s="286"/>
      <c r="C37" s="271"/>
      <c r="D37" s="271"/>
      <c r="E37" s="289"/>
      <c r="F37" s="271"/>
      <c r="G37" s="271"/>
      <c r="H37" s="271"/>
      <c r="I37" s="290"/>
      <c r="J37" s="261"/>
      <c r="K37" s="271"/>
      <c r="L37" s="287"/>
      <c r="N37" s="291"/>
      <c r="O37" s="292"/>
      <c r="P37" s="293"/>
      <c r="Q37" s="294"/>
    </row>
    <row r="38" spans="1:25" s="267" customFormat="1" ht="18.75" x14ac:dyDescent="0.3">
      <c r="A38" s="271"/>
      <c r="B38" s="286"/>
      <c r="C38" s="271"/>
      <c r="D38" s="271"/>
      <c r="E38" s="271"/>
      <c r="F38" s="271"/>
      <c r="G38" s="271"/>
      <c r="H38" s="271"/>
      <c r="I38" s="271"/>
      <c r="J38" s="271"/>
      <c r="K38" s="271"/>
      <c r="L38" s="287"/>
      <c r="M38" s="271"/>
      <c r="N38" s="271"/>
      <c r="O38" s="288"/>
      <c r="P38" s="293"/>
      <c r="Q38" s="294"/>
    </row>
    <row r="39" spans="1:25" s="267" customFormat="1" ht="18.75" x14ac:dyDescent="0.3">
      <c r="A39" s="271"/>
      <c r="B39" s="286"/>
      <c r="C39" s="271"/>
      <c r="D39" s="271"/>
      <c r="E39" s="271"/>
      <c r="F39" s="271"/>
      <c r="G39" s="271"/>
      <c r="H39" s="271"/>
      <c r="I39" s="271"/>
      <c r="J39" s="271"/>
      <c r="K39" s="271"/>
      <c r="L39" s="287"/>
      <c r="M39" s="271"/>
      <c r="O39" s="288"/>
      <c r="P39" s="293"/>
      <c r="Q39" s="294"/>
    </row>
    <row r="40" spans="1:25" s="267" customFormat="1" ht="18.75" x14ac:dyDescent="0.3">
      <c r="A40" s="271"/>
      <c r="B40" s="286"/>
      <c r="C40" s="271"/>
      <c r="D40" s="271"/>
      <c r="E40" s="271"/>
      <c r="F40" s="271"/>
      <c r="G40" s="271"/>
      <c r="H40" s="271"/>
      <c r="I40" s="271"/>
      <c r="J40" s="271"/>
      <c r="K40" s="271"/>
      <c r="L40" s="287"/>
      <c r="M40" s="261" t="s">
        <v>196</v>
      </c>
      <c r="N40" s="295">
        <f>+'Google L'!N40</f>
        <v>27711.366399999999</v>
      </c>
      <c r="O40" s="288"/>
      <c r="P40" s="293"/>
      <c r="Q40" s="285"/>
    </row>
    <row r="41" spans="1:25" s="267" customFormat="1" ht="18.75" x14ac:dyDescent="0.3">
      <c r="B41" s="296"/>
      <c r="L41" s="297"/>
      <c r="M41" s="328" t="s">
        <v>197</v>
      </c>
      <c r="N41" s="295">
        <f>+N40-N35</f>
        <v>15166.886399999999</v>
      </c>
      <c r="O41" s="298"/>
    </row>
    <row r="42" spans="1:25" s="267" customFormat="1" ht="18.75" x14ac:dyDescent="0.3">
      <c r="B42" s="296"/>
      <c r="L42" s="297"/>
      <c r="M42" s="328" t="s">
        <v>198</v>
      </c>
      <c r="N42" s="299">
        <f>+N35/C10</f>
        <v>3848</v>
      </c>
      <c r="O42" s="298"/>
    </row>
    <row r="43" spans="1:25" x14ac:dyDescent="0.35">
      <c r="N43" s="155"/>
    </row>
    <row r="48" spans="1:25" x14ac:dyDescent="0.35">
      <c r="Y48" s="154"/>
    </row>
    <row r="49" spans="21:25" x14ac:dyDescent="0.35">
      <c r="U49" s="1">
        <f>+X49*$G$29*G32</f>
        <v>0</v>
      </c>
      <c r="Y49" s="154"/>
    </row>
    <row r="50" spans="21:25" x14ac:dyDescent="0.35">
      <c r="U50" s="1">
        <f>+(X50*$G$29)*G30</f>
        <v>0</v>
      </c>
      <c r="Y50" s="154"/>
    </row>
    <row r="51" spans="21:25" x14ac:dyDescent="0.35">
      <c r="U51" s="1">
        <f>+X51*$G$29</f>
        <v>0</v>
      </c>
      <c r="Y51" s="154"/>
    </row>
    <row r="52" spans="21:25" x14ac:dyDescent="0.35">
      <c r="U52" s="1">
        <f>+X52*$G$29</f>
        <v>0</v>
      </c>
      <c r="Y52" s="154"/>
    </row>
    <row r="53" spans="21:25" x14ac:dyDescent="0.35">
      <c r="U53" s="1">
        <f>+X53*$G$29</f>
        <v>0</v>
      </c>
      <c r="Y53" s="154"/>
    </row>
    <row r="56" spans="21:25" x14ac:dyDescent="0.35">
      <c r="Y56" s="154"/>
    </row>
  </sheetData>
  <mergeCells count="14">
    <mergeCell ref="B33:K33"/>
    <mergeCell ref="J35:K35"/>
    <mergeCell ref="B27:F27"/>
    <mergeCell ref="J27:K27"/>
    <mergeCell ref="B29:F29"/>
    <mergeCell ref="B30:F30"/>
    <mergeCell ref="B31:F31"/>
    <mergeCell ref="B32:F32"/>
    <mergeCell ref="B14:K14"/>
    <mergeCell ref="C2:D2"/>
    <mergeCell ref="C4:D4"/>
    <mergeCell ref="C6:D6"/>
    <mergeCell ref="C8:D8"/>
    <mergeCell ref="C10:D10"/>
  </mergeCells>
  <conditionalFormatting sqref="M14 L11:M13 M20">
    <cfRule type="cellIs" dxfId="139" priority="17" stopIfTrue="1" operator="equal">
      <formula>0</formula>
    </cfRule>
    <cfRule type="expression" dxfId="138" priority="18" stopIfTrue="1">
      <formula>ISERROR(L11)</formula>
    </cfRule>
  </conditionalFormatting>
  <conditionalFormatting sqref="L15:M15 L16:L17">
    <cfRule type="cellIs" dxfId="137" priority="15" stopIfTrue="1" operator="equal">
      <formula>0</formula>
    </cfRule>
    <cfRule type="expression" dxfId="136" priority="16" stopIfTrue="1">
      <formula>ISERROR(L15)</formula>
    </cfRule>
  </conditionalFormatting>
  <conditionalFormatting sqref="M23:M25">
    <cfRule type="cellIs" dxfId="135" priority="13" stopIfTrue="1" operator="equal">
      <formula>0</formula>
    </cfRule>
    <cfRule type="expression" dxfId="134" priority="14" stopIfTrue="1">
      <formula>ISERROR(M23)</formula>
    </cfRule>
  </conditionalFormatting>
  <conditionalFormatting sqref="M19">
    <cfRule type="cellIs" dxfId="133" priority="11" stopIfTrue="1" operator="equal">
      <formula>0</formula>
    </cfRule>
    <cfRule type="expression" dxfId="132" priority="12" stopIfTrue="1">
      <formula>ISERROR(M19)</formula>
    </cfRule>
  </conditionalFormatting>
  <conditionalFormatting sqref="L18:M18 L19:L20 L22:L28">
    <cfRule type="cellIs" dxfId="131" priority="9" stopIfTrue="1" operator="equal">
      <formula>0</formula>
    </cfRule>
    <cfRule type="expression" dxfId="130" priority="10" stopIfTrue="1">
      <formula>ISERROR(L18)</formula>
    </cfRule>
  </conditionalFormatting>
  <conditionalFormatting sqref="M22">
    <cfRule type="cellIs" dxfId="129" priority="7" stopIfTrue="1" operator="equal">
      <formula>0</formula>
    </cfRule>
    <cfRule type="expression" dxfId="128" priority="8" stopIfTrue="1">
      <formula>ISERROR(M22)</formula>
    </cfRule>
  </conditionalFormatting>
  <conditionalFormatting sqref="M16:M17">
    <cfRule type="cellIs" dxfId="127" priority="5" stopIfTrue="1" operator="equal">
      <formula>0</formula>
    </cfRule>
    <cfRule type="expression" dxfId="126" priority="6" stopIfTrue="1">
      <formula>ISERROR(M16)</formula>
    </cfRule>
  </conditionalFormatting>
  <conditionalFormatting sqref="M21">
    <cfRule type="cellIs" dxfId="125" priority="3" stopIfTrue="1" operator="equal">
      <formula>0</formula>
    </cfRule>
    <cfRule type="expression" dxfId="124" priority="4" stopIfTrue="1">
      <formula>ISERROR(M21)</formula>
    </cfRule>
  </conditionalFormatting>
  <conditionalFormatting sqref="L21">
    <cfRule type="cellIs" dxfId="123" priority="1" stopIfTrue="1" operator="equal">
      <formula>0</formula>
    </cfRule>
    <cfRule type="expression" dxfId="122" priority="2" stopIfTrue="1">
      <formula>ISERROR(L21)</formula>
    </cfRule>
  </conditionalFormatting>
  <pageMargins left="0.7" right="0.7" top="0.75" bottom="0.75" header="0.3" footer="0.3"/>
  <pageSetup paperSize="9" orientation="portrait" r:id="rId1"/>
  <ignoredErrors>
    <ignoredError sqref="H2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Y56"/>
  <sheetViews>
    <sheetView showGridLines="0" zoomScale="50" zoomScaleNormal="50" workbookViewId="0">
      <pane ySplit="10" topLeftCell="A11" activePane="bottomLeft" state="frozen"/>
      <selection activeCell="M15" sqref="M15:M16"/>
      <selection pane="bottomLeft" activeCell="M15" sqref="M15:M16"/>
    </sheetView>
  </sheetViews>
  <sheetFormatPr baseColWidth="10" defaultRowHeight="21" x14ac:dyDescent="0.35"/>
  <cols>
    <col min="1" max="1" width="4" style="1" customWidth="1"/>
    <col min="2" max="2" width="31.140625" style="2" customWidth="1"/>
    <col min="3" max="3" width="32.42578125" style="1" customWidth="1"/>
    <col min="4" max="4" width="55.7109375" style="1" customWidth="1"/>
    <col min="5" max="5" width="49.28515625" style="1" customWidth="1"/>
    <col min="6" max="6" width="24.7109375" style="1" customWidth="1"/>
    <col min="7" max="7" width="18.7109375" style="1" customWidth="1"/>
    <col min="8" max="8" width="21.7109375" style="1" customWidth="1"/>
    <col min="9" max="9" width="24.5703125" style="1" customWidth="1"/>
    <col min="10" max="10" width="24.140625" style="1" customWidth="1"/>
    <col min="11" max="11" width="22.85546875" style="1" customWidth="1"/>
    <col min="12" max="12" width="5.140625" style="4" customWidth="1"/>
    <col min="13" max="13" width="21.7109375" style="1" customWidth="1"/>
    <col min="14" max="14" width="25.7109375" style="1" customWidth="1"/>
    <col min="15" max="15" width="19.85546875" style="126" customWidth="1"/>
    <col min="16" max="17" width="11.42578125" style="1"/>
    <col min="18" max="18" width="20.85546875" style="1" hidden="1" customWidth="1"/>
    <col min="19" max="19" width="23.42578125" style="1" hidden="1" customWidth="1"/>
    <col min="20" max="20" width="11.42578125" style="1"/>
    <col min="21" max="21" width="23.5703125" style="1" hidden="1" customWidth="1"/>
    <col min="22" max="22" width="19.28515625" style="1" hidden="1" customWidth="1"/>
    <col min="23" max="23" width="15.42578125" style="1" bestFit="1" customWidth="1"/>
    <col min="24" max="24" width="21.85546875" style="1" customWidth="1"/>
    <col min="25" max="25" width="19.5703125" style="1" customWidth="1"/>
    <col min="26" max="16384" width="11.42578125" style="1"/>
  </cols>
  <sheetData>
    <row r="1" spans="1:19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7"/>
      <c r="M1" s="5"/>
      <c r="N1" s="5"/>
      <c r="O1" s="115"/>
      <c r="P1" s="5"/>
      <c r="Q1" s="5"/>
    </row>
    <row r="2" spans="1:19" ht="20.25" customHeight="1" x14ac:dyDescent="0.35">
      <c r="A2" s="5"/>
      <c r="B2" s="221" t="s">
        <v>3</v>
      </c>
      <c r="C2" s="381" t="s">
        <v>32</v>
      </c>
      <c r="D2" s="383"/>
      <c r="E2" s="5"/>
      <c r="F2" s="5"/>
      <c r="G2" s="5"/>
      <c r="H2" s="5"/>
      <c r="I2" s="5"/>
      <c r="J2" s="5"/>
      <c r="K2" s="7"/>
      <c r="L2" s="5"/>
      <c r="M2" s="5"/>
      <c r="N2" s="5"/>
      <c r="O2" s="115"/>
      <c r="P2" s="5"/>
    </row>
    <row r="3" spans="1:19" ht="3.75" customHeight="1" x14ac:dyDescent="0.35">
      <c r="A3" s="7"/>
      <c r="B3" s="8"/>
      <c r="C3" s="9"/>
      <c r="D3" s="10"/>
      <c r="E3" s="7"/>
      <c r="F3" s="7"/>
      <c r="G3" s="7"/>
      <c r="H3" s="7"/>
      <c r="I3" s="7"/>
      <c r="J3" s="7"/>
      <c r="K3" s="7"/>
      <c r="L3" s="7"/>
      <c r="M3" s="7"/>
      <c r="N3" s="7"/>
      <c r="O3" s="116"/>
      <c r="P3" s="7"/>
    </row>
    <row r="4" spans="1:19" ht="14.25" customHeight="1" x14ac:dyDescent="0.35">
      <c r="A4" s="5"/>
      <c r="B4" s="221" t="s">
        <v>4</v>
      </c>
      <c r="C4" s="381" t="s">
        <v>50</v>
      </c>
      <c r="D4" s="383"/>
      <c r="E4" s="5"/>
      <c r="F4" s="5"/>
      <c r="G4" s="5"/>
      <c r="H4" s="5"/>
      <c r="I4" s="5"/>
      <c r="J4" s="5"/>
      <c r="K4" s="7"/>
      <c r="L4" s="5"/>
      <c r="M4" s="5"/>
      <c r="N4" s="5"/>
      <c r="O4" s="115"/>
      <c r="P4" s="5"/>
    </row>
    <row r="5" spans="1:19" ht="3.75" customHeight="1" x14ac:dyDescent="0.35">
      <c r="A5" s="7"/>
      <c r="B5" s="8"/>
      <c r="C5" s="9"/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116"/>
      <c r="P5" s="7"/>
    </row>
    <row r="6" spans="1:19" ht="15.75" customHeight="1" x14ac:dyDescent="0.35">
      <c r="A6" s="5"/>
      <c r="B6" s="221" t="s">
        <v>5</v>
      </c>
      <c r="C6" s="381" t="s">
        <v>17</v>
      </c>
      <c r="D6" s="383"/>
      <c r="E6" s="5"/>
      <c r="F6" s="5"/>
      <c r="G6" s="5"/>
      <c r="H6" s="5"/>
      <c r="I6" s="5"/>
      <c r="J6" s="5"/>
      <c r="K6" s="7"/>
      <c r="L6" s="5"/>
      <c r="M6" s="5"/>
      <c r="N6" s="5"/>
      <c r="O6" s="115"/>
      <c r="P6" s="5"/>
    </row>
    <row r="7" spans="1:19" ht="3.75" customHeight="1" x14ac:dyDescent="0.35">
      <c r="A7" s="7"/>
      <c r="B7" s="8"/>
      <c r="C7" s="9"/>
      <c r="D7" s="10"/>
      <c r="E7" s="7"/>
      <c r="F7" s="7"/>
      <c r="G7" s="7"/>
      <c r="H7" s="7"/>
      <c r="I7" s="7"/>
      <c r="J7" s="7"/>
      <c r="K7" s="7"/>
      <c r="L7" s="7"/>
      <c r="M7" s="7"/>
      <c r="N7" s="7"/>
      <c r="O7" s="116"/>
      <c r="P7" s="7"/>
    </row>
    <row r="8" spans="1:19" ht="14.25" customHeight="1" x14ac:dyDescent="0.35">
      <c r="A8" s="5"/>
      <c r="B8" s="221" t="s">
        <v>6</v>
      </c>
      <c r="C8" s="384">
        <f ca="1">TODAY()</f>
        <v>42808</v>
      </c>
      <c r="D8" s="386"/>
      <c r="E8" s="11"/>
      <c r="F8" s="5"/>
      <c r="G8" s="5"/>
      <c r="H8" s="5"/>
      <c r="I8" s="5"/>
      <c r="J8" s="5"/>
      <c r="K8" s="7"/>
      <c r="L8" s="5"/>
      <c r="M8" s="5"/>
      <c r="N8" s="5"/>
      <c r="O8" s="115"/>
      <c r="P8" s="41"/>
    </row>
    <row r="9" spans="1:19" ht="3.75" customHeight="1" x14ac:dyDescent="0.35">
      <c r="A9" s="7"/>
      <c r="B9" s="8"/>
      <c r="C9" s="9"/>
      <c r="D9" s="10"/>
      <c r="E9" s="14"/>
      <c r="F9" s="7"/>
      <c r="G9" s="7"/>
      <c r="H9" s="7"/>
      <c r="I9" s="7"/>
      <c r="J9" s="7"/>
      <c r="K9" s="7"/>
      <c r="L9" s="7"/>
      <c r="M9" s="7"/>
      <c r="N9" s="7"/>
      <c r="O9" s="116"/>
      <c r="P9" s="42"/>
    </row>
    <row r="10" spans="1:19" s="3" customFormat="1" ht="15.75" customHeight="1" x14ac:dyDescent="0.35">
      <c r="A10" s="5"/>
      <c r="B10" s="221" t="s">
        <v>16</v>
      </c>
      <c r="C10" s="403">
        <v>3.26</v>
      </c>
      <c r="D10" s="404"/>
      <c r="E10" s="11"/>
      <c r="F10" s="5"/>
      <c r="G10" s="5"/>
      <c r="H10" s="5"/>
      <c r="I10" s="5"/>
      <c r="J10" s="5"/>
      <c r="K10" s="7"/>
      <c r="L10" s="5"/>
      <c r="M10" s="5"/>
      <c r="N10" s="5"/>
      <c r="O10" s="115"/>
      <c r="P10" s="41"/>
    </row>
    <row r="11" spans="1:19" s="3" customFormat="1" ht="26.25" customHeight="1" x14ac:dyDescent="0.35">
      <c r="A11" s="5"/>
      <c r="B11" s="5"/>
      <c r="C11" s="41"/>
      <c r="D11" s="5"/>
      <c r="E11" s="5"/>
      <c r="F11" s="5"/>
      <c r="G11" s="5"/>
      <c r="H11" s="5"/>
      <c r="I11" s="5"/>
      <c r="J11" s="5"/>
      <c r="K11" s="5"/>
      <c r="L11" s="7"/>
      <c r="M11" s="5"/>
      <c r="N11" s="5"/>
      <c r="O11" s="115"/>
      <c r="P11" s="5"/>
      <c r="Q11" s="41"/>
    </row>
    <row r="12" spans="1:19" ht="39.75" customHeight="1" x14ac:dyDescent="0.35">
      <c r="A12" s="15"/>
      <c r="B12" s="209" t="s">
        <v>7</v>
      </c>
      <c r="C12" s="209" t="s">
        <v>18</v>
      </c>
      <c r="D12" s="209" t="s">
        <v>19</v>
      </c>
      <c r="E12" s="209" t="s">
        <v>20</v>
      </c>
      <c r="F12" s="209" t="s">
        <v>8</v>
      </c>
      <c r="G12" s="209" t="s">
        <v>168</v>
      </c>
      <c r="H12" s="209" t="s">
        <v>21</v>
      </c>
      <c r="I12" s="209" t="s">
        <v>22</v>
      </c>
      <c r="J12" s="209" t="s">
        <v>161</v>
      </c>
      <c r="K12" s="209" t="s">
        <v>162</v>
      </c>
      <c r="L12" s="43"/>
      <c r="M12" s="212" t="s">
        <v>24</v>
      </c>
      <c r="N12" s="213" t="s">
        <v>25</v>
      </c>
      <c r="O12" s="214" t="s">
        <v>43</v>
      </c>
      <c r="P12" s="44"/>
      <c r="Q12" s="15"/>
    </row>
    <row r="13" spans="1:19" ht="5.25" customHeight="1" x14ac:dyDescent="0.35">
      <c r="A13" s="5"/>
      <c r="B13" s="11"/>
      <c r="C13" s="5"/>
      <c r="D13" s="5"/>
      <c r="E13" s="5"/>
      <c r="F13" s="5"/>
      <c r="G13" s="5"/>
      <c r="H13" s="5"/>
      <c r="I13" s="5"/>
      <c r="J13" s="5"/>
      <c r="K13" s="5"/>
      <c r="L13" s="7"/>
      <c r="M13" s="5"/>
      <c r="N13" s="5"/>
      <c r="O13" s="115"/>
      <c r="P13" s="5"/>
      <c r="Q13" s="5"/>
    </row>
    <row r="14" spans="1:19" ht="22.5" customHeight="1" x14ac:dyDescent="0.35">
      <c r="A14" s="5"/>
      <c r="B14" s="400" t="s">
        <v>187</v>
      </c>
      <c r="C14" s="401"/>
      <c r="D14" s="401"/>
      <c r="E14" s="401"/>
      <c r="F14" s="401"/>
      <c r="G14" s="401"/>
      <c r="H14" s="401"/>
      <c r="I14" s="401"/>
      <c r="J14" s="401"/>
      <c r="K14" s="402"/>
      <c r="L14" s="45"/>
      <c r="M14" s="215"/>
      <c r="N14" s="216"/>
      <c r="O14" s="217"/>
      <c r="P14" s="45"/>
      <c r="Q14" s="5"/>
    </row>
    <row r="15" spans="1:19" ht="78" hidden="1" customHeight="1" x14ac:dyDescent="0.35">
      <c r="A15" s="5"/>
      <c r="B15" s="326" t="s">
        <v>174</v>
      </c>
      <c r="C15" s="317" t="s">
        <v>175</v>
      </c>
      <c r="D15" s="315" t="s">
        <v>176</v>
      </c>
      <c r="E15" s="319" t="s">
        <v>191</v>
      </c>
      <c r="F15" s="243" t="s">
        <v>0</v>
      </c>
      <c r="G15" s="244">
        <f>M15/J15</f>
        <v>0</v>
      </c>
      <c r="H15" s="322">
        <v>3.0000000000000001E-3</v>
      </c>
      <c r="I15" s="323">
        <f>G15/H15</f>
        <v>0</v>
      </c>
      <c r="J15" s="325">
        <v>0.4</v>
      </c>
      <c r="K15" s="247" t="e">
        <f>M15/I15*1000</f>
        <v>#DIV/0!</v>
      </c>
      <c r="L15" s="248"/>
      <c r="M15" s="249"/>
      <c r="N15" s="250">
        <f>M15*$C$10</f>
        <v>0</v>
      </c>
      <c r="O15" s="251">
        <f>N15/$N$35</f>
        <v>0</v>
      </c>
      <c r="P15" s="54"/>
      <c r="Q15" s="5"/>
      <c r="R15" s="143" t="s">
        <v>51</v>
      </c>
      <c r="S15" s="143">
        <f>+N35/3.15</f>
        <v>4617.6171682539689</v>
      </c>
    </row>
    <row r="16" spans="1:19" ht="78" hidden="1" customHeight="1" x14ac:dyDescent="0.35">
      <c r="A16" s="5"/>
      <c r="B16" s="326" t="s">
        <v>182</v>
      </c>
      <c r="C16" s="317" t="s">
        <v>177</v>
      </c>
      <c r="D16" s="317" t="s">
        <v>189</v>
      </c>
      <c r="E16" s="319" t="s">
        <v>191</v>
      </c>
      <c r="F16" s="243" t="s">
        <v>68</v>
      </c>
      <c r="G16" s="244">
        <f>+H16*I16</f>
        <v>0</v>
      </c>
      <c r="H16" s="322">
        <v>0.7</v>
      </c>
      <c r="I16" s="244">
        <f>+(M16/K16)*1000</f>
        <v>0</v>
      </c>
      <c r="J16" s="246" t="e">
        <f>+M16/G16</f>
        <v>#DIV/0!</v>
      </c>
      <c r="K16" s="324">
        <v>26</v>
      </c>
      <c r="L16" s="248"/>
      <c r="M16" s="249"/>
      <c r="N16" s="250">
        <f>M16*$C$10</f>
        <v>0</v>
      </c>
      <c r="O16" s="251">
        <f>N16/$N$35</f>
        <v>0</v>
      </c>
      <c r="P16" s="54"/>
      <c r="Q16" s="5"/>
      <c r="R16" s="143"/>
      <c r="S16" s="143"/>
    </row>
    <row r="17" spans="1:22" ht="78" hidden="1" customHeight="1" x14ac:dyDescent="0.35">
      <c r="A17" s="5"/>
      <c r="B17" s="326" t="s">
        <v>182</v>
      </c>
      <c r="C17" s="317" t="s">
        <v>177</v>
      </c>
      <c r="D17" s="317" t="s">
        <v>186</v>
      </c>
      <c r="E17" s="319" t="s">
        <v>191</v>
      </c>
      <c r="F17" s="243" t="s">
        <v>68</v>
      </c>
      <c r="G17" s="244">
        <f>+H17*I17</f>
        <v>0</v>
      </c>
      <c r="H17" s="322">
        <v>0.4</v>
      </c>
      <c r="I17" s="244">
        <f>+(M17/K17)*1000</f>
        <v>0</v>
      </c>
      <c r="J17" s="246" t="e">
        <f>+M17/G17</f>
        <v>#DIV/0!</v>
      </c>
      <c r="K17" s="324">
        <v>31</v>
      </c>
      <c r="L17" s="248"/>
      <c r="M17" s="249"/>
      <c r="N17" s="250">
        <f>M17*$C$10</f>
        <v>0</v>
      </c>
      <c r="O17" s="251">
        <f>N17/$N$35</f>
        <v>0</v>
      </c>
      <c r="P17" s="54"/>
      <c r="Q17" s="5"/>
      <c r="R17" s="143"/>
      <c r="S17" s="143"/>
    </row>
    <row r="18" spans="1:22" ht="78" hidden="1" customHeight="1" x14ac:dyDescent="0.35">
      <c r="A18" s="5"/>
      <c r="B18" s="320" t="s">
        <v>178</v>
      </c>
      <c r="C18" s="321" t="s">
        <v>71</v>
      </c>
      <c r="D18" s="321" t="s">
        <v>184</v>
      </c>
      <c r="E18" s="319" t="s">
        <v>191</v>
      </c>
      <c r="F18" s="243" t="s">
        <v>0</v>
      </c>
      <c r="G18" s="244">
        <f t="shared" ref="G18:G19" si="0">M18/J18</f>
        <v>0</v>
      </c>
      <c r="H18" s="245">
        <v>3.0000000000000001E-3</v>
      </c>
      <c r="I18" s="244">
        <f>G18/H18</f>
        <v>0</v>
      </c>
      <c r="J18" s="325">
        <v>0.2</v>
      </c>
      <c r="K18" s="247" t="e">
        <f>M18/I18*1000</f>
        <v>#DIV/0!</v>
      </c>
      <c r="L18" s="248"/>
      <c r="M18" s="249"/>
      <c r="N18" s="250">
        <f t="shared" ref="N18" si="1">M18*$C$10</f>
        <v>0</v>
      </c>
      <c r="O18" s="251">
        <f t="shared" ref="O18:O26" si="2">N18/$N$35</f>
        <v>0</v>
      </c>
      <c r="P18" s="54"/>
      <c r="Q18" s="5"/>
      <c r="R18" s="143" t="s">
        <v>52</v>
      </c>
      <c r="S18" s="143">
        <f>+S15/2</f>
        <v>2308.8085841269844</v>
      </c>
    </row>
    <row r="19" spans="1:22" ht="78" hidden="1" customHeight="1" x14ac:dyDescent="0.35">
      <c r="A19" s="5"/>
      <c r="B19" s="320" t="s">
        <v>178</v>
      </c>
      <c r="C19" s="321" t="s">
        <v>71</v>
      </c>
      <c r="D19" s="321" t="s">
        <v>184</v>
      </c>
      <c r="E19" s="319" t="s">
        <v>191</v>
      </c>
      <c r="F19" s="243" t="s">
        <v>0</v>
      </c>
      <c r="G19" s="244">
        <f t="shared" si="0"/>
        <v>0</v>
      </c>
      <c r="H19" s="245">
        <v>3.0000000000000001E-3</v>
      </c>
      <c r="I19" s="244">
        <f>G19/H19</f>
        <v>0</v>
      </c>
      <c r="J19" s="325">
        <v>0.2</v>
      </c>
      <c r="K19" s="247" t="e">
        <f>M19/I19*1000</f>
        <v>#DIV/0!</v>
      </c>
      <c r="L19" s="248"/>
      <c r="M19" s="249"/>
      <c r="N19" s="250">
        <f>M19*$C$10</f>
        <v>0</v>
      </c>
      <c r="O19" s="251">
        <f t="shared" si="2"/>
        <v>0</v>
      </c>
      <c r="P19" s="54"/>
      <c r="Q19" s="5"/>
    </row>
    <row r="20" spans="1:22" ht="78" hidden="1" customHeight="1" x14ac:dyDescent="0.35">
      <c r="A20" s="5"/>
      <c r="B20" s="318" t="s">
        <v>179</v>
      </c>
      <c r="C20" s="317" t="s">
        <v>188</v>
      </c>
      <c r="D20" s="317" t="s">
        <v>185</v>
      </c>
      <c r="E20" s="319" t="s">
        <v>191</v>
      </c>
      <c r="F20" s="243" t="s">
        <v>68</v>
      </c>
      <c r="G20" s="244">
        <f>+H20*I20</f>
        <v>0</v>
      </c>
      <c r="H20" s="245">
        <v>5.0000000000000001E-3</v>
      </c>
      <c r="I20" s="244">
        <f>+(M20/K20)*1000</f>
        <v>0</v>
      </c>
      <c r="J20" s="246" t="e">
        <f>+M20/G20</f>
        <v>#DIV/0!</v>
      </c>
      <c r="K20" s="324">
        <v>5.28</v>
      </c>
      <c r="L20" s="248"/>
      <c r="M20" s="249"/>
      <c r="N20" s="250">
        <f>M20*$C$10</f>
        <v>0</v>
      </c>
      <c r="O20" s="251">
        <f t="shared" si="2"/>
        <v>0</v>
      </c>
      <c r="P20" s="54"/>
      <c r="Q20" s="5"/>
    </row>
    <row r="21" spans="1:22" ht="78" customHeight="1" x14ac:dyDescent="0.35">
      <c r="A21" s="5"/>
      <c r="B21" s="320" t="s">
        <v>180</v>
      </c>
      <c r="C21" s="318" t="s">
        <v>181</v>
      </c>
      <c r="D21" s="318" t="s">
        <v>190</v>
      </c>
      <c r="E21" s="319" t="s">
        <v>192</v>
      </c>
      <c r="F21" s="243" t="s">
        <v>68</v>
      </c>
      <c r="G21" s="244">
        <f>+H21*I21</f>
        <v>746.66666666666663</v>
      </c>
      <c r="H21" s="245">
        <v>8.0000000000000002E-3</v>
      </c>
      <c r="I21" s="244">
        <f>+(M21/K21)*1000</f>
        <v>93333.333333333328</v>
      </c>
      <c r="J21" s="246">
        <f>+M21/G21</f>
        <v>1.875</v>
      </c>
      <c r="K21" s="324">
        <v>15</v>
      </c>
      <c r="L21" s="248"/>
      <c r="M21" s="316">
        <v>1400</v>
      </c>
      <c r="N21" s="250">
        <f>+M21*C10</f>
        <v>4564</v>
      </c>
      <c r="O21" s="251">
        <f t="shared" ref="O21" si="3">N21/$N$35</f>
        <v>0.31377414716186802</v>
      </c>
      <c r="P21" s="54"/>
      <c r="Q21" s="5"/>
      <c r="U21" s="151" t="s">
        <v>66</v>
      </c>
      <c r="V21" s="152" t="s">
        <v>11</v>
      </c>
    </row>
    <row r="22" spans="1:22" ht="78" customHeight="1" x14ac:dyDescent="0.35">
      <c r="A22" s="5"/>
      <c r="B22" s="320" t="s">
        <v>180</v>
      </c>
      <c r="C22" s="318" t="s">
        <v>181</v>
      </c>
      <c r="D22" s="318" t="s">
        <v>190</v>
      </c>
      <c r="E22" s="319" t="s">
        <v>193</v>
      </c>
      <c r="F22" s="243" t="s">
        <v>68</v>
      </c>
      <c r="G22" s="244">
        <f>+H22*I22</f>
        <v>1541.4399999999998</v>
      </c>
      <c r="H22" s="245">
        <v>8.0000000000000002E-3</v>
      </c>
      <c r="I22" s="244">
        <f>+(M22/K22)*1000</f>
        <v>192679.99999999997</v>
      </c>
      <c r="J22" s="246">
        <f>+M22/G22</f>
        <v>1.875</v>
      </c>
      <c r="K22" s="324">
        <v>15</v>
      </c>
      <c r="L22" s="248"/>
      <c r="M22" s="316">
        <v>2890.2</v>
      </c>
      <c r="N22" s="250">
        <f>+M22*C10</f>
        <v>9422.0519999999997</v>
      </c>
      <c r="O22" s="251">
        <f t="shared" si="2"/>
        <v>0.64776431437659343</v>
      </c>
      <c r="P22" s="54"/>
      <c r="Q22" s="5"/>
      <c r="U22" s="151" t="s">
        <v>66</v>
      </c>
      <c r="V22" s="152" t="s">
        <v>11</v>
      </c>
    </row>
    <row r="23" spans="1:22" ht="78" hidden="1" customHeight="1" x14ac:dyDescent="0.35">
      <c r="A23" s="5"/>
      <c r="B23" s="241"/>
      <c r="C23" s="77"/>
      <c r="D23" s="153"/>
      <c r="E23" s="47"/>
      <c r="F23" s="252" t="s">
        <v>68</v>
      </c>
      <c r="G23" s="244">
        <f>I23*H23</f>
        <v>0</v>
      </c>
      <c r="H23" s="253">
        <v>0.02</v>
      </c>
      <c r="I23" s="244">
        <f>M23/J23*1000</f>
        <v>0</v>
      </c>
      <c r="J23" s="254">
        <v>1.3</v>
      </c>
      <c r="K23" s="254" t="e">
        <f>+M23/G23</f>
        <v>#DIV/0!</v>
      </c>
      <c r="L23" s="248"/>
      <c r="M23" s="316"/>
      <c r="N23" s="256">
        <f>+M23*C10</f>
        <v>0</v>
      </c>
      <c r="O23" s="251">
        <f t="shared" si="2"/>
        <v>0</v>
      </c>
      <c r="P23" s="54"/>
      <c r="Q23" s="5"/>
      <c r="U23" s="143">
        <f>+M23/6</f>
        <v>0</v>
      </c>
      <c r="V23" s="143">
        <f>+U23*D23</f>
        <v>0</v>
      </c>
    </row>
    <row r="24" spans="1:22" ht="78" hidden="1" customHeight="1" x14ac:dyDescent="0.35">
      <c r="A24" s="5"/>
      <c r="B24" s="242"/>
      <c r="C24" s="77"/>
      <c r="D24" s="153"/>
      <c r="E24" s="47"/>
      <c r="F24" s="252" t="s">
        <v>49</v>
      </c>
      <c r="G24" s="244">
        <f t="shared" ref="G24:G26" si="4">I24*H24</f>
        <v>0</v>
      </c>
      <c r="H24" s="253">
        <v>1.7999999999999999E-2</v>
      </c>
      <c r="I24" s="244">
        <f t="shared" ref="I24:I26" si="5">M24/J24*1000</f>
        <v>0</v>
      </c>
      <c r="J24" s="254">
        <v>0.2</v>
      </c>
      <c r="K24" s="254" t="e">
        <f t="shared" ref="K24:K26" si="6">+M24/G24</f>
        <v>#DIV/0!</v>
      </c>
      <c r="L24" s="248"/>
      <c r="M24" s="255"/>
      <c r="N24" s="256">
        <f>+M24*C10</f>
        <v>0</v>
      </c>
      <c r="O24" s="251">
        <f t="shared" si="2"/>
        <v>0</v>
      </c>
      <c r="P24" s="54"/>
      <c r="Q24" s="5"/>
      <c r="U24" s="143"/>
      <c r="V24" s="143"/>
    </row>
    <row r="25" spans="1:22" ht="78" hidden="1" customHeight="1" x14ac:dyDescent="0.35">
      <c r="A25" s="5"/>
      <c r="B25" s="242"/>
      <c r="C25" s="77"/>
      <c r="D25" s="153"/>
      <c r="E25" s="47"/>
      <c r="F25" s="252" t="s">
        <v>68</v>
      </c>
      <c r="G25" s="244">
        <f t="shared" si="4"/>
        <v>0</v>
      </c>
      <c r="H25" s="253">
        <v>1.7999999999999999E-2</v>
      </c>
      <c r="I25" s="244">
        <f t="shared" si="5"/>
        <v>0</v>
      </c>
      <c r="J25" s="254">
        <v>1.3</v>
      </c>
      <c r="K25" s="254" t="e">
        <f t="shared" si="6"/>
        <v>#DIV/0!</v>
      </c>
      <c r="L25" s="248"/>
      <c r="M25" s="255"/>
      <c r="N25" s="256">
        <f>+M25*C10</f>
        <v>0</v>
      </c>
      <c r="O25" s="251">
        <f t="shared" si="2"/>
        <v>0</v>
      </c>
      <c r="P25" s="54"/>
      <c r="Q25" s="5"/>
      <c r="U25" s="143"/>
      <c r="V25" s="143"/>
    </row>
    <row r="26" spans="1:22" ht="78" hidden="1" customHeight="1" x14ac:dyDescent="0.35">
      <c r="A26" s="5"/>
      <c r="B26" s="242"/>
      <c r="C26" s="77"/>
      <c r="D26" s="153"/>
      <c r="E26" s="47"/>
      <c r="F26" s="252" t="s">
        <v>68</v>
      </c>
      <c r="G26" s="244">
        <f t="shared" si="4"/>
        <v>0</v>
      </c>
      <c r="H26" s="253">
        <v>8.9999999999999993E-3</v>
      </c>
      <c r="I26" s="244">
        <f t="shared" si="5"/>
        <v>0</v>
      </c>
      <c r="J26" s="254">
        <v>1.8</v>
      </c>
      <c r="K26" s="254" t="e">
        <f t="shared" si="6"/>
        <v>#DIV/0!</v>
      </c>
      <c r="L26" s="248"/>
      <c r="M26" s="255"/>
      <c r="N26" s="256">
        <f>+M26*C10</f>
        <v>0</v>
      </c>
      <c r="O26" s="251">
        <f t="shared" si="2"/>
        <v>0</v>
      </c>
      <c r="P26" s="54"/>
      <c r="Q26" s="5"/>
      <c r="U26" s="143">
        <v>703.9</v>
      </c>
      <c r="V26" s="143">
        <f>+U26*D26</f>
        <v>0</v>
      </c>
    </row>
    <row r="27" spans="1:22" s="259" customFormat="1" ht="27" customHeight="1" x14ac:dyDescent="0.25">
      <c r="A27" s="257"/>
      <c r="B27" s="406" t="s">
        <v>26</v>
      </c>
      <c r="C27" s="406"/>
      <c r="D27" s="406"/>
      <c r="E27" s="406"/>
      <c r="F27" s="406"/>
      <c r="G27" s="210">
        <f>SUM(G15:G26)</f>
        <v>2288.1066666666666</v>
      </c>
      <c r="H27" s="211">
        <f>G27/I27</f>
        <v>8.0000000000000002E-3</v>
      </c>
      <c r="I27" s="210">
        <f>SUM(I15:I26)</f>
        <v>286013.33333333331</v>
      </c>
      <c r="J27" s="407" t="s">
        <v>27</v>
      </c>
      <c r="K27" s="408"/>
      <c r="L27" s="248"/>
      <c r="M27" s="218">
        <f>SUM(M15:M26)</f>
        <v>4290.2</v>
      </c>
      <c r="N27" s="219">
        <f>SUM(N15:N26)</f>
        <v>13986.052</v>
      </c>
      <c r="O27" s="220">
        <f>N27/$N$35</f>
        <v>0.96153846153846145</v>
      </c>
      <c r="P27" s="258"/>
      <c r="Q27" s="257"/>
      <c r="V27" s="260">
        <f>SUM(V23:V26)</f>
        <v>0</v>
      </c>
    </row>
    <row r="28" spans="1:22" s="92" customFormat="1" ht="21" customHeight="1" x14ac:dyDescent="0.35">
      <c r="A28" s="90"/>
      <c r="B28" s="106" t="s">
        <v>41</v>
      </c>
      <c r="C28" s="107"/>
      <c r="D28" s="107"/>
      <c r="E28" s="107"/>
      <c r="F28" s="107"/>
      <c r="G28" s="100"/>
      <c r="H28" s="101"/>
      <c r="I28" s="100"/>
      <c r="J28" s="102"/>
      <c r="K28" s="102"/>
      <c r="L28" s="248"/>
      <c r="M28" s="102"/>
      <c r="N28" s="103"/>
      <c r="O28" s="122"/>
      <c r="P28" s="104"/>
      <c r="Q28" s="90"/>
      <c r="U28" s="1"/>
    </row>
    <row r="29" spans="1:22" s="310" customFormat="1" ht="21" customHeight="1" x14ac:dyDescent="0.3">
      <c r="A29" s="300"/>
      <c r="B29" s="373" t="s">
        <v>58</v>
      </c>
      <c r="C29" s="374"/>
      <c r="D29" s="374"/>
      <c r="E29" s="374"/>
      <c r="F29" s="374"/>
      <c r="G29" s="301">
        <v>0.04</v>
      </c>
      <c r="H29" s="302"/>
      <c r="I29" s="303"/>
      <c r="J29" s="304"/>
      <c r="K29" s="305"/>
      <c r="L29" s="306"/>
      <c r="M29" s="307">
        <f>(M15+M18+M19+M20+M23+M26+M22+M25+M24+M16+M17+M21)*G29</f>
        <v>171.608</v>
      </c>
      <c r="N29" s="250">
        <f>M29*$C$10</f>
        <v>559.44208000000003</v>
      </c>
      <c r="O29" s="308"/>
      <c r="P29" s="309"/>
      <c r="Q29" s="300"/>
      <c r="U29" s="267"/>
      <c r="V29" s="267"/>
    </row>
    <row r="30" spans="1:22" s="267" customFormat="1" ht="21" hidden="1" customHeight="1" x14ac:dyDescent="0.3">
      <c r="A30" s="261"/>
      <c r="B30" s="373" t="s">
        <v>183</v>
      </c>
      <c r="C30" s="374"/>
      <c r="D30" s="374"/>
      <c r="E30" s="374"/>
      <c r="F30" s="374"/>
      <c r="G30" s="311">
        <v>0.15</v>
      </c>
      <c r="H30" s="312"/>
      <c r="I30" s="313"/>
      <c r="J30" s="304"/>
      <c r="K30" s="305"/>
      <c r="L30" s="306"/>
      <c r="M30" s="314">
        <f>(M19+M18)*G30</f>
        <v>0</v>
      </c>
      <c r="N30" s="250">
        <f>M30*$C$10</f>
        <v>0</v>
      </c>
      <c r="O30" s="308"/>
      <c r="P30" s="266"/>
      <c r="Q30" s="261"/>
    </row>
    <row r="31" spans="1:22" s="267" customFormat="1" ht="21" hidden="1" customHeight="1" x14ac:dyDescent="0.3">
      <c r="A31" s="261"/>
      <c r="B31" s="373" t="s">
        <v>169</v>
      </c>
      <c r="C31" s="374"/>
      <c r="D31" s="374"/>
      <c r="E31" s="374"/>
      <c r="F31" s="374"/>
      <c r="G31" s="311">
        <v>0.15</v>
      </c>
      <c r="H31" s="312"/>
      <c r="I31" s="313"/>
      <c r="J31" s="304"/>
      <c r="K31" s="305"/>
      <c r="L31" s="306"/>
      <c r="M31" s="314"/>
      <c r="N31" s="250">
        <f>M31*$C$10</f>
        <v>0</v>
      </c>
      <c r="O31" s="308"/>
      <c r="P31" s="266"/>
      <c r="Q31" s="261"/>
    </row>
    <row r="32" spans="1:22" s="267" customFormat="1" ht="21" hidden="1" customHeight="1" x14ac:dyDescent="0.3">
      <c r="A32" s="261"/>
      <c r="B32" s="373" t="s">
        <v>41</v>
      </c>
      <c r="C32" s="374"/>
      <c r="D32" s="374"/>
      <c r="E32" s="374"/>
      <c r="F32" s="374"/>
      <c r="G32" s="311">
        <v>0.15</v>
      </c>
      <c r="H32" s="312"/>
      <c r="I32" s="313"/>
      <c r="J32" s="304"/>
      <c r="K32" s="305"/>
      <c r="L32" s="306"/>
      <c r="M32" s="314">
        <f>(M23+M26+M25)*G32</f>
        <v>0</v>
      </c>
      <c r="N32" s="250">
        <f t="shared" ref="N32" si="7">M32*$C$10</f>
        <v>0</v>
      </c>
      <c r="O32" s="308"/>
      <c r="P32" s="266"/>
      <c r="Q32" s="261"/>
    </row>
    <row r="33" spans="1:25" s="267" customFormat="1" ht="21" customHeight="1" x14ac:dyDescent="0.3">
      <c r="A33" s="261"/>
      <c r="B33" s="369" t="s">
        <v>35</v>
      </c>
      <c r="C33" s="370"/>
      <c r="D33" s="370"/>
      <c r="E33" s="370"/>
      <c r="F33" s="370"/>
      <c r="G33" s="370"/>
      <c r="H33" s="370"/>
      <c r="I33" s="370"/>
      <c r="J33" s="370"/>
      <c r="K33" s="371"/>
      <c r="L33" s="262"/>
      <c r="M33" s="268">
        <f>SUM(M29:M32)</f>
        <v>171.608</v>
      </c>
      <c r="N33" s="269">
        <f>SUM(N29:N32)</f>
        <v>559.44208000000003</v>
      </c>
      <c r="O33" s="270">
        <f>N33/$N$35</f>
        <v>3.8461538461538464E-2</v>
      </c>
      <c r="P33" s="266"/>
      <c r="Q33" s="261"/>
    </row>
    <row r="34" spans="1:25" s="267" customFormat="1" ht="21" customHeight="1" x14ac:dyDescent="0.3">
      <c r="A34" s="271"/>
      <c r="B34" s="272"/>
      <c r="C34" s="273"/>
      <c r="D34" s="274"/>
      <c r="E34" s="275"/>
      <c r="F34" s="276"/>
      <c r="G34" s="277"/>
      <c r="H34" s="278"/>
      <c r="I34" s="279"/>
      <c r="J34" s="280"/>
      <c r="K34" s="281"/>
      <c r="L34" s="282"/>
      <c r="M34" s="280"/>
      <c r="N34" s="283"/>
      <c r="O34" s="284"/>
      <c r="P34" s="285"/>
      <c r="Q34" s="271"/>
    </row>
    <row r="35" spans="1:25" s="267" customFormat="1" ht="18.75" x14ac:dyDescent="0.3">
      <c r="A35" s="271"/>
      <c r="B35" s="286"/>
      <c r="C35" s="271"/>
      <c r="D35" s="271"/>
      <c r="E35" s="271"/>
      <c r="F35" s="271"/>
      <c r="G35" s="271"/>
      <c r="H35" s="271"/>
      <c r="I35" s="271"/>
      <c r="J35" s="405" t="s">
        <v>28</v>
      </c>
      <c r="K35" s="405"/>
      <c r="L35" s="287"/>
      <c r="M35" s="263">
        <f>SUM(M33,M27)</f>
        <v>4461.808</v>
      </c>
      <c r="N35" s="264">
        <f>SUM(N33,N27)</f>
        <v>14545.49408</v>
      </c>
      <c r="O35" s="265">
        <f>N35/$N$35</f>
        <v>1</v>
      </c>
      <c r="P35" s="271"/>
      <c r="Q35" s="271"/>
    </row>
    <row r="36" spans="1:25" s="267" customFormat="1" ht="18.75" x14ac:dyDescent="0.3">
      <c r="A36" s="271"/>
      <c r="B36" s="286" t="s">
        <v>159</v>
      </c>
      <c r="C36" s="271"/>
      <c r="D36" s="271"/>
      <c r="E36" s="271"/>
      <c r="F36" s="271"/>
      <c r="G36" s="271"/>
      <c r="H36" s="271"/>
      <c r="I36" s="271"/>
      <c r="J36" s="271"/>
      <c r="K36" s="271"/>
      <c r="L36" s="287"/>
      <c r="M36" s="271"/>
      <c r="N36" s="131"/>
      <c r="O36" s="288"/>
      <c r="P36" s="271"/>
      <c r="Q36" s="271"/>
    </row>
    <row r="37" spans="1:25" s="267" customFormat="1" ht="18.75" x14ac:dyDescent="0.3">
      <c r="A37" s="271"/>
      <c r="B37" s="286"/>
      <c r="C37" s="271"/>
      <c r="D37" s="271"/>
      <c r="E37" s="289"/>
      <c r="F37" s="271"/>
      <c r="G37" s="271"/>
      <c r="H37" s="271"/>
      <c r="I37" s="290"/>
      <c r="J37" s="261"/>
      <c r="K37" s="271"/>
      <c r="L37" s="287"/>
      <c r="N37" s="291"/>
      <c r="O37" s="292"/>
      <c r="P37" s="293"/>
      <c r="Q37" s="294"/>
    </row>
    <row r="38" spans="1:25" s="267" customFormat="1" ht="18.75" x14ac:dyDescent="0.3">
      <c r="A38" s="271"/>
      <c r="B38" s="286"/>
      <c r="C38" s="271"/>
      <c r="D38" s="271"/>
      <c r="E38" s="271"/>
      <c r="F38" s="271"/>
      <c r="G38" s="271"/>
      <c r="H38" s="271"/>
      <c r="I38" s="271"/>
      <c r="J38" s="271"/>
      <c r="K38" s="271"/>
      <c r="L38" s="287"/>
      <c r="M38" s="271"/>
      <c r="N38" s="271"/>
      <c r="O38" s="288"/>
      <c r="P38" s="293"/>
      <c r="Q38" s="294"/>
    </row>
    <row r="39" spans="1:25" s="267" customFormat="1" ht="18.75" x14ac:dyDescent="0.3">
      <c r="A39" s="271"/>
      <c r="B39" s="286"/>
      <c r="C39" s="271"/>
      <c r="D39" s="271"/>
      <c r="E39" s="271"/>
      <c r="F39" s="271"/>
      <c r="G39" s="271"/>
      <c r="H39" s="271"/>
      <c r="I39" s="271"/>
      <c r="J39" s="271"/>
      <c r="K39" s="271"/>
      <c r="L39" s="287"/>
      <c r="M39" s="271"/>
      <c r="O39" s="288"/>
      <c r="P39" s="293"/>
      <c r="Q39" s="294"/>
    </row>
    <row r="40" spans="1:25" s="267" customFormat="1" ht="18.75" x14ac:dyDescent="0.3">
      <c r="A40" s="271"/>
      <c r="B40" s="286"/>
      <c r="C40" s="271"/>
      <c r="D40" s="271"/>
      <c r="E40" s="271"/>
      <c r="F40" s="271"/>
      <c r="G40" s="271"/>
      <c r="H40" s="271"/>
      <c r="I40" s="271"/>
      <c r="J40" s="271"/>
      <c r="K40" s="271"/>
      <c r="L40" s="287"/>
      <c r="M40" s="261" t="s">
        <v>196</v>
      </c>
      <c r="N40" s="295">
        <f>+Headway!N41</f>
        <v>15166.886399999999</v>
      </c>
      <c r="O40" s="288"/>
      <c r="P40" s="293"/>
      <c r="Q40" s="285"/>
    </row>
    <row r="41" spans="1:25" s="267" customFormat="1" ht="18.75" x14ac:dyDescent="0.3">
      <c r="B41" s="296"/>
      <c r="L41" s="297"/>
      <c r="M41" s="328" t="s">
        <v>197</v>
      </c>
      <c r="N41" s="295">
        <f>+N40-N35</f>
        <v>621.39231999999902</v>
      </c>
      <c r="O41" s="298"/>
    </row>
    <row r="42" spans="1:25" s="267" customFormat="1" ht="18.75" x14ac:dyDescent="0.3">
      <c r="B42" s="296"/>
      <c r="L42" s="297"/>
      <c r="M42" s="328" t="s">
        <v>198</v>
      </c>
      <c r="N42" s="299">
        <f>+N35/C10</f>
        <v>4461.808</v>
      </c>
      <c r="O42" s="298"/>
    </row>
    <row r="43" spans="1:25" x14ac:dyDescent="0.35">
      <c r="N43" s="155"/>
    </row>
    <row r="48" spans="1:25" x14ac:dyDescent="0.35">
      <c r="Y48" s="154"/>
    </row>
    <row r="49" spans="21:25" x14ac:dyDescent="0.35">
      <c r="U49" s="1">
        <f>+X49*$G$29*G32</f>
        <v>0</v>
      </c>
      <c r="Y49" s="154"/>
    </row>
    <row r="50" spans="21:25" x14ac:dyDescent="0.35">
      <c r="U50" s="1">
        <f>+(X50*$G$29)*G30</f>
        <v>0</v>
      </c>
      <c r="Y50" s="154"/>
    </row>
    <row r="51" spans="21:25" x14ac:dyDescent="0.35">
      <c r="U51" s="1">
        <f>+X51*$G$29</f>
        <v>0</v>
      </c>
      <c r="Y51" s="154"/>
    </row>
    <row r="52" spans="21:25" x14ac:dyDescent="0.35">
      <c r="U52" s="1">
        <f>+X52*$G$29</f>
        <v>0</v>
      </c>
      <c r="Y52" s="154"/>
    </row>
    <row r="53" spans="21:25" x14ac:dyDescent="0.35">
      <c r="U53" s="1">
        <f>+X53*$G$29</f>
        <v>0</v>
      </c>
      <c r="Y53" s="154"/>
    </row>
    <row r="56" spans="21:25" x14ac:dyDescent="0.35">
      <c r="Y56" s="154"/>
    </row>
  </sheetData>
  <mergeCells count="14">
    <mergeCell ref="B33:K33"/>
    <mergeCell ref="J35:K35"/>
    <mergeCell ref="B27:F27"/>
    <mergeCell ref="J27:K27"/>
    <mergeCell ref="B29:F29"/>
    <mergeCell ref="B30:F30"/>
    <mergeCell ref="B31:F31"/>
    <mergeCell ref="B32:F32"/>
    <mergeCell ref="B14:K14"/>
    <mergeCell ref="C2:D2"/>
    <mergeCell ref="C4:D4"/>
    <mergeCell ref="C6:D6"/>
    <mergeCell ref="C8:D8"/>
    <mergeCell ref="C10:D10"/>
  </mergeCells>
  <conditionalFormatting sqref="M14 L11:M13 M20">
    <cfRule type="cellIs" dxfId="121" priority="17" stopIfTrue="1" operator="equal">
      <formula>0</formula>
    </cfRule>
    <cfRule type="expression" dxfId="120" priority="18" stopIfTrue="1">
      <formula>ISERROR(L11)</formula>
    </cfRule>
  </conditionalFormatting>
  <conditionalFormatting sqref="L15:M15 L16:L17">
    <cfRule type="cellIs" dxfId="119" priority="15" stopIfTrue="1" operator="equal">
      <formula>0</formula>
    </cfRule>
    <cfRule type="expression" dxfId="118" priority="16" stopIfTrue="1">
      <formula>ISERROR(L15)</formula>
    </cfRule>
  </conditionalFormatting>
  <conditionalFormatting sqref="M23:M25">
    <cfRule type="cellIs" dxfId="117" priority="13" stopIfTrue="1" operator="equal">
      <formula>0</formula>
    </cfRule>
    <cfRule type="expression" dxfId="116" priority="14" stopIfTrue="1">
      <formula>ISERROR(M23)</formula>
    </cfRule>
  </conditionalFormatting>
  <conditionalFormatting sqref="M19">
    <cfRule type="cellIs" dxfId="115" priority="11" stopIfTrue="1" operator="equal">
      <formula>0</formula>
    </cfRule>
    <cfRule type="expression" dxfId="114" priority="12" stopIfTrue="1">
      <formula>ISERROR(M19)</formula>
    </cfRule>
  </conditionalFormatting>
  <conditionalFormatting sqref="L18:M18 L19:L20 L22:L28">
    <cfRule type="cellIs" dxfId="113" priority="9" stopIfTrue="1" operator="equal">
      <formula>0</formula>
    </cfRule>
    <cfRule type="expression" dxfId="112" priority="10" stopIfTrue="1">
      <formula>ISERROR(L18)</formula>
    </cfRule>
  </conditionalFormatting>
  <conditionalFormatting sqref="M22">
    <cfRule type="cellIs" dxfId="111" priority="7" stopIfTrue="1" operator="equal">
      <formula>0</formula>
    </cfRule>
    <cfRule type="expression" dxfId="110" priority="8" stopIfTrue="1">
      <formula>ISERROR(M22)</formula>
    </cfRule>
  </conditionalFormatting>
  <conditionalFormatting sqref="M16:M17">
    <cfRule type="cellIs" dxfId="109" priority="5" stopIfTrue="1" operator="equal">
      <formula>0</formula>
    </cfRule>
    <cfRule type="expression" dxfId="108" priority="6" stopIfTrue="1">
      <formula>ISERROR(M16)</formula>
    </cfRule>
  </conditionalFormatting>
  <conditionalFormatting sqref="L21">
    <cfRule type="cellIs" dxfId="107" priority="3" stopIfTrue="1" operator="equal">
      <formula>0</formula>
    </cfRule>
    <cfRule type="expression" dxfId="106" priority="4" stopIfTrue="1">
      <formula>ISERROR(L21)</formula>
    </cfRule>
  </conditionalFormatting>
  <conditionalFormatting sqref="M21">
    <cfRule type="cellIs" dxfId="105" priority="1" stopIfTrue="1" operator="equal">
      <formula>0</formula>
    </cfRule>
    <cfRule type="expression" dxfId="104" priority="2" stopIfTrue="1">
      <formula>ISERROR(M21)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50"/>
  <sheetViews>
    <sheetView showGridLines="0" zoomScale="56" zoomScaleNormal="56" workbookViewId="0">
      <selection activeCell="E37" sqref="E37"/>
    </sheetView>
  </sheetViews>
  <sheetFormatPr baseColWidth="10" defaultRowHeight="21" x14ac:dyDescent="0.35"/>
  <cols>
    <col min="1" max="1" width="4" style="1" customWidth="1"/>
    <col min="2" max="2" width="31.140625" style="2" customWidth="1"/>
    <col min="3" max="3" width="28.7109375" style="1" customWidth="1"/>
    <col min="4" max="4" width="36.5703125" style="1" customWidth="1"/>
    <col min="5" max="5" width="24.140625" style="1" bestFit="1" customWidth="1"/>
    <col min="6" max="6" width="20.7109375" style="1" customWidth="1"/>
    <col min="7" max="7" width="13" style="1" customWidth="1"/>
    <col min="8" max="8" width="21.7109375" style="1" customWidth="1"/>
    <col min="9" max="9" width="21" style="1" customWidth="1"/>
    <col min="10" max="10" width="11.7109375" style="1" customWidth="1"/>
    <col min="11" max="11" width="16.5703125" style="1" bestFit="1" customWidth="1"/>
    <col min="12" max="12" width="5.140625" style="4" customWidth="1"/>
    <col min="13" max="13" width="21.7109375" style="1" customWidth="1"/>
    <col min="14" max="14" width="25.7109375" style="1" customWidth="1"/>
    <col min="15" max="15" width="19.85546875" style="126" customWidth="1"/>
    <col min="16" max="17" width="11.42578125" style="1"/>
    <col min="18" max="18" width="20.85546875" style="1" hidden="1" customWidth="1"/>
    <col min="19" max="19" width="23.42578125" style="1" hidden="1" customWidth="1"/>
    <col min="20" max="20" width="11.42578125" style="1"/>
    <col min="21" max="21" width="23.5703125" style="1" hidden="1" customWidth="1"/>
    <col min="22" max="22" width="19.28515625" style="1" hidden="1" customWidth="1"/>
    <col min="23" max="23" width="15.42578125" style="1" bestFit="1" customWidth="1"/>
    <col min="24" max="24" width="21.85546875" style="1" customWidth="1"/>
    <col min="25" max="25" width="19.5703125" style="1" customWidth="1"/>
    <col min="26" max="16384" width="11.42578125" style="1"/>
  </cols>
  <sheetData>
    <row r="1" spans="1:19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7"/>
      <c r="M1" s="5"/>
      <c r="N1" s="5"/>
      <c r="O1" s="115"/>
      <c r="P1" s="5"/>
      <c r="Q1" s="5"/>
    </row>
    <row r="2" spans="1:19" x14ac:dyDescent="0.35">
      <c r="A2" s="5"/>
      <c r="B2" s="225" t="s">
        <v>3</v>
      </c>
      <c r="C2" s="381" t="s">
        <v>32</v>
      </c>
      <c r="D2" s="383"/>
      <c r="E2" s="5"/>
      <c r="F2" s="5"/>
      <c r="G2" s="5"/>
      <c r="H2" s="5"/>
      <c r="I2" s="5"/>
      <c r="J2" s="5"/>
      <c r="K2" s="7"/>
      <c r="L2" s="5"/>
      <c r="M2" s="5"/>
      <c r="N2" s="5"/>
      <c r="O2" s="115"/>
      <c r="P2" s="5"/>
    </row>
    <row r="3" spans="1:19" ht="7.5" customHeight="1" x14ac:dyDescent="0.35">
      <c r="A3" s="7"/>
      <c r="B3" s="8"/>
      <c r="C3" s="9"/>
      <c r="D3" s="10"/>
      <c r="E3" s="7"/>
      <c r="F3" s="7"/>
      <c r="G3" s="7"/>
      <c r="H3" s="7"/>
      <c r="I3" s="7"/>
      <c r="J3" s="7"/>
      <c r="K3" s="7"/>
      <c r="L3" s="7"/>
      <c r="M3" s="7"/>
      <c r="N3" s="7"/>
      <c r="O3" s="116"/>
      <c r="P3" s="7"/>
    </row>
    <row r="4" spans="1:19" ht="21" customHeight="1" x14ac:dyDescent="0.35">
      <c r="A4" s="5"/>
      <c r="B4" s="225" t="s">
        <v>4</v>
      </c>
      <c r="C4" s="381" t="s">
        <v>50</v>
      </c>
      <c r="D4" s="383"/>
      <c r="E4" s="5"/>
      <c r="F4" s="5"/>
      <c r="G4" s="5"/>
      <c r="H4" s="5"/>
      <c r="I4" s="5"/>
      <c r="J4" s="5"/>
      <c r="K4" s="7"/>
      <c r="L4" s="5"/>
      <c r="M4" s="5"/>
      <c r="N4" s="5"/>
      <c r="O4" s="115"/>
      <c r="P4" s="5"/>
    </row>
    <row r="5" spans="1:19" ht="7.5" customHeight="1" x14ac:dyDescent="0.35">
      <c r="A5" s="7"/>
      <c r="B5" s="8"/>
      <c r="C5" s="9"/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116"/>
      <c r="P5" s="7"/>
    </row>
    <row r="6" spans="1:19" x14ac:dyDescent="0.35">
      <c r="A6" s="5"/>
      <c r="B6" s="225" t="s">
        <v>5</v>
      </c>
      <c r="C6" s="381" t="s">
        <v>17</v>
      </c>
      <c r="D6" s="383"/>
      <c r="E6" s="5"/>
      <c r="F6" s="5"/>
      <c r="G6" s="5"/>
      <c r="H6" s="5"/>
      <c r="I6" s="5"/>
      <c r="J6" s="5"/>
      <c r="K6" s="7"/>
      <c r="L6" s="5"/>
      <c r="M6" s="5"/>
      <c r="N6" s="5"/>
      <c r="O6" s="115"/>
      <c r="P6" s="5"/>
    </row>
    <row r="7" spans="1:19" ht="7.5" customHeight="1" x14ac:dyDescent="0.35">
      <c r="A7" s="7"/>
      <c r="B7" s="8"/>
      <c r="C7" s="9"/>
      <c r="D7" s="10"/>
      <c r="E7" s="7"/>
      <c r="F7" s="7"/>
      <c r="G7" s="7"/>
      <c r="H7" s="7"/>
      <c r="I7" s="7"/>
      <c r="J7" s="7"/>
      <c r="K7" s="7"/>
      <c r="L7" s="7"/>
      <c r="M7" s="7"/>
      <c r="N7" s="7"/>
      <c r="O7" s="116"/>
      <c r="P7" s="7"/>
    </row>
    <row r="8" spans="1:19" x14ac:dyDescent="0.35">
      <c r="A8" s="5"/>
      <c r="B8" s="225" t="s">
        <v>6</v>
      </c>
      <c r="C8" s="384">
        <v>42169</v>
      </c>
      <c r="D8" s="386"/>
      <c r="E8" s="11"/>
      <c r="F8" s="5"/>
      <c r="G8" s="5"/>
      <c r="H8" s="5"/>
      <c r="I8" s="5"/>
      <c r="J8" s="5"/>
      <c r="K8" s="7"/>
      <c r="L8" s="5"/>
      <c r="M8" s="5"/>
      <c r="N8" s="5"/>
      <c r="O8" s="115"/>
      <c r="P8" s="41"/>
    </row>
    <row r="9" spans="1:19" ht="6" customHeight="1" x14ac:dyDescent="0.35">
      <c r="A9" s="7"/>
      <c r="B9" s="8"/>
      <c r="C9" s="9"/>
      <c r="D9" s="10"/>
      <c r="E9" s="14"/>
      <c r="F9" s="7"/>
      <c r="G9" s="7"/>
      <c r="H9" s="7"/>
      <c r="I9" s="7"/>
      <c r="J9" s="7"/>
      <c r="K9" s="7"/>
      <c r="L9" s="7"/>
      <c r="M9" s="7"/>
      <c r="N9" s="7"/>
      <c r="O9" s="116"/>
      <c r="P9" s="42"/>
    </row>
    <row r="10" spans="1:19" s="3" customFormat="1" x14ac:dyDescent="0.35">
      <c r="A10" s="5"/>
      <c r="B10" s="225" t="s">
        <v>16</v>
      </c>
      <c r="C10" s="403">
        <v>3.2</v>
      </c>
      <c r="D10" s="404"/>
      <c r="E10" s="11"/>
      <c r="F10" s="5"/>
      <c r="G10" s="5"/>
      <c r="H10" s="5"/>
      <c r="I10" s="5"/>
      <c r="J10" s="5"/>
      <c r="K10" s="7"/>
      <c r="L10" s="5"/>
      <c r="M10" s="5"/>
      <c r="N10" s="5"/>
      <c r="O10" s="115"/>
      <c r="P10" s="41"/>
    </row>
    <row r="11" spans="1:19" s="3" customFormat="1" x14ac:dyDescent="0.35">
      <c r="A11" s="5"/>
      <c r="B11" s="5"/>
      <c r="C11" s="41"/>
      <c r="D11" s="5"/>
      <c r="E11" s="5"/>
      <c r="F11" s="5"/>
      <c r="G11" s="5"/>
      <c r="H11" s="5"/>
      <c r="I11" s="5"/>
      <c r="J11" s="5"/>
      <c r="K11" s="5"/>
      <c r="L11" s="7"/>
      <c r="M11" s="5"/>
      <c r="N11" s="5"/>
      <c r="O11" s="115"/>
      <c r="P11" s="5"/>
      <c r="Q11" s="41"/>
    </row>
    <row r="12" spans="1:19" ht="38.25" customHeight="1" x14ac:dyDescent="0.35">
      <c r="A12" s="15"/>
      <c r="B12" s="209" t="s">
        <v>7</v>
      </c>
      <c r="C12" s="209" t="s">
        <v>18</v>
      </c>
      <c r="D12" s="209" t="s">
        <v>19</v>
      </c>
      <c r="E12" s="209" t="s">
        <v>20</v>
      </c>
      <c r="F12" s="209" t="s">
        <v>8</v>
      </c>
      <c r="G12" s="209" t="s">
        <v>13</v>
      </c>
      <c r="H12" s="209" t="s">
        <v>21</v>
      </c>
      <c r="I12" s="209" t="s">
        <v>22</v>
      </c>
      <c r="J12" s="209" t="s">
        <v>68</v>
      </c>
      <c r="K12" s="209" t="s">
        <v>122</v>
      </c>
      <c r="L12" s="43"/>
      <c r="M12" s="209" t="s">
        <v>24</v>
      </c>
      <c r="N12" s="209" t="s">
        <v>25</v>
      </c>
      <c r="O12" s="226" t="s">
        <v>43</v>
      </c>
      <c r="P12" s="44"/>
      <c r="Q12" s="15"/>
    </row>
    <row r="13" spans="1:19" x14ac:dyDescent="0.35">
      <c r="A13" s="5"/>
      <c r="B13" s="11"/>
      <c r="C13" s="5"/>
      <c r="D13" s="5"/>
      <c r="E13" s="5"/>
      <c r="F13" s="5"/>
      <c r="G13" s="5"/>
      <c r="H13" s="5"/>
      <c r="I13" s="5"/>
      <c r="J13" s="5"/>
      <c r="K13" s="5"/>
      <c r="L13" s="7"/>
      <c r="M13" s="5"/>
      <c r="N13" s="5"/>
      <c r="O13" s="115"/>
      <c r="P13" s="5"/>
      <c r="Q13" s="5"/>
    </row>
    <row r="14" spans="1:19" x14ac:dyDescent="0.35">
      <c r="A14" s="5"/>
      <c r="B14" s="400" t="s">
        <v>53</v>
      </c>
      <c r="C14" s="401"/>
      <c r="D14" s="401"/>
      <c r="E14" s="401"/>
      <c r="F14" s="401"/>
      <c r="G14" s="401"/>
      <c r="H14" s="401"/>
      <c r="I14" s="401"/>
      <c r="J14" s="401"/>
      <c r="K14" s="402"/>
      <c r="L14" s="45"/>
      <c r="M14" s="215"/>
      <c r="N14" s="216"/>
      <c r="O14" s="217"/>
      <c r="P14" s="45"/>
      <c r="Q14" s="5"/>
    </row>
    <row r="15" spans="1:19" x14ac:dyDescent="0.35">
      <c r="A15" s="5"/>
      <c r="B15" s="1"/>
      <c r="L15" s="52"/>
      <c r="M15" s="412"/>
      <c r="N15" s="413"/>
      <c r="O15" s="414"/>
      <c r="P15" s="54"/>
      <c r="Q15" s="5"/>
      <c r="R15" s="143" t="s">
        <v>51</v>
      </c>
      <c r="S15" s="143">
        <f>+N29/3.15</f>
        <v>1056.5079365079366</v>
      </c>
    </row>
    <row r="16" spans="1:19" ht="75" hidden="1" customHeight="1" x14ac:dyDescent="0.35">
      <c r="A16" s="5"/>
      <c r="B16" s="167" t="s">
        <v>72</v>
      </c>
      <c r="C16" s="160" t="s">
        <v>71</v>
      </c>
      <c r="D16" s="81" t="s">
        <v>73</v>
      </c>
      <c r="E16" s="47" t="s">
        <v>158</v>
      </c>
      <c r="F16" s="46" t="s">
        <v>68</v>
      </c>
      <c r="G16" s="48">
        <f>+H16*I16</f>
        <v>0</v>
      </c>
      <c r="H16" s="49">
        <v>1.5E-3</v>
      </c>
      <c r="I16" s="48">
        <f>+M16/J16*1000</f>
        <v>0</v>
      </c>
      <c r="J16" s="50">
        <v>10</v>
      </c>
      <c r="K16" s="51" t="e">
        <f>+G16/M16</f>
        <v>#DIV/0!</v>
      </c>
      <c r="L16" s="52"/>
      <c r="M16" s="142"/>
      <c r="N16" s="53">
        <f>M16*$C$10</f>
        <v>0</v>
      </c>
      <c r="O16" s="120">
        <f>N17/$N$29</f>
        <v>0.96153846153846156</v>
      </c>
      <c r="P16" s="54"/>
      <c r="Q16" s="5"/>
      <c r="R16" s="143" t="s">
        <v>52</v>
      </c>
      <c r="S16" s="143">
        <f>+S15/2</f>
        <v>528.25396825396831</v>
      </c>
    </row>
    <row r="17" spans="1:22" ht="99.75" customHeight="1" x14ac:dyDescent="0.35">
      <c r="A17" s="5"/>
      <c r="B17" s="167" t="s">
        <v>119</v>
      </c>
      <c r="C17" s="160" t="s">
        <v>71</v>
      </c>
      <c r="D17" s="81" t="s">
        <v>76</v>
      </c>
      <c r="E17" s="47" t="s">
        <v>158</v>
      </c>
      <c r="F17" s="46" t="s">
        <v>68</v>
      </c>
      <c r="G17" s="48">
        <f>+H17*I17</f>
        <v>150</v>
      </c>
      <c r="H17" s="49">
        <v>1.5E-3</v>
      </c>
      <c r="I17" s="48">
        <f>+M17/J17*1000</f>
        <v>100000</v>
      </c>
      <c r="J17" s="50">
        <v>10</v>
      </c>
      <c r="K17" s="51">
        <f>+G17/M17</f>
        <v>0.15</v>
      </c>
      <c r="L17" s="52"/>
      <c r="M17" s="142">
        <v>1000</v>
      </c>
      <c r="N17" s="53">
        <f t="shared" ref="N17" si="0">M17*$C$10</f>
        <v>3200</v>
      </c>
      <c r="O17" s="120">
        <f>N17/$N$29</f>
        <v>0.96153846153846156</v>
      </c>
      <c r="P17" s="54"/>
      <c r="Q17" s="5"/>
    </row>
    <row r="18" spans="1:22" hidden="1" x14ac:dyDescent="0.35">
      <c r="A18" s="5"/>
      <c r="B18" s="77"/>
      <c r="C18" s="160"/>
      <c r="D18" s="81"/>
      <c r="E18" s="47"/>
      <c r="F18" s="46"/>
      <c r="G18" s="48"/>
      <c r="H18" s="49"/>
      <c r="I18" s="48"/>
      <c r="J18" s="50"/>
      <c r="K18" s="51"/>
      <c r="L18" s="52"/>
      <c r="M18" s="142">
        <f>+N18/$C$10</f>
        <v>0</v>
      </c>
      <c r="N18" s="53"/>
      <c r="O18" s="120">
        <f t="shared" ref="O18:O22" si="1">N18/$N$29</f>
        <v>0</v>
      </c>
      <c r="P18" s="54"/>
      <c r="Q18" s="5"/>
    </row>
    <row r="19" spans="1:22" hidden="1" x14ac:dyDescent="0.35">
      <c r="A19" s="5"/>
      <c r="B19" s="76"/>
      <c r="C19" s="136"/>
      <c r="D19" s="77"/>
      <c r="E19" s="47"/>
      <c r="F19" s="46"/>
      <c r="G19" s="48"/>
      <c r="H19" s="49"/>
      <c r="I19" s="48"/>
      <c r="J19" s="50"/>
      <c r="K19" s="51"/>
      <c r="L19" s="52"/>
      <c r="M19" s="142"/>
      <c r="N19" s="53">
        <f>+M19*C10</f>
        <v>0</v>
      </c>
      <c r="O19" s="120">
        <f t="shared" si="1"/>
        <v>0</v>
      </c>
      <c r="P19" s="54"/>
      <c r="Q19" s="5"/>
      <c r="U19" s="151" t="s">
        <v>66</v>
      </c>
      <c r="V19" s="152" t="s">
        <v>11</v>
      </c>
    </row>
    <row r="20" spans="1:22" hidden="1" x14ac:dyDescent="0.35">
      <c r="A20" s="5"/>
      <c r="B20" s="415"/>
      <c r="C20" s="77"/>
      <c r="D20" s="153"/>
      <c r="E20" s="47"/>
      <c r="F20" s="137"/>
      <c r="G20" s="138"/>
      <c r="H20" s="139"/>
      <c r="I20" s="138"/>
      <c r="J20" s="140"/>
      <c r="K20" s="140"/>
      <c r="L20" s="141"/>
      <c r="M20" s="158"/>
      <c r="N20" s="159">
        <f>+M20*C10</f>
        <v>0</v>
      </c>
      <c r="O20" s="120">
        <f t="shared" si="1"/>
        <v>0</v>
      </c>
      <c r="P20" s="54"/>
      <c r="Q20" s="5"/>
      <c r="U20" s="143">
        <f>+M20/6</f>
        <v>0</v>
      </c>
      <c r="V20" s="143">
        <f>+U20*D20</f>
        <v>0</v>
      </c>
    </row>
    <row r="21" spans="1:22" hidden="1" x14ac:dyDescent="0.35">
      <c r="A21" s="5"/>
      <c r="B21" s="416"/>
      <c r="C21" s="77"/>
      <c r="D21" s="153"/>
      <c r="E21" s="47"/>
      <c r="F21" s="137"/>
      <c r="G21" s="138"/>
      <c r="H21" s="139"/>
      <c r="I21" s="138"/>
      <c r="J21" s="140"/>
      <c r="K21" s="157"/>
      <c r="L21" s="141"/>
      <c r="M21" s="156"/>
      <c r="N21" s="159">
        <f>+M21*C10</f>
        <v>0</v>
      </c>
      <c r="O21" s="120">
        <f t="shared" si="1"/>
        <v>0</v>
      </c>
      <c r="P21" s="54"/>
      <c r="Q21" s="5"/>
      <c r="U21" s="143">
        <v>703.9</v>
      </c>
      <c r="V21" s="143">
        <f>+U21*D21</f>
        <v>0</v>
      </c>
    </row>
    <row r="22" spans="1:22" x14ac:dyDescent="0.35">
      <c r="A22" s="11"/>
      <c r="B22" s="406" t="s">
        <v>26</v>
      </c>
      <c r="C22" s="406"/>
      <c r="D22" s="406"/>
      <c r="E22" s="406"/>
      <c r="F22" s="406"/>
      <c r="G22" s="210">
        <f>SUM(G16:G21)</f>
        <v>150</v>
      </c>
      <c r="H22" s="211">
        <f>G22/I22</f>
        <v>1.5E-3</v>
      </c>
      <c r="I22" s="210">
        <f>SUM(I16:I21)</f>
        <v>100000</v>
      </c>
      <c r="J22" s="407" t="s">
        <v>27</v>
      </c>
      <c r="K22" s="408"/>
      <c r="L22" s="56"/>
      <c r="M22" s="218">
        <f>SUM(M16:M21)</f>
        <v>1000</v>
      </c>
      <c r="N22" s="219">
        <f>SUM(N16:N21)</f>
        <v>3200</v>
      </c>
      <c r="O22" s="220">
        <f t="shared" si="1"/>
        <v>0.96153846153846156</v>
      </c>
      <c r="P22" s="57"/>
      <c r="Q22" s="11"/>
      <c r="V22" s="150">
        <f>SUM(V20:V21)</f>
        <v>0</v>
      </c>
    </row>
    <row r="23" spans="1:22" s="92" customFormat="1" x14ac:dyDescent="0.35">
      <c r="A23" s="90"/>
      <c r="B23" s="106" t="s">
        <v>41</v>
      </c>
      <c r="C23" s="107"/>
      <c r="D23" s="107"/>
      <c r="E23" s="107"/>
      <c r="F23" s="107"/>
      <c r="G23" s="100"/>
      <c r="H23" s="101"/>
      <c r="I23" s="100"/>
      <c r="J23" s="102"/>
      <c r="K23" s="102"/>
      <c r="L23" s="89"/>
      <c r="M23" s="102"/>
      <c r="N23" s="103"/>
      <c r="O23" s="122"/>
      <c r="P23" s="104"/>
      <c r="Q23" s="90"/>
      <c r="U23" s="1"/>
    </row>
    <row r="24" spans="1:22" s="92" customFormat="1" ht="34.5" customHeight="1" x14ac:dyDescent="0.35">
      <c r="A24" s="90"/>
      <c r="B24" s="417" t="s">
        <v>58</v>
      </c>
      <c r="C24" s="418"/>
      <c r="D24" s="418"/>
      <c r="E24" s="418"/>
      <c r="F24" s="418"/>
      <c r="G24" s="94">
        <v>0.04</v>
      </c>
      <c r="H24" s="108"/>
      <c r="I24" s="109"/>
      <c r="J24" s="96"/>
      <c r="K24" s="97"/>
      <c r="L24" s="98"/>
      <c r="M24" s="105">
        <f>(M16+M17)*G24</f>
        <v>40</v>
      </c>
      <c r="N24" s="53">
        <f t="shared" ref="N24:N26" si="2">M24*$C$10</f>
        <v>128</v>
      </c>
      <c r="O24" s="123"/>
      <c r="P24" s="91"/>
      <c r="Q24" s="90"/>
      <c r="U24" s="1"/>
      <c r="V24" s="1"/>
    </row>
    <row r="25" spans="1:22" hidden="1" x14ac:dyDescent="0.35">
      <c r="A25" s="11"/>
      <c r="B25" s="417" t="s">
        <v>42</v>
      </c>
      <c r="C25" s="418"/>
      <c r="D25" s="418"/>
      <c r="E25" s="418"/>
      <c r="F25" s="418"/>
      <c r="G25" s="95">
        <v>0.15</v>
      </c>
      <c r="H25" s="88"/>
      <c r="I25" s="93"/>
      <c r="J25" s="96"/>
      <c r="K25" s="97"/>
      <c r="L25" s="98"/>
      <c r="M25" s="99"/>
      <c r="N25" s="53">
        <f t="shared" si="2"/>
        <v>0</v>
      </c>
      <c r="O25" s="123"/>
      <c r="P25" s="57"/>
      <c r="Q25" s="11"/>
    </row>
    <row r="26" spans="1:22" ht="12" hidden="1" customHeight="1" x14ac:dyDescent="0.35">
      <c r="A26" s="11"/>
      <c r="B26" s="417" t="s">
        <v>41</v>
      </c>
      <c r="C26" s="418"/>
      <c r="D26" s="418"/>
      <c r="E26" s="418"/>
      <c r="F26" s="418"/>
      <c r="G26" s="95">
        <v>0.15</v>
      </c>
      <c r="H26" s="88"/>
      <c r="I26" s="93"/>
      <c r="J26" s="96"/>
      <c r="K26" s="97"/>
      <c r="L26" s="98"/>
      <c r="M26" s="99"/>
      <c r="N26" s="53">
        <f t="shared" si="2"/>
        <v>0</v>
      </c>
      <c r="O26" s="123"/>
      <c r="P26" s="57"/>
      <c r="Q26" s="11"/>
    </row>
    <row r="27" spans="1:22" x14ac:dyDescent="0.35">
      <c r="A27" s="11"/>
      <c r="B27" s="409" t="s">
        <v>35</v>
      </c>
      <c r="C27" s="410"/>
      <c r="D27" s="410"/>
      <c r="E27" s="410"/>
      <c r="F27" s="410"/>
      <c r="G27" s="410"/>
      <c r="H27" s="410"/>
      <c r="I27" s="410"/>
      <c r="J27" s="410"/>
      <c r="K27" s="411"/>
      <c r="L27" s="56"/>
      <c r="M27" s="86">
        <f>SUM(M24:M26)</f>
        <v>40</v>
      </c>
      <c r="N27" s="87">
        <f>SUM(N24:N26)</f>
        <v>128</v>
      </c>
      <c r="O27" s="127">
        <f>N27/$N$29</f>
        <v>3.8461538461538464E-2</v>
      </c>
      <c r="P27" s="57"/>
      <c r="Q27" s="11"/>
    </row>
    <row r="28" spans="1:22" x14ac:dyDescent="0.35">
      <c r="A28" s="5"/>
      <c r="B28" s="58"/>
      <c r="C28" s="59"/>
      <c r="D28" s="60"/>
      <c r="E28" s="61"/>
      <c r="F28" s="62"/>
      <c r="G28" s="63"/>
      <c r="H28" s="64"/>
      <c r="I28" s="65"/>
      <c r="J28" s="66"/>
      <c r="K28" s="67"/>
      <c r="L28" s="68"/>
      <c r="M28" s="66"/>
      <c r="N28" s="69"/>
      <c r="O28" s="124"/>
      <c r="P28" s="54"/>
      <c r="Q28" s="5"/>
    </row>
    <row r="29" spans="1:22" x14ac:dyDescent="0.35">
      <c r="A29" s="5"/>
      <c r="B29" s="20"/>
      <c r="C29" s="5"/>
      <c r="D29" s="5"/>
      <c r="E29" s="5"/>
      <c r="F29" s="5"/>
      <c r="G29" s="5"/>
      <c r="H29" s="5"/>
      <c r="I29" s="5"/>
      <c r="J29" s="406" t="s">
        <v>28</v>
      </c>
      <c r="K29" s="406"/>
      <c r="L29" s="7"/>
      <c r="M29" s="218">
        <f>SUM(M27,M22)</f>
        <v>1040</v>
      </c>
      <c r="N29" s="219">
        <f>SUM(N27,N22)</f>
        <v>3328</v>
      </c>
      <c r="O29" s="220">
        <f>N29/$N$29</f>
        <v>1</v>
      </c>
      <c r="P29" s="5"/>
      <c r="Q29" s="5"/>
    </row>
    <row r="30" spans="1:22" x14ac:dyDescent="0.35">
      <c r="A30" s="5"/>
      <c r="B30" s="20" t="s">
        <v>159</v>
      </c>
      <c r="C30" s="5"/>
      <c r="D30" s="5"/>
      <c r="E30" s="5"/>
      <c r="F30" s="5"/>
      <c r="G30" s="5"/>
      <c r="H30" s="5"/>
      <c r="I30" s="5"/>
      <c r="J30" s="5"/>
      <c r="K30" s="5"/>
      <c r="L30" s="7"/>
      <c r="M30" s="5"/>
      <c r="N30" s="131"/>
      <c r="O30" s="115"/>
      <c r="P30" s="5"/>
      <c r="Q30" s="5"/>
    </row>
    <row r="31" spans="1:22" x14ac:dyDescent="0.35">
      <c r="A31" s="5"/>
      <c r="B31" s="20"/>
      <c r="C31" s="19"/>
      <c r="D31" s="19"/>
      <c r="E31" s="72"/>
      <c r="F31" s="19"/>
      <c r="G31" s="5"/>
      <c r="H31" s="5"/>
      <c r="I31" s="73"/>
      <c r="J31" s="11"/>
      <c r="K31" s="5"/>
      <c r="L31" s="7"/>
      <c r="N31" s="130"/>
      <c r="O31" s="125"/>
      <c r="P31" s="74"/>
      <c r="Q31" s="41"/>
    </row>
    <row r="32" spans="1:22" x14ac:dyDescent="0.35">
      <c r="A32" s="5"/>
      <c r="B32" s="20"/>
      <c r="C32" s="19"/>
      <c r="D32" s="19"/>
      <c r="E32" s="19"/>
      <c r="F32" s="19"/>
      <c r="G32" s="5"/>
      <c r="H32" s="5"/>
      <c r="I32" s="5"/>
      <c r="J32" s="5"/>
      <c r="K32" s="5"/>
      <c r="L32" s="7"/>
      <c r="M32" s="5"/>
      <c r="N32" s="5"/>
      <c r="O32" s="115"/>
      <c r="P32" s="74"/>
      <c r="Q32" s="41"/>
    </row>
    <row r="33" spans="1:25" x14ac:dyDescent="0.35">
      <c r="A33" s="5"/>
      <c r="B33" s="20"/>
      <c r="C33" s="19"/>
      <c r="D33" s="19"/>
      <c r="E33" s="19"/>
      <c r="F33" s="19"/>
      <c r="G33" s="5"/>
      <c r="H33" s="5"/>
      <c r="I33" s="5"/>
      <c r="J33" s="5"/>
      <c r="K33" s="5"/>
      <c r="L33" s="7"/>
      <c r="M33" s="5"/>
      <c r="O33" s="115"/>
      <c r="P33" s="74"/>
      <c r="Q33" s="41"/>
    </row>
    <row r="34" spans="1:25" x14ac:dyDescent="0.35">
      <c r="A34" s="5"/>
      <c r="B34" s="20"/>
      <c r="C34" s="19"/>
      <c r="D34" s="19"/>
      <c r="E34" s="19"/>
      <c r="F34" s="19"/>
      <c r="G34" s="5"/>
      <c r="H34" s="5"/>
      <c r="I34" s="5"/>
      <c r="J34" s="5"/>
      <c r="K34" s="5"/>
      <c r="L34" s="7"/>
      <c r="M34" s="5"/>
      <c r="N34" s="145">
        <f>+'Enfagrow '!Q34</f>
        <v>10721.324279999997</v>
      </c>
      <c r="O34" s="115"/>
      <c r="P34" s="74"/>
      <c r="Q34" s="75"/>
    </row>
    <row r="35" spans="1:25" x14ac:dyDescent="0.35">
      <c r="N35" s="145">
        <f>+N34-N29</f>
        <v>7393.3242799999971</v>
      </c>
    </row>
    <row r="36" spans="1:25" x14ac:dyDescent="0.35">
      <c r="N36" s="222">
        <f>+N29/3.2</f>
        <v>1040</v>
      </c>
    </row>
    <row r="37" spans="1:25" x14ac:dyDescent="0.35">
      <c r="N37" s="155"/>
    </row>
    <row r="42" spans="1:25" x14ac:dyDescent="0.35">
      <c r="Y42" s="154"/>
    </row>
    <row r="43" spans="1:25" x14ac:dyDescent="0.35">
      <c r="U43" s="1">
        <f>+X43*$G$24*G26</f>
        <v>0</v>
      </c>
      <c r="Y43" s="154"/>
    </row>
    <row r="44" spans="1:25" x14ac:dyDescent="0.35">
      <c r="U44" s="1">
        <f>+(X44*$G$24)*G25</f>
        <v>0</v>
      </c>
      <c r="Y44" s="154"/>
    </row>
    <row r="45" spans="1:25" x14ac:dyDescent="0.35">
      <c r="U45" s="1">
        <f>+X45*$G$24</f>
        <v>0</v>
      </c>
      <c r="Y45" s="154"/>
    </row>
    <row r="46" spans="1:25" x14ac:dyDescent="0.35">
      <c r="U46" s="1">
        <f>+X46*$G$24</f>
        <v>0</v>
      </c>
      <c r="Y46" s="154"/>
    </row>
    <row r="47" spans="1:25" x14ac:dyDescent="0.35">
      <c r="U47" s="1">
        <f>+X47*$G$24</f>
        <v>0</v>
      </c>
      <c r="Y47" s="154"/>
    </row>
    <row r="50" spans="25:25" x14ac:dyDescent="0.35">
      <c r="Y50" s="154"/>
    </row>
  </sheetData>
  <mergeCells count="15">
    <mergeCell ref="B27:K27"/>
    <mergeCell ref="J29:K29"/>
    <mergeCell ref="M15:O15"/>
    <mergeCell ref="B20:B21"/>
    <mergeCell ref="B22:F22"/>
    <mergeCell ref="J22:K22"/>
    <mergeCell ref="B24:F24"/>
    <mergeCell ref="B25:F25"/>
    <mergeCell ref="B26:F26"/>
    <mergeCell ref="B14:K14"/>
    <mergeCell ref="C2:D2"/>
    <mergeCell ref="C4:D4"/>
    <mergeCell ref="C6:D6"/>
    <mergeCell ref="C8:D8"/>
    <mergeCell ref="C10:D10"/>
  </mergeCells>
  <conditionalFormatting sqref="M14 L11:M13 L18:M18 L15:L16 M16:M17">
    <cfRule type="cellIs" dxfId="103" priority="15" stopIfTrue="1" operator="equal">
      <formula>0</formula>
    </cfRule>
    <cfRule type="expression" dxfId="102" priority="16" stopIfTrue="1">
      <formula>ISERROR(L11)</formula>
    </cfRule>
  </conditionalFormatting>
  <conditionalFormatting sqref="L19">
    <cfRule type="cellIs" dxfId="101" priority="11" stopIfTrue="1" operator="equal">
      <formula>0</formula>
    </cfRule>
    <cfRule type="expression" dxfId="100" priority="12" stopIfTrue="1">
      <formula>ISERROR(L19)</formula>
    </cfRule>
  </conditionalFormatting>
  <conditionalFormatting sqref="L20:M20">
    <cfRule type="cellIs" dxfId="99" priority="9" stopIfTrue="1" operator="equal">
      <formula>0</formula>
    </cfRule>
    <cfRule type="expression" dxfId="98" priority="10" stopIfTrue="1">
      <formula>ISERROR(L20)</formula>
    </cfRule>
  </conditionalFormatting>
  <conditionalFormatting sqref="L21">
    <cfRule type="cellIs" dxfId="97" priority="7" stopIfTrue="1" operator="equal">
      <formula>0</formula>
    </cfRule>
    <cfRule type="expression" dxfId="96" priority="8" stopIfTrue="1">
      <formula>ISERROR(L21)</formula>
    </cfRule>
  </conditionalFormatting>
  <conditionalFormatting sqref="L17">
    <cfRule type="cellIs" dxfId="95" priority="5" stopIfTrue="1" operator="equal">
      <formula>0</formula>
    </cfRule>
    <cfRule type="expression" dxfId="94" priority="6" stopIfTrue="1">
      <formula>ISERROR(L17)</formula>
    </cfRule>
  </conditionalFormatting>
  <conditionalFormatting sqref="M19">
    <cfRule type="cellIs" dxfId="93" priority="1" stopIfTrue="1" operator="equal">
      <formula>0</formula>
    </cfRule>
    <cfRule type="expression" dxfId="92" priority="2" stopIfTrue="1">
      <formula>ISERROR(M19)</formula>
    </cfRule>
  </conditionalFormatting>
  <pageMargins left="0.7" right="0.7" top="0.75" bottom="0.75" header="0.3" footer="0.3"/>
  <ignoredErrors>
    <ignoredError sqref="H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Enfagrow </vt:lpstr>
      <vt:lpstr>Segmentación Facebook</vt:lpstr>
      <vt:lpstr>Yahoo</vt:lpstr>
      <vt:lpstr>Impaktu</vt:lpstr>
      <vt:lpstr>Google L</vt:lpstr>
      <vt:lpstr>Headway</vt:lpstr>
      <vt:lpstr>MMCC</vt:lpstr>
      <vt:lpstr>Hoja1</vt:lpstr>
      <vt:lpstr>IMS</vt:lpstr>
      <vt:lpstr>Teads</vt:lpstr>
      <vt:lpstr>AOD</vt:lpstr>
      <vt:lpstr>YouTube</vt:lpstr>
      <vt:lpstr>Google</vt:lpstr>
      <vt:lpstr>Intereses</vt:lpstr>
      <vt:lpstr>Temas</vt:lpstr>
      <vt:lpstr>Facebook</vt:lpstr>
      <vt:lpstr>Facturación Abril</vt:lpstr>
      <vt:lpstr>Facturación Mayo</vt:lpstr>
      <vt:lpstr>Enfagrow Share</vt:lpstr>
      <vt:lpstr>MENSUAL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Isela Sifuentes</dc:creator>
  <cp:lastModifiedBy>Diego Marroquin</cp:lastModifiedBy>
  <dcterms:created xsi:type="dcterms:W3CDTF">2012-07-19T16:56:53Z</dcterms:created>
  <dcterms:modified xsi:type="dcterms:W3CDTF">2017-03-14T16:50:38Z</dcterms:modified>
</cp:coreProperties>
</file>