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58b57d08c9b3ed/Escritorio/Documentos/Documentos/CURSOS/CURSO NÓMINAS/CURSO NÓMINA 2023 OK/CURSO NÓMINA 2023/"/>
    </mc:Choice>
  </mc:AlternateContent>
  <xr:revisionPtr revIDLastSave="1333" documentId="13_ncr:1_{49E3814C-AE01-4D90-B7AA-E3A96FF012F9}" xr6:coauthVersionLast="47" xr6:coauthVersionMax="47" xr10:uidLastSave="{CEE8F359-9B37-403F-BD9F-F0E979497A9F}"/>
  <bookViews>
    <workbookView xWindow="-108" yWindow="-108" windowWidth="23256" windowHeight="12576" firstSheet="15" activeTab="20" xr2:uid="{629FEE9E-CB05-4CAB-A85A-5AAE0E57F563}"/>
  </bookViews>
  <sheets>
    <sheet name="jornadas" sheetId="17" r:id="rId1"/>
    <sheet name="TIEMPO EXTRA" sheetId="1" r:id="rId2"/>
    <sheet name="dias de descanso" sheetId="18" r:id="rId3"/>
    <sheet name="cálculo anual" sheetId="19" r:id="rId4"/>
    <sheet name="VACACIONES" sheetId="20" r:id="rId5"/>
    <sheet name="AGUINALDO" sheetId="21" r:id="rId6"/>
    <sheet name="TIEMPO EXTRA DOBLE" sheetId="23" r:id="rId7"/>
    <sheet name="LIMITES PREV SOC" sheetId="22" r:id="rId8"/>
    <sheet name="TIEMPO EXTRA GRAVADO Y EXENTO" sheetId="24" r:id="rId9"/>
    <sheet name="Hoja1" sheetId="25" r:id="rId10"/>
    <sheet name="CALCULO ISR TRABAJDOR DEL MINIM" sheetId="26" r:id="rId11"/>
    <sheet name="Hoja3" sheetId="27" r:id="rId12"/>
    <sheet name="ART 174 RISR" sheetId="29" r:id="rId13"/>
    <sheet name="FINIQUITOS Y LIQUIDACIONES" sheetId="28" r:id="rId14"/>
    <sheet name="DED INV" sheetId="30" r:id="rId15"/>
    <sheet name="Hoja2" sheetId="31" r:id="rId16"/>
    <sheet name="SBC SEMANA REDUCIDA" sheetId="32" r:id="rId17"/>
    <sheet name="SBC" sheetId="33" r:id="rId18"/>
    <sheet name="EJERCICIOS RESUELTOS SBC" sheetId="34" r:id="rId19"/>
    <sheet name="FACTOR Y CALCULOS IMSS" sheetId="35" r:id="rId20"/>
    <sheet name="Hoja3 (2)" sheetId="3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7" i="32" l="1"/>
  <c r="N36" i="32"/>
  <c r="L36" i="32"/>
  <c r="E22" i="32"/>
  <c r="L7" i="35"/>
  <c r="F67" i="35" l="1"/>
  <c r="G65" i="35"/>
  <c r="G63" i="35"/>
  <c r="H61" i="35"/>
  <c r="G61" i="35"/>
  <c r="E55" i="35"/>
  <c r="E52" i="35"/>
  <c r="G73" i="35" s="1"/>
  <c r="E51" i="35"/>
  <c r="E54" i="35" s="1"/>
  <c r="W48" i="35"/>
  <c r="T43" i="35"/>
  <c r="K37" i="35"/>
  <c r="H36" i="35"/>
  <c r="P34" i="35"/>
  <c r="K34" i="35"/>
  <c r="P32" i="35"/>
  <c r="P37" i="35" s="1"/>
  <c r="L32" i="35"/>
  <c r="P31" i="35"/>
  <c r="K31" i="35"/>
  <c r="L30" i="35"/>
  <c r="K30" i="35"/>
  <c r="P29" i="35"/>
  <c r="S29" i="35" s="1"/>
  <c r="L29" i="35"/>
  <c r="K29" i="35"/>
  <c r="P28" i="35"/>
  <c r="S28" i="35" s="1"/>
  <c r="L28" i="35"/>
  <c r="K28" i="35"/>
  <c r="P26" i="35"/>
  <c r="S26" i="35" s="1"/>
  <c r="L26" i="35"/>
  <c r="K26" i="35"/>
  <c r="P22" i="35"/>
  <c r="O22" i="35"/>
  <c r="Q22" i="35" s="1"/>
  <c r="N22" i="35"/>
  <c r="K22" i="35"/>
  <c r="P19" i="35"/>
  <c r="P30" i="35" s="1"/>
  <c r="S30" i="35" s="1"/>
  <c r="K19" i="35"/>
  <c r="I8" i="35"/>
  <c r="N19" i="35"/>
  <c r="G5" i="35"/>
  <c r="I5" i="35" s="1"/>
  <c r="I9" i="35" s="1"/>
  <c r="K32" i="35" l="1"/>
  <c r="O32" i="35" s="1"/>
  <c r="Q32" i="35" s="1"/>
  <c r="N29" i="35"/>
  <c r="N31" i="35"/>
  <c r="O31" i="35" s="1"/>
  <c r="Q31" i="35" s="1"/>
  <c r="N30" i="35"/>
  <c r="O30" i="35" s="1"/>
  <c r="Q30" i="35" s="1"/>
  <c r="N34" i="35"/>
  <c r="O34" i="35" s="1"/>
  <c r="Q34" i="35" s="1"/>
  <c r="N32" i="35"/>
  <c r="R32" i="35" s="1"/>
  <c r="T32" i="35" s="1"/>
  <c r="T42" i="35" s="1"/>
  <c r="N28" i="35"/>
  <c r="O28" i="35" s="1"/>
  <c r="Q28" i="35" s="1"/>
  <c r="N37" i="35"/>
  <c r="O37" i="35" s="1"/>
  <c r="Q37" i="35" s="1"/>
  <c r="Q43" i="35" s="1"/>
  <c r="U43" i="35" s="1"/>
  <c r="N26" i="35"/>
  <c r="R26" i="35" s="1"/>
  <c r="T26" i="35" s="1"/>
  <c r="O19" i="35"/>
  <c r="Q19" i="35" s="1"/>
  <c r="F61" i="35"/>
  <c r="G67" i="35"/>
  <c r="S32" i="35"/>
  <c r="G68" i="35"/>
  <c r="G62" i="35"/>
  <c r="G69" i="35"/>
  <c r="G70" i="35"/>
  <c r="G64" i="35"/>
  <c r="G71" i="35"/>
  <c r="G72" i="35"/>
  <c r="G66" i="35"/>
  <c r="R28" i="35" l="1"/>
  <c r="T28" i="35" s="1"/>
  <c r="R30" i="35"/>
  <c r="T30" i="35" s="1"/>
  <c r="Q42" i="35"/>
  <c r="U42" i="35" s="1"/>
  <c r="O26" i="35"/>
  <c r="Q26" i="35" s="1"/>
  <c r="Q39" i="35" s="1"/>
  <c r="R29" i="35"/>
  <c r="T29" i="35" s="1"/>
  <c r="T39" i="35" s="1"/>
  <c r="O29" i="35"/>
  <c r="Q29" i="35" s="1"/>
  <c r="Q41" i="35" l="1"/>
  <c r="Q45" i="35"/>
  <c r="T41" i="35"/>
  <c r="T45" i="35" s="1"/>
  <c r="U45" i="35" l="1"/>
  <c r="U41" i="35"/>
  <c r="E47" i="34" l="1"/>
  <c r="G24" i="34"/>
  <c r="G26" i="34" s="1"/>
  <c r="G22" i="34"/>
  <c r="G21" i="34"/>
  <c r="G20" i="34"/>
  <c r="I19" i="34"/>
  <c r="E43" i="34" s="1"/>
  <c r="G19" i="34"/>
  <c r="Q18" i="34"/>
  <c r="G18" i="34"/>
  <c r="Q16" i="34"/>
  <c r="Q13" i="34"/>
  <c r="Q17" i="34" s="1"/>
  <c r="H33" i="33"/>
  <c r="F33" i="33"/>
  <c r="F31" i="33"/>
  <c r="G33" i="33"/>
  <c r="E30" i="33"/>
  <c r="E33" i="33"/>
  <c r="D33" i="33"/>
  <c r="C27" i="33"/>
  <c r="M19" i="33"/>
  <c r="N16" i="33"/>
  <c r="L17" i="33"/>
  <c r="K17" i="33"/>
  <c r="J17" i="33"/>
  <c r="L3" i="33"/>
  <c r="F10" i="33"/>
  <c r="E10" i="33"/>
  <c r="F5" i="33"/>
  <c r="E5" i="33"/>
  <c r="H32" i="34" l="1"/>
  <c r="H30" i="34"/>
  <c r="H29" i="34"/>
  <c r="H33" i="34" s="1"/>
  <c r="E37" i="34" s="1"/>
  <c r="E39" i="34" s="1"/>
  <c r="E41" i="34" s="1"/>
  <c r="E44" i="34" s="1"/>
  <c r="E45" i="34" s="1"/>
  <c r="Q14" i="34"/>
  <c r="Q19" i="34"/>
  <c r="Q15" i="34"/>
  <c r="G25" i="34"/>
  <c r="E38" i="32"/>
  <c r="E24" i="32"/>
  <c r="E20" i="32"/>
  <c r="E19" i="32"/>
  <c r="E27" i="32"/>
  <c r="E28" i="32" s="1"/>
  <c r="E30" i="32" s="1"/>
  <c r="E32" i="32" s="1"/>
  <c r="E21" i="32"/>
  <c r="P19" i="32"/>
  <c r="O19" i="32"/>
  <c r="Q19" i="32" s="1"/>
  <c r="R19" i="32" s="1"/>
  <c r="H47" i="34" l="1"/>
  <c r="I47" i="34" s="1"/>
  <c r="G31" i="34"/>
  <c r="G30" i="34"/>
  <c r="G29" i="34"/>
  <c r="G33" i="34" s="1"/>
  <c r="G35" i="34" s="1"/>
  <c r="K15" i="30" l="1"/>
  <c r="K18" i="30" s="1"/>
  <c r="K19" i="30" s="1"/>
  <c r="F25" i="30"/>
  <c r="E23" i="30"/>
  <c r="E19" i="30"/>
  <c r="E18" i="30"/>
  <c r="E15" i="30"/>
  <c r="F8" i="30"/>
  <c r="W77" i="28"/>
  <c r="AI76" i="28"/>
  <c r="AI75" i="28"/>
  <c r="AI63" i="28"/>
  <c r="V28" i="28"/>
  <c r="AA44" i="28"/>
  <c r="Y44" i="28"/>
  <c r="R28" i="28"/>
  <c r="Q28" i="28"/>
  <c r="P28" i="28"/>
  <c r="O40" i="28"/>
  <c r="E41" i="29"/>
  <c r="E40" i="29"/>
  <c r="E22" i="29"/>
  <c r="AI67" i="28"/>
  <c r="T28" i="28"/>
  <c r="AI65" i="28"/>
  <c r="X45" i="28"/>
  <c r="X44" i="28"/>
  <c r="W52" i="28"/>
  <c r="X61" i="28" s="1"/>
  <c r="W51" i="28" l="1"/>
  <c r="W53" i="28"/>
  <c r="W55" i="28" s="1"/>
  <c r="X60" i="28"/>
  <c r="X62" i="28" s="1"/>
  <c r="U69" i="28" s="1"/>
  <c r="AI69" i="28"/>
  <c r="AI71" i="28" s="1"/>
  <c r="AJ75" i="28" l="1"/>
  <c r="U70" i="28" s="1"/>
  <c r="U71" i="28" s="1"/>
  <c r="W76" i="28" s="1"/>
  <c r="W75" i="28"/>
  <c r="S14" i="27" l="1"/>
  <c r="S13" i="27"/>
  <c r="S12" i="27"/>
  <c r="S11" i="27"/>
  <c r="H41" i="26"/>
  <c r="G41" i="26"/>
  <c r="G40" i="26"/>
  <c r="H36" i="26"/>
  <c r="E41" i="26"/>
  <c r="E40" i="26"/>
  <c r="H27" i="26"/>
  <c r="F28" i="26"/>
  <c r="C28" i="26"/>
  <c r="C27" i="26"/>
  <c r="U5" i="26"/>
  <c r="U17" i="26" s="1"/>
  <c r="K19" i="26"/>
  <c r="K18" i="26"/>
  <c r="K13" i="26"/>
  <c r="D19" i="26"/>
  <c r="D18" i="26"/>
  <c r="D13" i="26"/>
  <c r="K17" i="26"/>
  <c r="K7" i="26"/>
  <c r="K9" i="26" s="1"/>
  <c r="K11" i="26" s="1"/>
  <c r="D17" i="26"/>
  <c r="D7" i="26"/>
  <c r="D9" i="26" s="1"/>
  <c r="D11" i="26" s="1"/>
  <c r="H16" i="25"/>
  <c r="H15" i="25"/>
  <c r="H8" i="25"/>
  <c r="D15" i="25"/>
  <c r="D8" i="25"/>
  <c r="D10" i="25" s="1"/>
  <c r="D12" i="25" s="1"/>
  <c r="D16" i="25" s="1"/>
  <c r="P67" i="24"/>
  <c r="P66" i="24"/>
  <c r="P64" i="24"/>
  <c r="P63" i="24"/>
  <c r="P62" i="24"/>
  <c r="R58" i="24"/>
  <c r="P56" i="24"/>
  <c r="P55" i="24"/>
  <c r="M40" i="24"/>
  <c r="Q42" i="24"/>
  <c r="O50" i="24"/>
  <c r="O41" i="24"/>
  <c r="O42" i="24"/>
  <c r="L50" i="24"/>
  <c r="J50" i="24"/>
  <c r="G50" i="24"/>
  <c r="L49" i="24"/>
  <c r="J49" i="24"/>
  <c r="G49" i="24"/>
  <c r="I40" i="24"/>
  <c r="H40" i="24"/>
  <c r="G40" i="24"/>
  <c r="I41" i="24"/>
  <c r="I42" i="24" s="1"/>
  <c r="H41" i="24"/>
  <c r="H42" i="24" s="1"/>
  <c r="G42" i="24"/>
  <c r="G41" i="24"/>
  <c r="L48" i="24"/>
  <c r="J48" i="24"/>
  <c r="G48" i="24"/>
  <c r="M39" i="24"/>
  <c r="I39" i="24"/>
  <c r="H39" i="24"/>
  <c r="G39" i="24"/>
  <c r="B39" i="24"/>
  <c r="B38" i="24"/>
  <c r="B37" i="24"/>
  <c r="F21" i="22"/>
  <c r="F20" i="22"/>
  <c r="G18" i="22"/>
  <c r="H18" i="22" s="1"/>
  <c r="F18" i="22"/>
  <c r="F29" i="22"/>
  <c r="F28" i="22"/>
  <c r="H26" i="22"/>
  <c r="F26" i="22"/>
  <c r="F22" i="22"/>
  <c r="F17" i="22"/>
  <c r="K15" i="22"/>
  <c r="H15" i="22"/>
  <c r="H8" i="22"/>
  <c r="U13" i="26" l="1"/>
  <c r="U18" i="26" s="1"/>
  <c r="U19" i="26" s="1"/>
  <c r="H17" i="25"/>
  <c r="D17" i="25"/>
  <c r="F30" i="22"/>
  <c r="K20" i="23" l="1"/>
  <c r="K18" i="23"/>
  <c r="K15" i="23"/>
  <c r="K16" i="23" s="1"/>
  <c r="F20" i="23"/>
  <c r="F18" i="23"/>
  <c r="F16" i="23"/>
  <c r="F15" i="23"/>
  <c r="F8" i="23"/>
  <c r="F7" i="23"/>
  <c r="F6" i="23"/>
  <c r="K16" i="21"/>
  <c r="O14" i="21"/>
  <c r="K14" i="21"/>
  <c r="F16" i="22"/>
  <c r="D15" i="22"/>
  <c r="H13" i="22"/>
  <c r="H10" i="22"/>
  <c r="K3" i="22"/>
  <c r="K2" i="22"/>
  <c r="J15" i="22"/>
  <c r="F15" i="22"/>
  <c r="H17" i="22" l="1"/>
  <c r="O13" i="20" l="1"/>
  <c r="O11" i="20"/>
  <c r="P11" i="20" s="1"/>
  <c r="H11" i="20"/>
  <c r="I11" i="20" s="1"/>
  <c r="H8" i="20"/>
  <c r="H13" i="20" s="1"/>
  <c r="L9" i="21" l="1"/>
  <c r="H14" i="21" s="1"/>
  <c r="J43" i="20"/>
  <c r="J42" i="20"/>
  <c r="J44" i="20" s="1"/>
  <c r="J46" i="20" s="1"/>
  <c r="J30" i="20"/>
  <c r="N31" i="20" s="1"/>
  <c r="P31" i="20" s="1"/>
  <c r="G28" i="20"/>
  <c r="L33" i="20" s="1"/>
  <c r="Q16" i="19"/>
  <c r="O17" i="19"/>
  <c r="Q17" i="19"/>
  <c r="Q14" i="19"/>
  <c r="Q12" i="19"/>
  <c r="Q11" i="19"/>
  <c r="Q10" i="19"/>
  <c r="M17" i="19"/>
  <c r="O16" i="19"/>
  <c r="M16" i="19"/>
  <c r="O13" i="19"/>
  <c r="O14" i="19"/>
  <c r="O12" i="19"/>
  <c r="G11" i="19"/>
  <c r="H11" i="19" s="1"/>
  <c r="M14" i="19"/>
  <c r="H12" i="19"/>
  <c r="F11" i="19"/>
  <c r="F12" i="19"/>
  <c r="H10" i="19"/>
  <c r="M42" i="20" l="1"/>
  <c r="H16" i="21"/>
  <c r="O16" i="21" s="1"/>
  <c r="N33" i="20"/>
  <c r="P33" i="20" s="1"/>
  <c r="P42" i="18"/>
  <c r="N42" i="18"/>
  <c r="I29" i="18"/>
  <c r="G34" i="18"/>
  <c r="G32" i="18"/>
  <c r="G31" i="18"/>
  <c r="G30" i="18"/>
  <c r="I26" i="18"/>
  <c r="I28" i="18" s="1"/>
  <c r="I22" i="18"/>
  <c r="I21" i="18"/>
  <c r="I20" i="18"/>
  <c r="I18" i="18"/>
  <c r="H16" i="18"/>
  <c r="H15" i="18"/>
  <c r="I6" i="18"/>
  <c r="G6" i="18"/>
  <c r="I5" i="18"/>
  <c r="G5" i="18"/>
  <c r="R12" i="1"/>
  <c r="R21" i="1"/>
  <c r="R20" i="1"/>
  <c r="R19" i="1"/>
  <c r="R14" i="1"/>
  <c r="R13" i="1"/>
  <c r="K6" i="17"/>
  <c r="I6" i="17"/>
  <c r="I30" i="18" l="1"/>
  <c r="J78" i="1" l="1"/>
  <c r="I78" i="1"/>
  <c r="H76" i="1"/>
  <c r="G76" i="1"/>
  <c r="F78" i="1"/>
  <c r="F76" i="1"/>
  <c r="P62" i="1" l="1"/>
  <c r="P61" i="1"/>
  <c r="O50" i="1"/>
  <c r="L46" i="1"/>
  <c r="L45" i="1"/>
  <c r="L44" i="1"/>
  <c r="X26" i="1"/>
  <c r="X13" i="1"/>
  <c r="X12" i="1"/>
  <c r="X20" i="1"/>
  <c r="X19" i="1"/>
</calcChain>
</file>

<file path=xl/sharedStrings.xml><?xml version="1.0" encoding="utf-8"?>
<sst xmlns="http://schemas.openxmlformats.org/spreadsheetml/2006/main" count="1175" uniqueCount="807">
  <si>
    <t>TIPOS DE TIEMPO EXTRA</t>
  </si>
  <si>
    <t>TIEMPO EXTRA POR RIESGO INMINENTE</t>
  </si>
  <si>
    <t>HORA SENCILLA</t>
  </si>
  <si>
    <t>TIEMPO EXTRA PURO</t>
  </si>
  <si>
    <t>CRITERIO DE PAGO</t>
  </si>
  <si>
    <t>3 X 3</t>
  </si>
  <si>
    <t>9 HORAS POR SEMANA</t>
  </si>
  <si>
    <t>COMENTARIOS</t>
  </si>
  <si>
    <t>SE PAGARIAN LAS 3 PRIMERAS HORAS DE LOS 3 PRIMEROS DIAS POR SEMANA, DOBLES, EL EXCEDENTE SE PAGA TRIPLE</t>
  </si>
  <si>
    <t>LUNES</t>
  </si>
  <si>
    <t xml:space="preserve">MARTES </t>
  </si>
  <si>
    <t>MIERCOLES</t>
  </si>
  <si>
    <t>HORAS EXTRA TRABAJADAS</t>
  </si>
  <si>
    <t xml:space="preserve">HORAS DOBLES </t>
  </si>
  <si>
    <t>HORAS TRIPLES</t>
  </si>
  <si>
    <t>SE PAGARÍAN DOBLES LAS PRMIERAS 9 HORAS EXTRA DE LA SEMANA SIN IMPORTAR COMO SE HAYAN TRABAJADO</t>
  </si>
  <si>
    <t>NO INTEGRAN SBC</t>
  </si>
  <si>
    <t>SI INTEGRAN SBC</t>
  </si>
  <si>
    <t>FUERA DE LIMITE</t>
  </si>
  <si>
    <t>DETRO DE LIMITE</t>
  </si>
  <si>
    <t xml:space="preserve">DOBLES </t>
  </si>
  <si>
    <t>TRIPLES</t>
  </si>
  <si>
    <t>PRIMA DOMINICAL</t>
  </si>
  <si>
    <t>TRABAJADOR DESCANSA LOS DOMINGOS</t>
  </si>
  <si>
    <t>SDN</t>
  </si>
  <si>
    <t>VINOA TRABAJAR EL DOMINGO</t>
  </si>
  <si>
    <t>HORAS EXTRA TRABAJADAS EN DOMINGO</t>
  </si>
  <si>
    <t>SALARIO HORA SENCILLA</t>
  </si>
  <si>
    <t>JORNADA DIURNA</t>
  </si>
  <si>
    <t>SALARIO HORA DOBLE</t>
  </si>
  <si>
    <t>SALARIO HORA TRIPLE</t>
  </si>
  <si>
    <t>QUE LE VOY A PAGAR EL DOMINGO</t>
  </si>
  <si>
    <t>SALARIO POR SU DIA DE DESCANSO</t>
  </si>
  <si>
    <t>SALARIO HORAS EXTRA DIA DE DESCANSO</t>
  </si>
  <si>
    <t>TIEMPO EXTRA DIA DE DESCANSO</t>
  </si>
  <si>
    <t>6 HORAS X 100</t>
  </si>
  <si>
    <t>(6 HORAS X 50)= 300 x 25%</t>
  </si>
  <si>
    <t>SDN 400 X 25%</t>
  </si>
  <si>
    <t>PRIMA DOMINICAL CON BASE EN HORAS TRABAJADAS (CALCULO COSTO HORA SENCILLA)</t>
  </si>
  <si>
    <t>DIA DE DESCANSO</t>
  </si>
  <si>
    <t>FACTOR DE DIA DE DESCANSO</t>
  </si>
  <si>
    <t>! DIA / 6 DIAS</t>
  </si>
  <si>
    <t xml:space="preserve">PRIMER EJEMPLO </t>
  </si>
  <si>
    <t>TRABAJADOR TRABAJO 6 DIAS</t>
  </si>
  <si>
    <t>DIAS TRABAJADOS X FACTOR</t>
  </si>
  <si>
    <t>6 x 0.1666 =</t>
  </si>
  <si>
    <t>UN DIA DE DESCANSO</t>
  </si>
  <si>
    <t>3 X 0.1666 =</t>
  </si>
  <si>
    <t>0.50 DIAS DE DESCANSO</t>
  </si>
  <si>
    <t>TIEMPO EXTRA DE DIA DE DESCANSO</t>
  </si>
  <si>
    <t>HORAS DOBLES</t>
  </si>
  <si>
    <t>TEMPO EXTRA PURO</t>
  </si>
  <si>
    <t>CRITERIO 3 X 3 LAS PRIMERAS 3 HORAS DE LOS PRIMEROS 3 DIAS SE PAGAN DOBLES, EL EXCEDENTE SE PAGA TRIPLE</t>
  </si>
  <si>
    <t>MARTES</t>
  </si>
  <si>
    <t>MIÉRCOLES</t>
  </si>
  <si>
    <t>JUEVES</t>
  </si>
  <si>
    <t>VIERNES</t>
  </si>
  <si>
    <t>SÁBADO</t>
  </si>
  <si>
    <t>DOMINGO</t>
  </si>
  <si>
    <t>DOBLES</t>
  </si>
  <si>
    <t xml:space="preserve">COSTO HORA SENCILLA </t>
  </si>
  <si>
    <t>ISR</t>
  </si>
  <si>
    <t>LAS HORAS EXTRA QUE ESTEN DENTRO DE LOS LÍMITES DE LFT TIENEN LA SIGUIENTE EXENCIÓN:</t>
  </si>
  <si>
    <t>LAS HORAS EXTRA QUE ESTEN FUERA DE LOS LIMITES DE LA LFT ESTAN 100% GRABADAS PARA TODOS LOS TRABAJADORES</t>
  </si>
  <si>
    <t>TRABAJADOR DE SALARIO MÍNIMO</t>
  </si>
  <si>
    <t>TRABAJADOR MAS DEL MÍNIMNO</t>
  </si>
  <si>
    <t>TRABAJADOR DEL SALARIO MÍNIMO</t>
  </si>
  <si>
    <t>HORAS EXTRA FUERA DE LIMITE</t>
  </si>
  <si>
    <t>100% GRABADAS</t>
  </si>
  <si>
    <t>HORAS EXTRA DENTRO DE LIMITE</t>
  </si>
  <si>
    <t>100% EXENTAS</t>
  </si>
  <si>
    <t>EXENTAS</t>
  </si>
  <si>
    <t>GRAVADAS</t>
  </si>
  <si>
    <t>IMSS</t>
  </si>
  <si>
    <t xml:space="preserve">LAS HORAS EXTRA QUE ESTEN FUERA DE LOS LIMITES DE LA LFT INTEGRAN 100% PARA SBC PARA TODOS LOS TRABAJADORES </t>
  </si>
  <si>
    <t>LAS HORAS EXTRA QUE ESTEN DENTRO DE LOS LÍMITES DE LFT NO INTEGRAN SBC EN NINGÚN CASO (NO MÁS 3 HORAS DIARIAS 3 VECES POR SEMANA)</t>
  </si>
  <si>
    <t>MAS</t>
  </si>
  <si>
    <t xml:space="preserve">MAS </t>
  </si>
  <si>
    <t>x</t>
  </si>
  <si>
    <t>entrada</t>
  </si>
  <si>
    <t>salida</t>
  </si>
  <si>
    <t>total hrs</t>
  </si>
  <si>
    <t>tipo de jornada es?</t>
  </si>
  <si>
    <t>mixta</t>
  </si>
  <si>
    <t>horas por dia</t>
  </si>
  <si>
    <t>hor semana</t>
  </si>
  <si>
    <t xml:space="preserve">horas </t>
  </si>
  <si>
    <t>trabajadas</t>
  </si>
  <si>
    <t>horas</t>
  </si>
  <si>
    <t>excceso</t>
  </si>
  <si>
    <t>tiempo extra</t>
  </si>
  <si>
    <t>l</t>
  </si>
  <si>
    <t>m</t>
  </si>
  <si>
    <t>j</t>
  </si>
  <si>
    <t>v</t>
  </si>
  <si>
    <t>s</t>
  </si>
  <si>
    <t>d</t>
  </si>
  <si>
    <t>horaas extra</t>
  </si>
  <si>
    <t xml:space="preserve">dobles </t>
  </si>
  <si>
    <t>triples</t>
  </si>
  <si>
    <t>dobles</t>
  </si>
  <si>
    <t>3 x 3</t>
  </si>
  <si>
    <t>dias laborados</t>
  </si>
  <si>
    <t xml:space="preserve">factor </t>
  </si>
  <si>
    <t>de dias</t>
  </si>
  <si>
    <t>de descanso</t>
  </si>
  <si>
    <t>dias de descanso</t>
  </si>
  <si>
    <t>a disfrutar</t>
  </si>
  <si>
    <t>DOMINGO 1 DE ENERO</t>
  </si>
  <si>
    <t>SUELDO DIARIO</t>
  </si>
  <si>
    <t>SUELDO POR HORA</t>
  </si>
  <si>
    <t>SUELLDO HORA DOBLE</t>
  </si>
  <si>
    <t xml:space="preserve">TRABAJO LAS 8 HORAS </t>
  </si>
  <si>
    <t>PRIMER SUPUESTO</t>
  </si>
  <si>
    <t>SALARIO POR DESCANSO</t>
  </si>
  <si>
    <t>SEGUNDO SUPUESTO</t>
  </si>
  <si>
    <t xml:space="preserve">TRABAJO LAS 5 HORAS </t>
  </si>
  <si>
    <t>POR HORAS LABORADAS EX</t>
  </si>
  <si>
    <t>IGUAL A BASE PARA PRIMA DOMINICAL</t>
  </si>
  <si>
    <t>POR PORCENTAJE DE PRIMA</t>
  </si>
  <si>
    <t>IGUAL A LA PRIMA</t>
  </si>
  <si>
    <t xml:space="preserve">NOTA HAY QUIEN SEÑALA QUE SE PAGA LA PRIMA SOBNRE UN DIA NORMAL DE TRABAJO </t>
  </si>
  <si>
    <t>LO CUAL DARÍA TAMBIPÉN $300 EN ESTE CASO</t>
  </si>
  <si>
    <t>SALARIO BASE DE COTIZACIÓN</t>
  </si>
  <si>
    <t>+</t>
  </si>
  <si>
    <t>DIAS DE AGUI</t>
  </si>
  <si>
    <t>DIAS DE PV</t>
  </si>
  <si>
    <t>(6*.25)</t>
  </si>
  <si>
    <t>HASTA 2022</t>
  </si>
  <si>
    <t>A PARTIR DE 2023</t>
  </si>
  <si>
    <t>(12*.25)</t>
  </si>
  <si>
    <t>MOMENTO IDEAL PARA HACER EL CÁLCULO ANUAL DE ISR</t>
  </si>
  <si>
    <t>AGUINALDO</t>
  </si>
  <si>
    <t>SALARIO QUINCENAL</t>
  </si>
  <si>
    <t>ANUAL</t>
  </si>
  <si>
    <t xml:space="preserve">GRAVADOS </t>
  </si>
  <si>
    <t>EXENTOS</t>
  </si>
  <si>
    <t>ISR ANUAL</t>
  </si>
  <si>
    <t>APLICO TARIFA ANUAL A ESTE IMPORTE</t>
  </si>
  <si>
    <t>MENOS ISR RETENIDO AL 15 DIC</t>
  </si>
  <si>
    <t>MENOS ISR A RETENER EN LA ULTIMA QUINCENA</t>
  </si>
  <si>
    <t>IGUAL A ISR A RETENER EN EL AGUINALDO</t>
  </si>
  <si>
    <t>INGRESO ANUAL</t>
  </si>
  <si>
    <t>OK</t>
  </si>
  <si>
    <t>FALTÓ RETENER 300</t>
  </si>
  <si>
    <t>PRIMER AÑO SE TIEEN DERECHO A 6 DIAS DE VACACIONES</t>
  </si>
  <si>
    <t>TRABAJADOR QUE LABORA DE JUEVES A DOMINGO TODAS LAS SEMANAS DEL AÑO</t>
  </si>
  <si>
    <t>SEMANAS DEL AÑO</t>
  </si>
  <si>
    <t>DIAS POR SEMANA</t>
  </si>
  <si>
    <t>TOTAL DIAS LABORADOS EN EL AÑO</t>
  </si>
  <si>
    <t>FACTOR DE VACACIONES</t>
  </si>
  <si>
    <t>DIAS DE VACACIONES</t>
  </si>
  <si>
    <t>DIAS LABORADOS</t>
  </si>
  <si>
    <t>X</t>
  </si>
  <si>
    <t>FACTOR</t>
  </si>
  <si>
    <t>IGUAL A</t>
  </si>
  <si>
    <t>DIAS DEL AÑO</t>
  </si>
  <si>
    <t>PRIMA VACACIONAL</t>
  </si>
  <si>
    <t>DIAS DE LA JORNADA</t>
  </si>
  <si>
    <t>(LUNES A VIERNES, DESCANSA SABADO Y DOMINGO)</t>
  </si>
  <si>
    <t>INICIO DE VACACIONES</t>
  </si>
  <si>
    <t>LUNES 30 DE MAYO</t>
  </si>
  <si>
    <t>CORRECTO</t>
  </si>
  <si>
    <t>DIAS DE DESCANSO</t>
  </si>
  <si>
    <t>INCORRECTO</t>
  </si>
  <si>
    <t xml:space="preserve">DIAS MINIMOS DE AGUNALD PARA UN AÑO COMPLETO </t>
  </si>
  <si>
    <t>15 DIAS</t>
  </si>
  <si>
    <t>FACTOR DE DIAS DE AGUINALDO=</t>
  </si>
  <si>
    <t>DIAS DE AGUINALDO ANUAL</t>
  </si>
  <si>
    <t>FACTOR DE AGUINALDO</t>
  </si>
  <si>
    <t>DIAS DE AGUINALDO</t>
  </si>
  <si>
    <t xml:space="preserve">IGUAL A </t>
  </si>
  <si>
    <t>AGUINALDO POR PAGAR</t>
  </si>
  <si>
    <t>DISCONTINUA</t>
  </si>
  <si>
    <t>dias laborables</t>
  </si>
  <si>
    <t>juev a dom</t>
  </si>
  <si>
    <t>semans del año</t>
  </si>
  <si>
    <t>un año de antigüedad</t>
  </si>
  <si>
    <t>de vacaciones para todo el año completo</t>
  </si>
  <si>
    <t>factor</t>
  </si>
  <si>
    <t>12/365</t>
  </si>
  <si>
    <t>dias propor de vac</t>
  </si>
  <si>
    <t>208 X 0.0328</t>
  </si>
  <si>
    <t>TEMPORADA</t>
  </si>
  <si>
    <t>DEL 01 DIC AL 06 DE ENERO</t>
  </si>
  <si>
    <t>37 X 0.0328</t>
  </si>
  <si>
    <t>UNA UMA ANUAL</t>
  </si>
  <si>
    <t>7 UMAS ANUALES</t>
  </si>
  <si>
    <t xml:space="preserve">SALARIOS </t>
  </si>
  <si>
    <t xml:space="preserve">PREVISIÓN SOCIAL </t>
  </si>
  <si>
    <t xml:space="preserve">IGUAL O MENORES A 7 UMAS ANUALES </t>
  </si>
  <si>
    <t>ENTONCES TODS LA PREVISIÓN SOCIAL ESTA EXENTA</t>
  </si>
  <si>
    <t xml:space="preserve">IGUL A </t>
  </si>
  <si>
    <t>EXENTA 60,000</t>
  </si>
  <si>
    <t xml:space="preserve">IGUALA </t>
  </si>
  <si>
    <t>ENTONCES LA PREVISIÓN SOCIAL SE LIMITA EN SU EXENCIÓN A UNA UMA ANUAL</t>
  </si>
  <si>
    <t>IGUAL</t>
  </si>
  <si>
    <t>T UMAS</t>
  </si>
  <si>
    <t xml:space="preserve">7 UMAS ANUALES, AL SER IGUAL A7 UMAS ANUALES YA NO ES MENOR A 7 UMAS ANUALES </t>
  </si>
  <si>
    <t>PREVISION SOCIAL</t>
  </si>
  <si>
    <t>EXENTA</t>
  </si>
  <si>
    <t>GRAVADA</t>
  </si>
  <si>
    <t>UMA DIARIA 2023</t>
  </si>
  <si>
    <t xml:space="preserve">ES MENOR QUE 264,910.46 </t>
  </si>
  <si>
    <t>ENTONCES TODA LA PREVISIÓN SOCIAL ESTA EXENTA</t>
  </si>
  <si>
    <t>QUE S MAYOR QUE 7 UMAS ANUALES (264,910.46)</t>
  </si>
  <si>
    <t>SI UN TRABAJADAO TRABAJó TODO EL AÑO TENDRA DERECHO A LOS 15 DIAS</t>
  </si>
  <si>
    <t xml:space="preserve">SALARIO DIARIO </t>
  </si>
  <si>
    <t>SALARIO POR HORA SENCILLA</t>
  </si>
  <si>
    <t>SALARIO POR HORA  DOBLE</t>
  </si>
  <si>
    <t>SALARIO POR HORA  TRIPLE</t>
  </si>
  <si>
    <t>EL TRABAJADOR LABORA 5 HORAS EN SU DIA DE DESCANSO</t>
  </si>
  <si>
    <t>HORAS TRABAJADAS</t>
  </si>
  <si>
    <t>IMPORTE A PAGAR TE DIA DE DESC</t>
  </si>
  <si>
    <t>SALARIO DIA DE DESCANSO</t>
  </si>
  <si>
    <t>TOTAL A RECIBIER EN ESE DIA</t>
  </si>
  <si>
    <t>juan</t>
  </si>
  <si>
    <t>pedro</t>
  </si>
  <si>
    <t>debe calcularse ISR por est diferencia y retenernse para que sea deducible para el patrón G22</t>
  </si>
  <si>
    <t>igual</t>
  </si>
  <si>
    <t>mas</t>
  </si>
  <si>
    <t>um</t>
  </si>
  <si>
    <t>como esta suma es mayor a 7 umas anuales (264,910.46) entonces solamente se exenta una uma y no se agrega ningun monto adicional</t>
  </si>
  <si>
    <t>pablo</t>
  </si>
  <si>
    <t>TRABAJADORES DE SALARIO MINIMO</t>
  </si>
  <si>
    <t>DEMÁS TRABAJADORES</t>
  </si>
  <si>
    <t>DENTRO DE</t>
  </si>
  <si>
    <t>LIMITES LFT</t>
  </si>
  <si>
    <t>FUERA DE</t>
  </si>
  <si>
    <t>EXENTO</t>
  </si>
  <si>
    <t>GRAVADO</t>
  </si>
  <si>
    <t>50% EXENTO</t>
  </si>
  <si>
    <t>50% GRAVADO</t>
  </si>
  <si>
    <t>100% EXENTO</t>
  </si>
  <si>
    <t>LA PARTE XENTA DEBECOMPARARSE CONTRA EL IMPORTE DE 5 UMAS POR SEMANA</t>
  </si>
  <si>
    <t>SI NO EXCEDE DE 5 UMAS ESTA EXENTO EN SU TOTALIDAD, SI EXCEDE DE 5 UMAS SOLO QUEDA EXENTO EL IMPORTE DE 5 UMAS Y EL EXCEDENTE QUEDA GRAVADO</t>
  </si>
  <si>
    <t>LIMITES DE LFT</t>
  </si>
  <si>
    <t>3 HORAS DIARIAS 3 DIAS POR SEMANA</t>
  </si>
  <si>
    <t>TRABAJADOR DE SALARIO MINIMO</t>
  </si>
  <si>
    <t>DESCANSO</t>
  </si>
  <si>
    <t>DENTRO DE LIMITE</t>
  </si>
  <si>
    <t>TRABAJADOR MÁS DEL MÍNIMO</t>
  </si>
  <si>
    <t xml:space="preserve">NO OLVIDAR COMPARAR EL $ DE HORAWS EXENTAS VS 5 UMAPOR SEMANA </t>
  </si>
  <si>
    <t>HORAS EXTRA TRABAJADAS (PURO)</t>
  </si>
  <si>
    <t xml:space="preserve">LIMITES </t>
  </si>
  <si>
    <t>TIEMPO EXTRAPURO</t>
  </si>
  <si>
    <t>TIEMPO EXTRA DESCANSO</t>
  </si>
  <si>
    <t>LA LFT NO ESTABLECIÓ LIMITES</t>
  </si>
  <si>
    <t>JORNADA</t>
  </si>
  <si>
    <t>DIURNA</t>
  </si>
  <si>
    <t xml:space="preserve">HORAS </t>
  </si>
  <si>
    <t>SAL HORA</t>
  </si>
  <si>
    <t>SAL H DOBLE</t>
  </si>
  <si>
    <t>SAL H TRIPLE</t>
  </si>
  <si>
    <t>CRITERIO 3 X 3</t>
  </si>
  <si>
    <t>DOBLES EXENTAS</t>
  </si>
  <si>
    <t>DOBLES GRAVADAS</t>
  </si>
  <si>
    <t>MONTO DOBLES</t>
  </si>
  <si>
    <t>MONTO TRIPLES</t>
  </si>
  <si>
    <t>TRIPLES GRAVADAS</t>
  </si>
  <si>
    <t>VS 5 UMAS</t>
  </si>
  <si>
    <t>ENTONCES SE EXENTA TOTALMENTE LO 500</t>
  </si>
  <si>
    <t>ANALISIS DEL TIEMPO EXTRA DE DIA DE DESCANSO</t>
  </si>
  <si>
    <t>MONTO PAGADO</t>
  </si>
  <si>
    <t xml:space="preserve">50% GRAVADO </t>
  </si>
  <si>
    <t xml:space="preserve">TOTAL EXENTO </t>
  </si>
  <si>
    <t>PURO</t>
  </si>
  <si>
    <t>SOLO EXENTO 5 UMAS POR SEMANA</t>
  </si>
  <si>
    <t>DIFERENCIA GRAVADO</t>
  </si>
  <si>
    <t>ASIMILABLE A SALARIOS</t>
  </si>
  <si>
    <t>CALCULO DE ISR</t>
  </si>
  <si>
    <t>INGRESOS ACUMULABLES</t>
  </si>
  <si>
    <t>MENOS</t>
  </si>
  <si>
    <t>LMITE INFERIOR</t>
  </si>
  <si>
    <t>EXEDENTE DE LIM INF</t>
  </si>
  <si>
    <t>POR</t>
  </si>
  <si>
    <t>%</t>
  </si>
  <si>
    <t>ISR MARGINAL</t>
  </si>
  <si>
    <t>CUOTA FIJA</t>
  </si>
  <si>
    <t>ISR CAUSADO</t>
  </si>
  <si>
    <t>INGRESO B</t>
  </si>
  <si>
    <t>ISR ASIM</t>
  </si>
  <si>
    <t>INGRESO N</t>
  </si>
  <si>
    <t>MIEMBROS DEL CONSEJO</t>
  </si>
  <si>
    <t>TASA 35%</t>
  </si>
  <si>
    <t xml:space="preserve">ISR CAUSADO </t>
  </si>
  <si>
    <t>NO SE APLICA TARIFA EN ESTE TIPO DE ASIMILABLE A SALARIOS</t>
  </si>
  <si>
    <t>ART 94</t>
  </si>
  <si>
    <t>LOS INGRESOS EN CRÉDITO SE ACUMULAN HASTA QUE SEAN COBRADOS Y SE LES CALCULA EL IMPUESTOS HASTA EL EJERCICIO EN QUE SEAN COBRADOS</t>
  </si>
  <si>
    <t>PERIODICIDAD DE LA NÓMINA</t>
  </si>
  <si>
    <t>SEMANAL</t>
  </si>
  <si>
    <t>DIA DE CORTE LOS VIERNES</t>
  </si>
  <si>
    <t>EL 31 DE DICIEMBRE ES MARTES   LOS CPOBRARÁ HASTA EL VIERNES 03 DE ENERO</t>
  </si>
  <si>
    <t xml:space="preserve">CIEERO DEAÑO FISCAL </t>
  </si>
  <si>
    <t>VIERNES 27 DE DICIEMBRE3</t>
  </si>
  <si>
    <t xml:space="preserve">MENOS </t>
  </si>
  <si>
    <t>SUBSIDIO AL EMPLEO CORRESPONDIENTE</t>
  </si>
  <si>
    <t>ISR A RETENER O SUBSIDIO A PAGAR</t>
  </si>
  <si>
    <t>SUB EM</t>
  </si>
  <si>
    <t>YA NO ES UN SMG ESTRICTAMENTE HABLANDO</t>
  </si>
  <si>
    <t>AQUÍ SI PAGO SUBSIDIO AL EMPLEO</t>
  </si>
  <si>
    <t>AQUÍ RETENGO ISR</t>
  </si>
  <si>
    <t>DOS PATRONES</t>
  </si>
  <si>
    <t>PATRÓN A</t>
  </si>
  <si>
    <t>PATRÓN B</t>
  </si>
  <si>
    <t>SUBSIDIO QUE LE CORRESPONDE</t>
  </si>
  <si>
    <t>SUMA</t>
  </si>
  <si>
    <t>CALCULO ANUAL INGRESO DE 2 PATRONES</t>
  </si>
  <si>
    <t>PATRON 1</t>
  </si>
  <si>
    <t>PATRON 2</t>
  </si>
  <si>
    <t>RETUVO ISR</t>
  </si>
  <si>
    <t>SUBS PAGADO</t>
  </si>
  <si>
    <t>ISR RET</t>
  </si>
  <si>
    <t>ISR POR PAGA</t>
  </si>
  <si>
    <t>INCAPACIDAD POR MATERNIDAD</t>
  </si>
  <si>
    <t>ENTRA A LABORAR</t>
  </si>
  <si>
    <t>3 MESES DE EMBARZO</t>
  </si>
  <si>
    <t>CASO 1</t>
  </si>
  <si>
    <t>NO ALCANZA INCAPACIDAD EN DINERO</t>
  </si>
  <si>
    <t>AQUÍ SI ALCANZA INCAPACIDAD EN DINERO</t>
  </si>
  <si>
    <t>PREGUNATS CLAVE</t>
  </si>
  <si>
    <t>ESTA EMBARAZADA?</t>
  </si>
  <si>
    <t>CUANTO TIEMPO TIENE DE EMBARAZO</t>
  </si>
  <si>
    <t xml:space="preserve">CUANTAS SEMANAS HA COTIZADO EN LOS ÚLTIMOS 12 MESES </t>
  </si>
  <si>
    <t>causas por las que termina una relación laboral</t>
  </si>
  <si>
    <t>APLICA</t>
  </si>
  <si>
    <t>LFT</t>
  </si>
  <si>
    <t>RENUNCIA VOLUNTARIA</t>
  </si>
  <si>
    <t>FINIQUITO</t>
  </si>
  <si>
    <t>NO</t>
  </si>
  <si>
    <t xml:space="preserve">INDEMNIZACIÓN </t>
  </si>
  <si>
    <t>PRIMA DE ANT INDEPENDIENTEMENTE DE LOS AÑOS DE ANTIGÜEDAD</t>
  </si>
  <si>
    <t>SEPARACIÓN LABORAL</t>
  </si>
  <si>
    <t>DESPIDO JUSTIFICADO</t>
  </si>
  <si>
    <t>DESPIDO INJUSTIFICADO</t>
  </si>
  <si>
    <t>BASE DE PAGO</t>
  </si>
  <si>
    <t>(SIEMPRE QUE UNA RELACIÓN LABORAL TERMINA)</t>
  </si>
  <si>
    <t>SALARIOS DEVENGADOS</t>
  </si>
  <si>
    <t>PP VACACIONES</t>
  </si>
  <si>
    <t>LISR</t>
  </si>
  <si>
    <t>VACACIONES DEVENGADAS Y NO DISFRUTADAS</t>
  </si>
  <si>
    <t>PP AGUINALDO</t>
  </si>
  <si>
    <t>OTRAS PRESTACIONES DEVENGADAS</t>
  </si>
  <si>
    <t>MONTO</t>
  </si>
  <si>
    <t>PRIMA DE ANTIGÜEDAD</t>
  </si>
  <si>
    <t>EN RENUNCIA VOLUNTARIA EL TRABAJADOR DEBE HABER CUMPLIDO AL MENOS 15 AÑOS DE ANTIGÜEDAD</t>
  </si>
  <si>
    <t>PA</t>
  </si>
  <si>
    <t>12 DÍAS POR CADA AÑO LABORADO</t>
  </si>
  <si>
    <t>EN EL CASO DE DESPIDO SEA JUSTIFICADO O INJUSTIFICADO SE DEBE PAGAR PA SIN IMPORTAR LOS AÑOS DE ANTIGÜEDAD</t>
  </si>
  <si>
    <t>O 2SMG</t>
  </si>
  <si>
    <t>CÁLCULO DE LA RETENCIÓN QUE DEBE HACER EL PATRÓN</t>
  </si>
  <si>
    <t>INDEMINIZACIÓN LABORAL</t>
  </si>
  <si>
    <t>INDEMN</t>
  </si>
  <si>
    <t>ISR DE PAGOS POR SEPARACIÓN</t>
  </si>
  <si>
    <t>TIEMPO INDERTERMINADO MAYOR A UN AÑO</t>
  </si>
  <si>
    <t>TASA</t>
  </si>
  <si>
    <t xml:space="preserve">20 DÍAS POR CADA AÑO DE SERVICIO </t>
  </si>
  <si>
    <t>TOTAL DE PAGOS POR SEPARACIÓN</t>
  </si>
  <si>
    <t>=</t>
  </si>
  <si>
    <t>SDI</t>
  </si>
  <si>
    <t>90 DÍAS (3 MESES)</t>
  </si>
  <si>
    <t>ANTIGÜEDAD DE 5 AÑOS CON 7 MESES</t>
  </si>
  <si>
    <t>CONTRATO TIEMPO DETERMINADO MAYOR A UN AÑO</t>
  </si>
  <si>
    <t>90 UMAS</t>
  </si>
  <si>
    <t>6 MESES POR EL PRIMER AÑO DE SERVICIOS</t>
  </si>
  <si>
    <t xml:space="preserve">20 DÍAS POR CADA AÑO A APARTIR DEL SEGUNDO AÑO </t>
  </si>
  <si>
    <t xml:space="preserve">NUEVO EMPLEO </t>
  </si>
  <si>
    <t>USMO</t>
  </si>
  <si>
    <t>CONTRATO TIEMPO DETERMINADO MENOR A UN AÑO</t>
  </si>
  <si>
    <t>FRACCIÓN 7 MESES</t>
  </si>
  <si>
    <t xml:space="preserve">50% DEL TIEMPO LABORADO </t>
  </si>
  <si>
    <t>TOTAL EXENCIÓN</t>
  </si>
  <si>
    <t>540 UMAS</t>
  </si>
  <si>
    <t>DATO HIPOTETICO</t>
  </si>
  <si>
    <t>UMA DIARA</t>
  </si>
  <si>
    <t>ADEMÁS</t>
  </si>
  <si>
    <t>TOTAL DE LA EXENCIÓN</t>
  </si>
  <si>
    <t>ÚLTIMO SUELDO MENSUAL ORDINARIO USMO</t>
  </si>
  <si>
    <t>INTERESES SOBRE EL IMPORTE DE 15 MESES DE SALARIO A RAZÓN DE UN 2% MENSUAL CAPITALIZABLE</t>
  </si>
  <si>
    <t>ISR USMO</t>
  </si>
  <si>
    <t>SALARIOS CAÍDOS HASTA POR UN AÑO</t>
  </si>
  <si>
    <t>RESUMEN</t>
  </si>
  <si>
    <t>SE CALCULA CON</t>
  </si>
  <si>
    <t>TASA =</t>
  </si>
  <si>
    <t xml:space="preserve">FINIQUITO </t>
  </si>
  <si>
    <t>SDN O 2SMG SI EL SDN ES MAYOR QUE DOS SMG</t>
  </si>
  <si>
    <t>INDEMNIZACIÓN LABORAL</t>
  </si>
  <si>
    <t>CALCULO ANUAL DE ISR CUANDO SE TIENEN INGRESOS POR SEPARACIÓN</t>
  </si>
  <si>
    <t>PARA EFECTOS DE ISR LA PRIMA DE ANT. MAS LA INDEMNIZACIÓN LABORAL CONFORMAN LOS PAGOS POR SEPARACIÓN</t>
  </si>
  <si>
    <t>POR LO QUE DARIA LUGAR A 90 UMAS MAS DE EXENCIÓN</t>
  </si>
  <si>
    <t>INGRESOS EXENTOS</t>
  </si>
  <si>
    <t xml:space="preserve">IGUAL </t>
  </si>
  <si>
    <t>PAGOS POR SEPARACIÓN QUE DEBEN PAGAR ISR</t>
  </si>
  <si>
    <t>SE SUMAN A LOS DEMAS INGRESOS ACUMULABLES DEL AÑO Y SE CALCULO ISR CON TARIFA ANUAL</t>
  </si>
  <si>
    <t>DIFERENCIA</t>
  </si>
  <si>
    <t>INGRESOS NO ACUMULABLES</t>
  </si>
  <si>
    <t>SE CALCULA EL ISR CON UNA TASA</t>
  </si>
  <si>
    <t>LA TASA SE OBTIENE DIVIDIENDPO EL ISR ANUAL / LOS INGRESOS ACUMULABLES DEL AÑO</t>
  </si>
  <si>
    <t>DEMAS INGRESOS ACUMULABLES DEL EJERCICO</t>
  </si>
  <si>
    <t>EXENCIÓN DE PAGOS POR SEPARACIÓN</t>
  </si>
  <si>
    <t>SALARIOS</t>
  </si>
  <si>
    <t>ACT EMP</t>
  </si>
  <si>
    <t>SUMA DEMÁS INGRESOS ACUMULABLES</t>
  </si>
  <si>
    <t>ING ACUM DE PAGOS POR SEPARACIÓN</t>
  </si>
  <si>
    <t>INGRESOS ACUMULABLE</t>
  </si>
  <si>
    <t xml:space="preserve">SUMAR A </t>
  </si>
  <si>
    <t>LOS DEMAS INGRESOS ACUMULABLES DEL EJERCICIO</t>
  </si>
  <si>
    <t>TOTAL DE ING ACUM DEL EJ</t>
  </si>
  <si>
    <t>SEPARAR UNA CANTIDAD IGUAL A LA DEL USMO Y SUMARLA A LOS DEMAS ING ACUM  DEL EJ</t>
  </si>
  <si>
    <t>LIMITE INFERIOR</t>
  </si>
  <si>
    <t>EXCEDENTE DE LIMITE INFERIOR</t>
  </si>
  <si>
    <t>INGRESOS ACUMULABLES  USMO DEL AÑO</t>
  </si>
  <si>
    <t>IGUAL A ISR MARGINAL</t>
  </si>
  <si>
    <t>POR TASA</t>
  </si>
  <si>
    <t xml:space="preserve">CUOTA FIJA </t>
  </si>
  <si>
    <t>ISR DE ING NO ACUMULABLES</t>
  </si>
  <si>
    <t>ISR ANUAL DE LOS INGRESOS ACUM</t>
  </si>
  <si>
    <t>RESUMEN DE ISR DEL AÑO</t>
  </si>
  <si>
    <t>ISR DE ING ACUM</t>
  </si>
  <si>
    <t>ISR ANUAL DE ING ACUM</t>
  </si>
  <si>
    <t>ISR DE ING NO ACUM</t>
  </si>
  <si>
    <t>INGRESO ACUM ANUAL</t>
  </si>
  <si>
    <t>TOTAL DE ISR CAUSADO DEL EJ</t>
  </si>
  <si>
    <t>ISR RET POR SALARIOS</t>
  </si>
  <si>
    <t>PP</t>
  </si>
  <si>
    <t xml:space="preserve">IGUA A </t>
  </si>
  <si>
    <t>ISR A FAVOR O A CARGO</t>
  </si>
  <si>
    <t>ART 174 RISR</t>
  </si>
  <si>
    <t>PTU</t>
  </si>
  <si>
    <t>PRIMAS DOMINICALES</t>
  </si>
  <si>
    <t>EXENTA (30 UMAS)</t>
  </si>
  <si>
    <t>AGUINALDO ACUMULABLE</t>
  </si>
  <si>
    <t>ENTRE</t>
  </si>
  <si>
    <t>AGUINALDO ACUMULABLE DIARIO</t>
  </si>
  <si>
    <t xml:space="preserve">POR </t>
  </si>
  <si>
    <t>AGUINALDO MENSUALIZADO</t>
  </si>
  <si>
    <t>DETERMINACIÓN DE ISR 1</t>
  </si>
  <si>
    <t xml:space="preserve">SALARIO MENSUAL ORDINARIO </t>
  </si>
  <si>
    <t>AGUINALDO MENSUALIZADO MAS SALARIO MENSUAL ORDINARIO</t>
  </si>
  <si>
    <t>APLICAR TARIFA MENSUAL DE ISR</t>
  </si>
  <si>
    <t>ISR DEL AGUINALDO MENSUALIZADO MAS SALARIO MENSUAL ORDINARIO</t>
  </si>
  <si>
    <t>DETERMINACIÓN DE ISR 2</t>
  </si>
  <si>
    <t>ISR MENSUAL DEL INGRESO MENSUAL ORDINARIO (SIN CONSIDERA EL AGUINALDO MENSUALIZADO)</t>
  </si>
  <si>
    <t>ISR 1</t>
  </si>
  <si>
    <t>ISR 2</t>
  </si>
  <si>
    <t>ISR 3 (DIFERENCIA)</t>
  </si>
  <si>
    <t>DETERMINAR LA TASA DE ISR</t>
  </si>
  <si>
    <t>TASA DE ISR PARA EL AGUINALDO</t>
  </si>
  <si>
    <t xml:space="preserve">TASA </t>
  </si>
  <si>
    <t>ISR DEL AGUINALDO CON LA OPCIÓNN DEL REGLAMENTO DE ISR</t>
  </si>
  <si>
    <t>NO ES LO MISMO FINIQUITO QUE PAGOS POR SEPARACIÓN PARA EFECTOS FISCALES</t>
  </si>
  <si>
    <t>PRIMA VACACIONAL 25%</t>
  </si>
  <si>
    <r>
      <t xml:space="preserve">SOLO SE PAGA EN DESPIDO </t>
    </r>
    <r>
      <rPr>
        <b/>
        <sz val="11"/>
        <color theme="1"/>
        <rFont val="Calibri"/>
        <family val="2"/>
        <scheme val="minor"/>
      </rPr>
      <t>INJUSTIFICADO</t>
    </r>
    <r>
      <rPr>
        <sz val="11"/>
        <color theme="1"/>
        <rFont val="Calibri"/>
        <family val="2"/>
        <scheme val="minor"/>
      </rPr>
      <t xml:space="preserve"> Y SIMEPRE </t>
    </r>
    <r>
      <rPr>
        <b/>
        <sz val="11"/>
        <color theme="1"/>
        <rFont val="Calibri"/>
        <family val="2"/>
        <scheme val="minor"/>
      </rPr>
      <t>QUE EL TRABAJADOR DEMANDE Y GANE LA DEMANDA</t>
    </r>
  </si>
  <si>
    <t xml:space="preserve">DE IGUAL FORMA SE PAGA EN RENUNCIA JUSTIFICADA </t>
  </si>
  <si>
    <t>TAMBIEN SE PAGA EN RENUNCIA JUSTIFICADA (ART 51 LFT)</t>
  </si>
  <si>
    <t>SDI (ART 84 LFT)</t>
  </si>
  <si>
    <t>RENUNCIA JUSTIFICADA (VER ART 51 LFT)</t>
  </si>
  <si>
    <t>PRIMA DE ANT</t>
  </si>
  <si>
    <r>
      <t xml:space="preserve">PRIMA DE ANT SI SE CUMPLIERON </t>
    </r>
    <r>
      <rPr>
        <b/>
        <sz val="11"/>
        <color theme="1"/>
        <rFont val="Calibri"/>
        <family val="2"/>
        <scheme val="minor"/>
      </rPr>
      <t>15 AÑOS O MAS DE ANTIGÜEDAD</t>
    </r>
  </si>
  <si>
    <r>
      <t>DE LOS CUALES ESTAN EXENTOS 90 UMAS POR CADA AÑO LABORADO,</t>
    </r>
    <r>
      <rPr>
        <b/>
        <sz val="11"/>
        <color theme="1"/>
        <rFont val="Calibri"/>
        <family val="2"/>
        <scheme val="minor"/>
      </rPr>
      <t xml:space="preserve"> TODA FRACCIÓN DE MAS DE 6 MESES SE CONSIDERA AÑO LABORADO COMPLETO PARA EFECTOS DE LA EXENCIÓN</t>
    </r>
  </si>
  <si>
    <t>CALCULO DE ISR POR FINIQUITO SE HACE APLICANDO TARIFA MENSUAL DE ISR AL TOTAL DE INGRESO MENSUAL INCLUYENDO EL FINIQUITO</t>
  </si>
  <si>
    <t>TARIFA ISR</t>
  </si>
  <si>
    <t xml:space="preserve">PAGOS </t>
  </si>
  <si>
    <t>SEPARACIÓN</t>
  </si>
  <si>
    <t>X 100</t>
  </si>
  <si>
    <t>ES EL ISR QUE DEBE RETENER</t>
  </si>
  <si>
    <t xml:space="preserve">LA PERSONA QUE PAGA LOS </t>
  </si>
  <si>
    <t>PAGOS POR SEPARACIÓN</t>
  </si>
  <si>
    <t>INGRESOS NO ACUMULABLES PP (TASA)</t>
  </si>
  <si>
    <t>INGRESOS ACUMULABLES PP (TARIFA)</t>
  </si>
  <si>
    <t>INCLUYE EL FINIQUITO)</t>
  </si>
  <si>
    <t>APLICAR TARIFA ANUAL DE ISR ART 152 LISR</t>
  </si>
  <si>
    <t>HASTA AQUÍ TERMINARIA LA LABOR DEL PATRÓN</t>
  </si>
  <si>
    <t>MOI</t>
  </si>
  <si>
    <t>AUTO</t>
  </si>
  <si>
    <t>DEP ACUM</t>
  </si>
  <si>
    <t>PRECIO DE VENTA</t>
  </si>
  <si>
    <t>SALDO POR DEDUCIR</t>
  </si>
  <si>
    <t>CONTABLEMENTE</t>
  </si>
  <si>
    <t>FISCALMENTE</t>
  </si>
  <si>
    <t>SALDO POR DPRECIAR</t>
  </si>
  <si>
    <t>SALDO EN LIBROS</t>
  </si>
  <si>
    <t xml:space="preserve">UTILIDAD CONT </t>
  </si>
  <si>
    <t>BANCOS</t>
  </si>
  <si>
    <t>CARGOS</t>
  </si>
  <si>
    <t>ABONOS</t>
  </si>
  <si>
    <t>AUTOMOVIL</t>
  </si>
  <si>
    <t xml:space="preserve">UTLIDAD POR VTA ACT </t>
  </si>
  <si>
    <t>MOI DEDUCIBLE</t>
  </si>
  <si>
    <t>SALDO POR DED</t>
  </si>
  <si>
    <t>UTILIDAD FISCAL</t>
  </si>
  <si>
    <t>ACTIVO</t>
  </si>
  <si>
    <t>INGRESOS</t>
  </si>
  <si>
    <t>SBC CON SEMANA REDUCIDA</t>
  </si>
  <si>
    <t xml:space="preserve">FUNDAMENTO LEGAL </t>
  </si>
  <si>
    <t>ART 62 FRACCIÓN DEL RACERF</t>
  </si>
  <si>
    <t>SUPONGASE EL CASO DE UN TRABAJADOR QUE LABORARA 3 DIAS A LA SEMANA</t>
  </si>
  <si>
    <t>SALARIO DIARIO</t>
  </si>
  <si>
    <t>DIAS DE AGUINALDO  ANUAL SEGÚN LA EMPRESA</t>
  </si>
  <si>
    <t>VACACIONES ANUALES SEGÚN LA EMPRESA</t>
  </si>
  <si>
    <t>PRIMA VACACIONAL SEGÚN LA EMPRESA</t>
  </si>
  <si>
    <t>DETERMINACIÓN DE PARTES PROPORCIONALES DE PRESTACIONES</t>
  </si>
  <si>
    <t xml:space="preserve">factor diario de </t>
  </si>
  <si>
    <t>dias laborable</t>
  </si>
  <si>
    <t xml:space="preserve">dias de </t>
  </si>
  <si>
    <t>aguinaldo</t>
  </si>
  <si>
    <t>ag anual</t>
  </si>
  <si>
    <t>DIAS DE AGUINALDO/DÍAS DEL AÑO</t>
  </si>
  <si>
    <t>25/365</t>
  </si>
  <si>
    <t>(25/365)Xdias laborables</t>
  </si>
  <si>
    <t>igual a dias de aguinaldo anual</t>
  </si>
  <si>
    <t>entre 365</t>
  </si>
  <si>
    <t>PRIMA VAC</t>
  </si>
  <si>
    <t>DIAS DE VAC x % PV / DIAS DEL AÑO</t>
  </si>
  <si>
    <t>DIA DESCANSO</t>
  </si>
  <si>
    <t xml:space="preserve">DIAS DE DESCANSO/DIAS LABORABLES DE LA SEMANA </t>
  </si>
  <si>
    <t>1/ 6</t>
  </si>
  <si>
    <t>SUMA FACTOR DE INTEGRACIÓN</t>
  </si>
  <si>
    <t>SALARIO DIARIO POR FACTOR DE INTEGRACIÓN</t>
  </si>
  <si>
    <t>200 x 0.2433379</t>
  </si>
  <si>
    <t>MONTO QUE SE INTEGRA AL SALARIO</t>
  </si>
  <si>
    <t>SALARIO MAS MONTO QUE SE INTEGRA AL SALARIO</t>
  </si>
  <si>
    <t>IGUAL  SBC</t>
  </si>
  <si>
    <t xml:space="preserve">ESTE ES EL SALARIO DIARIO SBC DIARIO </t>
  </si>
  <si>
    <t>SBC DIARIO POR DÍAS LABORABLES EN LA SEMANA</t>
  </si>
  <si>
    <t>SBC DEL PERÍODO SEMANAL</t>
  </si>
  <si>
    <t>SBC DE LA SEMANA / DIAS DE LA SEMANA</t>
  </si>
  <si>
    <t>SBC DIARIO POR SEMANA REDUCIDA</t>
  </si>
  <si>
    <t>SALARIO MINIMO POR FACTOR MÍNIMO DE INTEGRACIÓN</t>
  </si>
  <si>
    <t>SBC MÍNIMO</t>
  </si>
  <si>
    <t>COMO EN ESTE CASO EL SBC POR SEMANA REDUCIDA ES MENOR QUE EL SBC MÍNIMO DEBE REGISTRARSE AL TRABAJADOR CON EL SBC MÍNIMO</t>
  </si>
  <si>
    <t>EL SALARIO POR HORA SE MULTIPLICA POR LAS HORAS LABORADAS EN EL DÍA PARA DETERMINAR EL SALARIO DIARIO</t>
  </si>
  <si>
    <t>DIVIDIR SBC SEMANAL ENTRE 7 DÍAS SE OBTIENE EL SBC DIARIO</t>
  </si>
  <si>
    <t>COMPARAR SBC DIARIO CONTRA SBC MÍNIMO</t>
  </si>
  <si>
    <t>NOTA PARA EL CASO DE JORNADA REDUCIDA EL PROCEDIMIENTO ES SIMILAR SOLO CONSIDERAR LO SIGUIENTE</t>
  </si>
  <si>
    <t>SE DETERMINA LA PARTE PROPORCIONAL DE AGUINALDO, PRIMA VACACIONAL Y DIA DE DESCANSO</t>
  </si>
  <si>
    <t>SE DETERMINA EL SBC DE LA SEMANA CON LOS DATOS ANTERIORES MULTIPLICANOD EL SBC DIARIO POR 6 DÍAS LABORABLES ESTO SERÁ IGUAL A SBC SEMANAL</t>
  </si>
  <si>
    <t>(12x30%)/365</t>
  </si>
  <si>
    <t>sdn</t>
  </si>
  <si>
    <t>SBC</t>
  </si>
  <si>
    <t>ENERO</t>
  </si>
  <si>
    <t>FEBRERO</t>
  </si>
  <si>
    <t>MARZO</t>
  </si>
  <si>
    <t>INCREMENTO</t>
  </si>
  <si>
    <t>VARIABLE</t>
  </si>
  <si>
    <t>FACTOR DE INTEGRACIÓN</t>
  </si>
  <si>
    <t>MENSUALES</t>
  </si>
  <si>
    <t>DIARIOS</t>
  </si>
  <si>
    <t>ENE</t>
  </si>
  <si>
    <t>FEB</t>
  </si>
  <si>
    <t>SBC FIJO</t>
  </si>
  <si>
    <t>VARIABLES</t>
  </si>
  <si>
    <t>DIAS BIMESTRE</t>
  </si>
  <si>
    <t>SBC VARIABLE</t>
  </si>
  <si>
    <t>SBC MIXTO</t>
  </si>
  <si>
    <t>MAR</t>
  </si>
  <si>
    <t>ABR</t>
  </si>
  <si>
    <t xml:space="preserve">MAYO </t>
  </si>
  <si>
    <t>JUNIO</t>
  </si>
  <si>
    <t>NO HAY VARIABLES</t>
  </si>
  <si>
    <t>SABC</t>
  </si>
  <si>
    <t>SE DEBE AVISAR DEL CAMBIO DE SALARIO BIMESTRAL LOS PRIMEROS 5 DIAS DEL BIMESTRE</t>
  </si>
  <si>
    <t>NO OLVIDAR QUE LA PARTE VARIABLE SE CALCULA CON LAS PRESTACIONES VARIABELS DEL BIMESTRE ANTERIOR</t>
  </si>
  <si>
    <t>Y NO OLVIDAR LO SIGUIENTE</t>
  </si>
  <si>
    <t>INGRESAR EL AVISO DE MODIFICACIÓN EN EL IDSE</t>
  </si>
  <si>
    <t>MODIFICAR EL SBC EN MI SISTEMA DE NÓMINA</t>
  </si>
  <si>
    <t>MODIFICAR EL SBC EN EL SUA</t>
  </si>
  <si>
    <t>EJERCICIO 2</t>
  </si>
  <si>
    <t>EJERCICIO 1</t>
  </si>
  <si>
    <t>El sr. Juan Pérez trabaja en "La empresa, S.A. de C.V." y tiene las siguientes prestaciones:</t>
  </si>
  <si>
    <t>La señorita Angelina González es contratada por "La empresa, S.A de C.V." con las siguientes prestaciones:</t>
  </si>
  <si>
    <t>Salario diario nominal</t>
  </si>
  <si>
    <t>Salario mensual</t>
  </si>
  <si>
    <t>Premios de asistencia</t>
  </si>
  <si>
    <t>diarios</t>
  </si>
  <si>
    <t>Vacaciones</t>
  </si>
  <si>
    <t xml:space="preserve"> días desde el primer año</t>
  </si>
  <si>
    <t>Vales de despensa</t>
  </si>
  <si>
    <t>al mes</t>
  </si>
  <si>
    <t>Prima vacacional</t>
  </si>
  <si>
    <t>mensuales</t>
  </si>
  <si>
    <t>En la última semana de abril trabajó tiempo extra de la siguiente manera:</t>
  </si>
  <si>
    <t>Fondo de ahorro</t>
  </si>
  <si>
    <t>5% patrón</t>
  </si>
  <si>
    <t>4% trabajador</t>
  </si>
  <si>
    <t>Ayuda para transporte</t>
  </si>
  <si>
    <t>Día</t>
  </si>
  <si>
    <t>Horas</t>
  </si>
  <si>
    <t>Nota: su día de descanso es el sábado, trabaja el domingo (tiene prima dominical) asumiendo que está cumpliendo 4 años en la empresa y considerando que tuvo un pago de comisión de $1000 en la última semana.</t>
  </si>
  <si>
    <t>SE PIDE: Calcular su Salario Base de Cotización</t>
  </si>
  <si>
    <t>Lunes</t>
  </si>
  <si>
    <t>Miércoles</t>
  </si>
  <si>
    <t>DESARROLLO</t>
  </si>
  <si>
    <t>IMPORTE</t>
  </si>
  <si>
    <t>Jueves</t>
  </si>
  <si>
    <t>Salario diario</t>
  </si>
  <si>
    <t>$ 25,000 / 30 =</t>
  </si>
  <si>
    <t>Viernes</t>
  </si>
  <si>
    <t>Aguinaldo</t>
  </si>
  <si>
    <t>(15 x 833.33 ) / 365 =</t>
  </si>
  <si>
    <t>(14 x 35% x 833.33) / 365=</t>
  </si>
  <si>
    <t>SE PIDE: Calcular el Salario Base de Cotización para el siguiente bimestre:</t>
  </si>
  <si>
    <t>($4,000 / 30 ) - 41.50 =</t>
  </si>
  <si>
    <t>Fondo de Ahorro</t>
  </si>
  <si>
    <t>(833.33 x 1%) =</t>
  </si>
  <si>
    <t>$2,000 / 30 =</t>
  </si>
  <si>
    <t>Prima dominical</t>
  </si>
  <si>
    <t>[(52 x 420) x 25%]/365 =</t>
  </si>
  <si>
    <t>(15 x 420) / 365 =</t>
  </si>
  <si>
    <t>(1400 / 30) - 41.50 =</t>
  </si>
  <si>
    <t>[(18 X 25%)420]/365</t>
  </si>
  <si>
    <t>Monto por hora</t>
  </si>
  <si>
    <t>$ 420 / 8 horas =</t>
  </si>
  <si>
    <t>Hora extra doble</t>
  </si>
  <si>
    <t>$ 52.50 x 2 =</t>
  </si>
  <si>
    <t>Hora extra triple</t>
  </si>
  <si>
    <t>$ 52.50 x 3 =</t>
  </si>
  <si>
    <t>Tiempo extra</t>
  </si>
  <si>
    <t>Dentro del límite</t>
  </si>
  <si>
    <t>Fuera del límite</t>
  </si>
  <si>
    <t>DOBLE ($)</t>
  </si>
  <si>
    <t>TRIPLE ($)</t>
  </si>
  <si>
    <t>7 horas</t>
  </si>
  <si>
    <t>3 D</t>
  </si>
  <si>
    <t>4 T</t>
  </si>
  <si>
    <t>2 horas</t>
  </si>
  <si>
    <t>2 D</t>
  </si>
  <si>
    <t>3 T</t>
  </si>
  <si>
    <t>6 horas</t>
  </si>
  <si>
    <t>8 horas</t>
  </si>
  <si>
    <t>8 T</t>
  </si>
  <si>
    <t>23 horas</t>
  </si>
  <si>
    <t>8 D</t>
  </si>
  <si>
    <t>15 T</t>
  </si>
  <si>
    <t>Variable</t>
  </si>
  <si>
    <t>(+)</t>
  </si>
  <si>
    <t>Horas extras al bimestre</t>
  </si>
  <si>
    <t>Comisiones</t>
  </si>
  <si>
    <t>(=)</t>
  </si>
  <si>
    <t>Total prestaciones variables del bimestre</t>
  </si>
  <si>
    <t>(/)</t>
  </si>
  <si>
    <t>Días del bimestre</t>
  </si>
  <si>
    <t>Salario Diario Variable del bimestre</t>
  </si>
  <si>
    <t>El premio rebasa el 10% del SBC se le aumenta el excedente.</t>
  </si>
  <si>
    <t xml:space="preserve">Fijo </t>
  </si>
  <si>
    <t>SBC antes de premio</t>
  </si>
  <si>
    <t>10% SBC 51.77 - 60 = 8.23</t>
  </si>
  <si>
    <t>Monto que integra del premio</t>
  </si>
  <si>
    <t>SBC mixto</t>
  </si>
  <si>
    <t>DETERMINACIÓN DE CUOTAS DE SEGURIDAD SOCIAL</t>
  </si>
  <si>
    <t>DATOS</t>
  </si>
  <si>
    <t>DATOS DEL TRABAJADOR</t>
  </si>
  <si>
    <t>SDN FIJO</t>
  </si>
  <si>
    <t>NOMBRE</t>
  </si>
  <si>
    <t xml:space="preserve">PINZÓN </t>
  </si>
  <si>
    <t xml:space="preserve">JUÁREZ </t>
  </si>
  <si>
    <t>JESÚS</t>
  </si>
  <si>
    <t>F.I =</t>
  </si>
  <si>
    <t>Días del año + Dias de aguinaldo + Días de Prima Vac.</t>
  </si>
  <si>
    <t>FAC. DE INT.</t>
  </si>
  <si>
    <t>FECHA NAC</t>
  </si>
  <si>
    <t>Dias del Año</t>
  </si>
  <si>
    <t xml:space="preserve">RFC </t>
  </si>
  <si>
    <t>PIJJ810108LG8</t>
  </si>
  <si>
    <t>CURP</t>
  </si>
  <si>
    <t>PIJJ810108HMCLRN07</t>
  </si>
  <si>
    <t>VALOR UMA</t>
  </si>
  <si>
    <t>FECHA INGRESO AL TRABAJO</t>
  </si>
  <si>
    <t>PRIMA DE RIESGO</t>
  </si>
  <si>
    <t>DIAS DEL PERÍODO IMSS</t>
  </si>
  <si>
    <t>DIAS DEL PERÍODO RCV INFO</t>
  </si>
  <si>
    <t>SALARIO MÍNIMO GENERAL 2023</t>
  </si>
  <si>
    <t>DETERMINACIÓN DE CUOTAS POR PAGAR AL IMSS, RCV E INFONAVIT</t>
  </si>
  <si>
    <t>Seguro</t>
  </si>
  <si>
    <t>Prestaciones</t>
  </si>
  <si>
    <t>Cuotas</t>
  </si>
  <si>
    <t>Base Salarial</t>
  </si>
  <si>
    <t>Fundamento Legal (arts.)</t>
  </si>
  <si>
    <t>PORCENTAJES</t>
  </si>
  <si>
    <t>BASE</t>
  </si>
  <si>
    <t xml:space="preserve">IMPORTE </t>
  </si>
  <si>
    <t>CUOTA PATRONAL</t>
  </si>
  <si>
    <t xml:space="preserve">DIAS DEL </t>
  </si>
  <si>
    <t>CUOTA OBRERA</t>
  </si>
  <si>
    <t>Patrón</t>
  </si>
  <si>
    <t>Trabajador</t>
  </si>
  <si>
    <t>Total</t>
  </si>
  <si>
    <t>PATRÓN</t>
  </si>
  <si>
    <t>TRABAJADOR</t>
  </si>
  <si>
    <t>DIARIA</t>
  </si>
  <si>
    <t>PERIODO</t>
  </si>
  <si>
    <t>DEL PERÍODO</t>
  </si>
  <si>
    <t>Riesgos de Trabajo</t>
  </si>
  <si>
    <t>En especie y en dinero</t>
  </si>
  <si>
    <t>Conforme con su siniestralidad laboral</t>
  </si>
  <si>
    <t>Prima correspondiente</t>
  </si>
  <si>
    <t>71, LSS</t>
  </si>
  <si>
    <t>Cuota fija por cada trabajador hasta por 3 VECES UMA</t>
  </si>
  <si>
    <t>106, fracción I y Décimo Noveno Transitorio, LSS</t>
  </si>
  <si>
    <t>UMA</t>
  </si>
  <si>
    <t>En especie</t>
  </si>
  <si>
    <t>Cuota adicional por la diferencia del SBC y de 3 VUMA</t>
  </si>
  <si>
    <t>106, fracción II y Décimo Noveno Transitorio, LSS</t>
  </si>
  <si>
    <t>Diferencia entre el SBC y 3 VUMA</t>
  </si>
  <si>
    <t>Enfermedades y Maternidad</t>
  </si>
  <si>
    <t>SBC-3UMAS</t>
  </si>
  <si>
    <t>Gastos médicos para pensionados y beneficiarios</t>
  </si>
  <si>
    <t>25 último párrafo, LSS</t>
  </si>
  <si>
    <t>En dinero</t>
  </si>
  <si>
    <t>107, fracciones I y II, LSS</t>
  </si>
  <si>
    <t>Invalidez y Vida</t>
  </si>
  <si>
    <t>147, LSS</t>
  </si>
  <si>
    <t>Retiro, Cesantía en Edad Avanzada y Vejez (CEAV)</t>
  </si>
  <si>
    <t>Retiro</t>
  </si>
  <si>
    <t>168, fracción I, LSS</t>
  </si>
  <si>
    <t>CEAV</t>
  </si>
  <si>
    <t>De 3.150% a 11.875%</t>
  </si>
  <si>
    <t>168, fracción II, LSS</t>
  </si>
  <si>
    <t>Guarderías y Prestaciones Sociales</t>
  </si>
  <si>
    <t>211, LSS</t>
  </si>
  <si>
    <t>Aportación Patronal INFONAVIT</t>
  </si>
  <si>
    <t>Obtención de Crédito para vivienda</t>
  </si>
  <si>
    <t>CUOTA FIJA, %</t>
  </si>
  <si>
    <t>29, fracción II, Ley del INFONAVIT</t>
  </si>
  <si>
    <t>VSMG</t>
  </si>
  <si>
    <t>SUMA CUOTA PATRONAL</t>
  </si>
  <si>
    <t>SUMA CUOTA OBRERA</t>
  </si>
  <si>
    <t>Límite inferior</t>
  </si>
  <si>
    <t>Límite superior</t>
  </si>
  <si>
    <t>Valor actual (2023)</t>
  </si>
  <si>
    <t>TOTALES</t>
  </si>
  <si>
    <t>1.0 SM</t>
  </si>
  <si>
    <t>207.44 o 312.41*</t>
  </si>
  <si>
    <t>SUMA IMSS PATRONAL</t>
  </si>
  <si>
    <t>SUMA IMSS OBRERO</t>
  </si>
  <si>
    <t>1.01 SM a 1.50 UMA</t>
  </si>
  <si>
    <t>209.51 o 315.53* a 155.61</t>
  </si>
  <si>
    <t>SUMA RCV PATRONAL</t>
  </si>
  <si>
    <t>SUMA RCV OBRERO</t>
  </si>
  <si>
    <t>1.51 a 2 UMA</t>
  </si>
  <si>
    <t>156.64 a 207.48</t>
  </si>
  <si>
    <t>SUMA INFONAVIT PATRONAL</t>
  </si>
  <si>
    <t>SUMA INFONAVIT OBRERO</t>
  </si>
  <si>
    <t>2.01 a 2.50 UMA</t>
  </si>
  <si>
    <t>208.51 a 259.35</t>
  </si>
  <si>
    <t>2.51 a 3.00 UMA</t>
  </si>
  <si>
    <t>260.38 a 311.22</t>
  </si>
  <si>
    <t>SUMA TOTAL</t>
  </si>
  <si>
    <t>3.01 a 3.50 UMA</t>
  </si>
  <si>
    <t>312.25 a 363.09</t>
  </si>
  <si>
    <t>3.51 a 4.00 UMA</t>
  </si>
  <si>
    <t>364.12 a 414.96</t>
  </si>
  <si>
    <t>4.01 UMA en adelante</t>
  </si>
  <si>
    <t>415.99 a 2593.50</t>
  </si>
  <si>
    <t>SMG 2023</t>
  </si>
  <si>
    <t>UMA 2023</t>
  </si>
  <si>
    <t>*SMG 2023 RF</t>
  </si>
  <si>
    <t>SBC mín. con FI min.</t>
  </si>
  <si>
    <t>SBC mín. con FI min. RF</t>
  </si>
  <si>
    <t>ALTA EMPRESA</t>
  </si>
  <si>
    <t>ACTA CONSTITUTIVA</t>
  </si>
  <si>
    <t>ACTA DE NACIMIENTO</t>
  </si>
  <si>
    <t>SAT</t>
  </si>
  <si>
    <t>RFC</t>
  </si>
  <si>
    <t>REGISTRO PATRONAL</t>
  </si>
  <si>
    <t>USUARIO CLAVES</t>
  </si>
  <si>
    <t>ALTA DE TRABAJODORES</t>
  </si>
  <si>
    <t>IMS DESDE SU EMPRESA</t>
  </si>
  <si>
    <t>IDSE</t>
  </si>
  <si>
    <t>INFONAVIT</t>
  </si>
  <si>
    <t>MODIF SALARIOS</t>
  </si>
  <si>
    <t>IMPUESTO SOBRE NÓMINAS</t>
  </si>
  <si>
    <t xml:space="preserve">BAJAS </t>
  </si>
  <si>
    <t>INFONACOT</t>
  </si>
  <si>
    <t xml:space="preserve">AUTORIDAD LABORAL </t>
  </si>
  <si>
    <t xml:space="preserve">CONTRATO </t>
  </si>
  <si>
    <t>REGLAMENTO INTERNO DE TRABAJO</t>
  </si>
  <si>
    <t>DETERMINAR CUOTAS IMSS, INFO, RCV</t>
  </si>
  <si>
    <t>SISTEMA UNICO DE AUTODETERMINACIÓN SUA (ARCHIVO DE PAGO)</t>
  </si>
  <si>
    <t>SISTEMA DE PAGO REFERENCIADO (SIPARE) SE OBTIENE UNA LINEA DE CAPTURA</t>
  </si>
  <si>
    <t>dias laborables del trabajdor con semana reducida</t>
  </si>
  <si>
    <t>DA</t>
  </si>
  <si>
    <t>DPV</t>
  </si>
  <si>
    <t>PRESTACIONES</t>
  </si>
  <si>
    <t>CUANTIFICAR</t>
  </si>
  <si>
    <t>SEGURIDAD SOCIAL</t>
  </si>
  <si>
    <t>CUOTAS</t>
  </si>
  <si>
    <t>PRT</t>
  </si>
  <si>
    <t>PROCEDIMIENTO DE ALTA PATRONAL</t>
  </si>
  <si>
    <t xml:space="preserve">ACTA CONSTITUTIVA </t>
  </si>
  <si>
    <t>REG PATRONAL</t>
  </si>
  <si>
    <t>IMSS/INFONAVIT</t>
  </si>
  <si>
    <t>REG ESTATAL</t>
  </si>
  <si>
    <t>IMPIUESTO SOBRE NÓMINA</t>
  </si>
  <si>
    <t>REG INFONACOT</t>
  </si>
  <si>
    <t>INSCRIBO PATRON ANTE EL IMSS</t>
  </si>
  <si>
    <t>CERTIFICADO DIGITAL</t>
  </si>
  <si>
    <t>ALTA A MIS TRABAJDORES</t>
  </si>
  <si>
    <t>CONFIGURAR UN SISTEMA DE NÓMINA (NOI)</t>
  </si>
  <si>
    <t xml:space="preserve">EL IDSE SIRVE PARA ALTAS, BAJAS Y MODIFICACIONES DE TRABAJADORES. </t>
  </si>
  <si>
    <t>PARA ENVIAR LA PRT</t>
  </si>
  <si>
    <t>PARA OBTENER LOS MONTOS A PAGAR DE CUOTAS AL SEGURO SOCIAL IMSS, INFO RCV (EMA Y EBA)</t>
  </si>
  <si>
    <t xml:space="preserve">SUA </t>
  </si>
  <si>
    <t>PAGAR CUOTAS</t>
  </si>
  <si>
    <t>SIPARE</t>
  </si>
  <si>
    <t>SISTEMA DE PAGO REFERENCIADO</t>
  </si>
  <si>
    <t>SISTEMA UNICO DE AUTODETERMINACIÓN SIRVE PARA DETERMINAR CUOTAS POR PAGAR Y LA 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</si>
</sst>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164" formatCode="0.0000"/>
    <numFmt numFmtId="165" formatCode="#,##0.000"/>
    <numFmt numFmtId="166" formatCode="#,##0.0"/>
    <numFmt numFmtId="167" formatCode="0.000%"/>
    <numFmt numFmtId="168" formatCode="#,##0.0000"/>
    <numFmt numFmtId="169" formatCode="_-&quot;$&quot;* #,##0.000_-;\-&quot;$&quot;* #,##0.0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8.5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AEDF3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0" fillId="2" borderId="0" xfId="0" applyFill="1"/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3" borderId="0" xfId="0" applyFill="1"/>
    <xf numFmtId="0" fontId="0" fillId="4" borderId="0" xfId="0" applyFill="1"/>
    <xf numFmtId="18" fontId="0" fillId="0" borderId="0" xfId="0" applyNumberFormat="1"/>
    <xf numFmtId="0" fontId="0" fillId="0" borderId="1" xfId="0" applyBorder="1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5" borderId="0" xfId="0" applyFill="1"/>
    <xf numFmtId="3" fontId="0" fillId="0" borderId="0" xfId="0" applyNumberFormat="1"/>
    <xf numFmtId="3" fontId="0" fillId="5" borderId="0" xfId="0" applyNumberFormat="1" applyFill="1"/>
    <xf numFmtId="3" fontId="1" fillId="0" borderId="0" xfId="0" applyNumberFormat="1" applyFont="1"/>
    <xf numFmtId="3" fontId="1" fillId="2" borderId="0" xfId="0" applyNumberFormat="1" applyFont="1" applyFill="1"/>
    <xf numFmtId="4" fontId="1" fillId="0" borderId="0" xfId="0" applyNumberFormat="1" applyFont="1"/>
    <xf numFmtId="4" fontId="0" fillId="0" borderId="0" xfId="0" applyNumberFormat="1"/>
    <xf numFmtId="2" fontId="1" fillId="0" borderId="0" xfId="0" applyNumberFormat="1" applyFont="1"/>
    <xf numFmtId="4" fontId="1" fillId="2" borderId="0" xfId="0" applyNumberFormat="1" applyFont="1" applyFill="1"/>
    <xf numFmtId="4" fontId="1" fillId="6" borderId="0" xfId="0" applyNumberFormat="1" applyFont="1" applyFill="1"/>
    <xf numFmtId="4" fontId="0" fillId="6" borderId="0" xfId="0" applyNumberFormat="1" applyFill="1"/>
    <xf numFmtId="165" fontId="0" fillId="0" borderId="0" xfId="0" applyNumberFormat="1"/>
    <xf numFmtId="0" fontId="0" fillId="7" borderId="0" xfId="0" applyFill="1"/>
    <xf numFmtId="0" fontId="0" fillId="6" borderId="0" xfId="0" applyFill="1"/>
    <xf numFmtId="0" fontId="0" fillId="8" borderId="0" xfId="0" applyFill="1"/>
    <xf numFmtId="10" fontId="0" fillId="0" borderId="0" xfId="0" applyNumberFormat="1"/>
    <xf numFmtId="2" fontId="1" fillId="2" borderId="0" xfId="0" applyNumberFormat="1" applyFont="1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166" fontId="0" fillId="2" borderId="0" xfId="0" applyNumberFormat="1" applyFill="1"/>
    <xf numFmtId="44" fontId="1" fillId="0" borderId="0" xfId="1" applyFont="1"/>
    <xf numFmtId="17" fontId="0" fillId="0" borderId="0" xfId="0" applyNumberFormat="1"/>
    <xf numFmtId="166" fontId="1" fillId="0" borderId="0" xfId="0" applyNumberFormat="1" applyFont="1"/>
    <xf numFmtId="166" fontId="0" fillId="7" borderId="0" xfId="0" applyNumberFormat="1" applyFill="1"/>
    <xf numFmtId="49" fontId="0" fillId="0" borderId="0" xfId="0" applyNumberFormat="1"/>
    <xf numFmtId="0" fontId="1" fillId="7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44" fontId="0" fillId="0" borderId="1" xfId="1" applyFont="1" applyBorder="1" applyAlignment="1">
      <alignment vertical="center"/>
    </xf>
    <xf numFmtId="0" fontId="0" fillId="0" borderId="3" xfId="0" applyBorder="1" applyAlignment="1">
      <alignment vertical="center"/>
    </xf>
    <xf numFmtId="44" fontId="0" fillId="0" borderId="3" xfId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vertical="center"/>
    </xf>
    <xf numFmtId="44" fontId="1" fillId="0" borderId="4" xfId="1" applyFon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4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5" xfId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5" xfId="0" applyBorder="1"/>
    <xf numFmtId="2" fontId="4" fillId="0" borderId="8" xfId="0" applyNumberFormat="1" applyFont="1" applyBorder="1" applyAlignment="1">
      <alignment vertical="center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5" fontId="0" fillId="0" borderId="0" xfId="0" applyNumberFormat="1"/>
    <xf numFmtId="0" fontId="0" fillId="0" borderId="14" xfId="0" applyBorder="1"/>
    <xf numFmtId="164" fontId="0" fillId="2" borderId="1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9" borderId="16" xfId="0" applyFont="1" applyFill="1" applyBorder="1" applyAlignment="1">
      <alignment horizontal="left" vertical="center" wrapText="1" indent="3"/>
    </xf>
    <xf numFmtId="0" fontId="7" fillId="9" borderId="16" xfId="0" applyFont="1" applyFill="1" applyBorder="1" applyAlignment="1">
      <alignment horizontal="left" vertical="center" wrapText="1" indent="2"/>
    </xf>
    <xf numFmtId="0" fontId="7" fillId="9" borderId="17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left" vertical="center" wrapText="1" indent="1"/>
    </xf>
    <xf numFmtId="0" fontId="7" fillId="9" borderId="16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7" fillId="9" borderId="20" xfId="0" applyFont="1" applyFill="1" applyBorder="1" applyAlignment="1">
      <alignment horizontal="left" vertical="center" wrapText="1" indent="3"/>
    </xf>
    <xf numFmtId="0" fontId="7" fillId="9" borderId="20" xfId="0" applyFont="1" applyFill="1" applyBorder="1" applyAlignment="1">
      <alignment horizontal="left" vertical="center" wrapText="1" indent="2"/>
    </xf>
    <xf numFmtId="0" fontId="7" fillId="9" borderId="21" xfId="0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left" vertical="center" wrapText="1" indent="4"/>
    </xf>
    <xf numFmtId="0" fontId="7" fillId="9" borderId="20" xfId="0" applyFont="1" applyFill="1" applyBorder="1" applyAlignment="1">
      <alignment horizontal="left" vertical="center" wrapText="1" indent="1"/>
    </xf>
    <xf numFmtId="0" fontId="7" fillId="9" borderId="20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vertical="center" wrapText="1"/>
    </xf>
    <xf numFmtId="0" fontId="7" fillId="9" borderId="21" xfId="0" applyFont="1" applyFill="1" applyBorder="1" applyAlignment="1">
      <alignment vertical="center" wrapText="1"/>
    </xf>
    <xf numFmtId="0" fontId="7" fillId="9" borderId="17" xfId="0" applyFont="1" applyFill="1" applyBorder="1" applyAlignment="1">
      <alignment vertical="center" wrapText="1"/>
    </xf>
    <xf numFmtId="0" fontId="7" fillId="9" borderId="19" xfId="0" applyFont="1" applyFill="1" applyBorder="1" applyAlignment="1">
      <alignment vertical="center" wrapText="1"/>
    </xf>
    <xf numFmtId="10" fontId="7" fillId="9" borderId="21" xfId="0" applyNumberFormat="1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10" fontId="0" fillId="12" borderId="23" xfId="0" applyNumberForma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4" fontId="0" fillId="10" borderId="0" xfId="0" applyNumberFormat="1" applyFill="1" applyAlignment="1">
      <alignment horizontal="center" vertical="center"/>
    </xf>
    <xf numFmtId="4" fontId="0" fillId="11" borderId="0" xfId="0" applyNumberFormat="1" applyFill="1" applyAlignment="1">
      <alignment horizontal="center" vertical="center"/>
    </xf>
    <xf numFmtId="0" fontId="7" fillId="9" borderId="24" xfId="0" applyFont="1" applyFill="1" applyBorder="1" applyAlignment="1">
      <alignment vertical="center" wrapText="1"/>
    </xf>
    <xf numFmtId="0" fontId="7" fillId="9" borderId="25" xfId="0" applyFont="1" applyFill="1" applyBorder="1" applyAlignment="1">
      <alignment vertical="center" wrapText="1"/>
    </xf>
    <xf numFmtId="0" fontId="7" fillId="9" borderId="16" xfId="0" applyFont="1" applyFill="1" applyBorder="1" applyAlignment="1">
      <alignment vertical="center" wrapText="1"/>
    </xf>
    <xf numFmtId="0" fontId="7" fillId="9" borderId="26" xfId="0" applyFont="1" applyFill="1" applyBorder="1" applyAlignment="1">
      <alignment horizontal="center" vertical="center" wrapText="1"/>
    </xf>
    <xf numFmtId="0" fontId="0" fillId="12" borderId="27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9" borderId="24" xfId="0" applyFont="1" applyFill="1" applyBorder="1" applyAlignment="1">
      <alignment vertical="center" wrapText="1"/>
    </xf>
    <xf numFmtId="0" fontId="8" fillId="9" borderId="25" xfId="0" applyFont="1" applyFill="1" applyBorder="1" applyAlignment="1">
      <alignment vertical="center" wrapText="1"/>
    </xf>
    <xf numFmtId="0" fontId="7" fillId="9" borderId="28" xfId="0" applyFont="1" applyFill="1" applyBorder="1" applyAlignment="1">
      <alignment horizontal="center" vertical="center" wrapText="1"/>
    </xf>
    <xf numFmtId="10" fontId="0" fillId="12" borderId="27" xfId="0" applyNumberFormat="1" applyFill="1" applyBorder="1" applyAlignment="1">
      <alignment horizontal="center" vertical="center"/>
    </xf>
    <xf numFmtId="10" fontId="7" fillId="9" borderId="25" xfId="0" applyNumberFormat="1" applyFont="1" applyFill="1" applyBorder="1" applyAlignment="1">
      <alignment horizontal="left" vertical="center" wrapText="1" indent="2"/>
    </xf>
    <xf numFmtId="10" fontId="7" fillId="9" borderId="25" xfId="0" applyNumberFormat="1" applyFont="1" applyFill="1" applyBorder="1" applyAlignment="1">
      <alignment horizontal="center" vertical="center" wrapText="1"/>
    </xf>
    <xf numFmtId="10" fontId="7" fillId="9" borderId="25" xfId="0" applyNumberFormat="1" applyFont="1" applyFill="1" applyBorder="1" applyAlignment="1">
      <alignment horizontal="left" vertical="center" wrapText="1" indent="4"/>
    </xf>
    <xf numFmtId="0" fontId="7" fillId="9" borderId="25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vertical="center" wrapText="1"/>
    </xf>
    <xf numFmtId="0" fontId="0" fillId="9" borderId="21" xfId="0" applyFill="1" applyBorder="1" applyAlignment="1">
      <alignment vertical="top" wrapText="1"/>
    </xf>
    <xf numFmtId="0" fontId="7" fillId="9" borderId="29" xfId="0" applyFont="1" applyFill="1" applyBorder="1" applyAlignment="1">
      <alignment horizontal="center" vertical="center" wrapText="1"/>
    </xf>
    <xf numFmtId="0" fontId="0" fillId="9" borderId="25" xfId="0" applyFill="1" applyBorder="1" applyAlignment="1">
      <alignment vertical="top" wrapText="1"/>
    </xf>
    <xf numFmtId="10" fontId="7" fillId="9" borderId="21" xfId="0" applyNumberFormat="1" applyFont="1" applyFill="1" applyBorder="1" applyAlignment="1">
      <alignment horizontal="left" vertical="center" wrapText="1" indent="2"/>
    </xf>
    <xf numFmtId="10" fontId="7" fillId="9" borderId="21" xfId="0" applyNumberFormat="1" applyFont="1" applyFill="1" applyBorder="1" applyAlignment="1">
      <alignment horizontal="left" vertical="center" wrapText="1" indent="4"/>
    </xf>
    <xf numFmtId="0" fontId="0" fillId="9" borderId="24" xfId="0" applyFill="1" applyBorder="1" applyAlignment="1">
      <alignment vertical="top" wrapText="1"/>
    </xf>
    <xf numFmtId="0" fontId="8" fillId="9" borderId="30" xfId="0" applyFont="1" applyFill="1" applyBorder="1" applyAlignment="1">
      <alignment vertical="center" wrapText="1"/>
    </xf>
    <xf numFmtId="0" fontId="8" fillId="9" borderId="31" xfId="0" applyFont="1" applyFill="1" applyBorder="1" applyAlignment="1">
      <alignment vertical="center" wrapText="1"/>
    </xf>
    <xf numFmtId="0" fontId="7" fillId="9" borderId="30" xfId="0" applyFont="1" applyFill="1" applyBorder="1" applyAlignment="1">
      <alignment horizontal="center" vertical="center" wrapText="1"/>
    </xf>
    <xf numFmtId="10" fontId="7" fillId="9" borderId="32" xfId="0" applyNumberFormat="1" applyFont="1" applyFill="1" applyBorder="1" applyAlignment="1">
      <alignment horizontal="center" vertical="center" wrapText="1"/>
    </xf>
    <xf numFmtId="10" fontId="7" fillId="9" borderId="21" xfId="0" applyNumberFormat="1" applyFont="1" applyFill="1" applyBorder="1" applyAlignment="1">
      <alignment horizontal="center" vertical="center" wrapText="1"/>
    </xf>
    <xf numFmtId="0" fontId="7" fillId="9" borderId="32" xfId="0" applyFont="1" applyFill="1" applyBorder="1" applyAlignment="1">
      <alignment horizontal="center" vertical="center" wrapText="1"/>
    </xf>
    <xf numFmtId="0" fontId="0" fillId="9" borderId="20" xfId="0" applyFill="1" applyBorder="1" applyAlignment="1">
      <alignment vertical="top" wrapText="1"/>
    </xf>
    <xf numFmtId="10" fontId="7" fillId="9" borderId="17" xfId="0" applyNumberFormat="1" applyFont="1" applyFill="1" applyBorder="1" applyAlignment="1">
      <alignment horizontal="center" vertical="center" wrapText="1"/>
    </xf>
    <xf numFmtId="10" fontId="7" fillId="9" borderId="1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0" fontId="0" fillId="12" borderId="34" xfId="0" applyNumberFormat="1" applyFill="1" applyBorder="1" applyAlignment="1">
      <alignment horizontal="center" vertical="center"/>
    </xf>
    <xf numFmtId="10" fontId="0" fillId="13" borderId="23" xfId="0" applyNumberFormat="1" applyFill="1" applyBorder="1" applyAlignment="1">
      <alignment horizontal="center" vertical="center"/>
    </xf>
    <xf numFmtId="167" fontId="7" fillId="9" borderId="17" xfId="0" applyNumberFormat="1" applyFont="1" applyFill="1" applyBorder="1" applyAlignment="1">
      <alignment horizontal="center" vertical="center" wrapText="1"/>
    </xf>
    <xf numFmtId="167" fontId="7" fillId="9" borderId="19" xfId="0" applyNumberFormat="1" applyFont="1" applyFill="1" applyBorder="1" applyAlignment="1">
      <alignment horizontal="center" vertical="center" wrapText="1"/>
    </xf>
    <xf numFmtId="167" fontId="0" fillId="13" borderId="27" xfId="0" applyNumberFormat="1" applyFill="1" applyBorder="1" applyAlignment="1">
      <alignment horizontal="center" vertical="center"/>
    </xf>
    <xf numFmtId="10" fontId="0" fillId="13" borderId="27" xfId="0" applyNumberForma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justify" vertical="center" wrapText="1"/>
    </xf>
    <xf numFmtId="0" fontId="8" fillId="9" borderId="0" xfId="0" applyFont="1" applyFill="1" applyAlignment="1">
      <alignment horizontal="center" vertical="center" wrapText="1"/>
    </xf>
    <xf numFmtId="0" fontId="7" fillId="9" borderId="20" xfId="0" applyFont="1" applyFill="1" applyBorder="1" applyAlignment="1">
      <alignment horizontal="justify" vertical="center" wrapText="1"/>
    </xf>
    <xf numFmtId="4" fontId="0" fillId="0" borderId="0" xfId="0" applyNumberFormat="1" applyAlignment="1">
      <alignment horizontal="center" vertical="center"/>
    </xf>
    <xf numFmtId="0" fontId="7" fillId="9" borderId="30" xfId="0" applyFont="1" applyFill="1" applyBorder="1" applyAlignment="1">
      <alignment vertical="center" wrapText="1"/>
    </xf>
    <xf numFmtId="10" fontId="8" fillId="9" borderId="9" xfId="0" applyNumberFormat="1" applyFont="1" applyFill="1" applyBorder="1" applyAlignment="1">
      <alignment horizontal="center" vertical="center" wrapText="1"/>
    </xf>
    <xf numFmtId="10" fontId="8" fillId="9" borderId="11" xfId="0" applyNumberFormat="1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vertical="center" wrapText="1"/>
    </xf>
    <xf numFmtId="0" fontId="7" fillId="9" borderId="35" xfId="0" applyFont="1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/>
    </xf>
    <xf numFmtId="0" fontId="7" fillId="9" borderId="32" xfId="0" applyFont="1" applyFill="1" applyBorder="1" applyAlignment="1">
      <alignment vertical="center" wrapText="1"/>
    </xf>
    <xf numFmtId="10" fontId="8" fillId="9" borderId="14" xfId="0" applyNumberFormat="1" applyFont="1" applyFill="1" applyBorder="1" applyAlignment="1">
      <alignment horizontal="center" vertical="center" wrapText="1"/>
    </xf>
    <xf numFmtId="10" fontId="8" fillId="9" borderId="15" xfId="0" applyNumberFormat="1" applyFont="1" applyFill="1" applyBorder="1" applyAlignment="1">
      <alignment horizontal="center" vertical="center" wrapText="1"/>
    </xf>
    <xf numFmtId="10" fontId="7" fillId="9" borderId="34" xfId="0" applyNumberFormat="1" applyFont="1" applyFill="1" applyBorder="1" applyAlignment="1">
      <alignment horizontal="center" vertical="center" wrapText="1"/>
    </xf>
    <xf numFmtId="0" fontId="7" fillId="9" borderId="34" xfId="0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 wrapText="1"/>
    </xf>
    <xf numFmtId="10" fontId="0" fillId="14" borderId="34" xfId="0" applyNumberFormat="1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1" fillId="0" borderId="36" xfId="0" applyFont="1" applyBorder="1" applyAlignment="1">
      <alignment horizontal="right"/>
    </xf>
    <xf numFmtId="0" fontId="1" fillId="0" borderId="33" xfId="0" applyFont="1" applyBorder="1" applyAlignment="1">
      <alignment horizontal="right"/>
    </xf>
    <xf numFmtId="44" fontId="1" fillId="0" borderId="37" xfId="1" applyFont="1" applyBorder="1"/>
    <xf numFmtId="0" fontId="1" fillId="0" borderId="2" xfId="0" applyFont="1" applyBorder="1" applyAlignment="1">
      <alignment horizontal="center" vertical="center" wrapText="1"/>
    </xf>
    <xf numFmtId="44" fontId="1" fillId="0" borderId="0" xfId="1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44" fontId="9" fillId="0" borderId="2" xfId="1" applyFont="1" applyBorder="1" applyAlignment="1">
      <alignment horizontal="center" vertical="center"/>
    </xf>
    <xf numFmtId="44" fontId="10" fillId="0" borderId="2" xfId="1" applyFont="1" applyBorder="1"/>
    <xf numFmtId="167" fontId="0" fillId="0" borderId="2" xfId="0" applyNumberFormat="1" applyBorder="1" applyAlignment="1">
      <alignment horizontal="center" vertical="center"/>
    </xf>
    <xf numFmtId="44" fontId="0" fillId="0" borderId="1" xfId="1" applyFont="1" applyBorder="1"/>
    <xf numFmtId="44" fontId="0" fillId="0" borderId="38" xfId="1" applyFont="1" applyBorder="1"/>
    <xf numFmtId="44" fontId="0" fillId="0" borderId="39" xfId="1" applyFont="1" applyBorder="1"/>
    <xf numFmtId="0" fontId="2" fillId="0" borderId="2" xfId="0" applyFont="1" applyBorder="1" applyAlignment="1">
      <alignment horizontal="center" vertical="center"/>
    </xf>
    <xf numFmtId="44" fontId="0" fillId="0" borderId="3" xfId="1" applyFont="1" applyBorder="1"/>
    <xf numFmtId="44" fontId="0" fillId="0" borderId="40" xfId="1" applyFont="1" applyBorder="1"/>
    <xf numFmtId="0" fontId="10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44" fontId="1" fillId="0" borderId="39" xfId="1" applyFont="1" applyBorder="1"/>
    <xf numFmtId="0" fontId="9" fillId="15" borderId="2" xfId="0" applyFont="1" applyFill="1" applyBorder="1" applyAlignment="1">
      <alignment horizontal="center" vertical="center"/>
    </xf>
    <xf numFmtId="168" fontId="0" fillId="0" borderId="0" xfId="0" applyNumberFormat="1"/>
    <xf numFmtId="44" fontId="0" fillId="0" borderId="1" xfId="0" applyNumberFormat="1" applyBorder="1"/>
    <xf numFmtId="44" fontId="0" fillId="2" borderId="0" xfId="1" applyFont="1" applyFill="1"/>
    <xf numFmtId="44" fontId="0" fillId="15" borderId="0" xfId="1" applyFont="1" applyFill="1"/>
    <xf numFmtId="169" fontId="0" fillId="0" borderId="0" xfId="1" applyNumberFormat="1" applyFont="1"/>
    <xf numFmtId="167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220980</xdr:colOff>
      <xdr:row>62</xdr:row>
      <xdr:rowOff>45720</xdr:rowOff>
    </xdr:from>
    <xdr:to>
      <xdr:col>21</xdr:col>
      <xdr:colOff>83820</xdr:colOff>
      <xdr:row>67</xdr:row>
      <xdr:rowOff>15240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4CCA4FB8-E720-489E-B52B-AB3960F32FB9}"/>
            </a:ext>
          </a:extLst>
        </xdr:cNvPr>
        <xdr:cNvCxnSpPr/>
      </xdr:nvCxnSpPr>
      <xdr:spPr>
        <a:xfrm flipH="1">
          <a:off x="18326100" y="11384280"/>
          <a:ext cx="655320" cy="883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632460</xdr:colOff>
      <xdr:row>62</xdr:row>
      <xdr:rowOff>38100</xdr:rowOff>
    </xdr:from>
    <xdr:to>
      <xdr:col>23</xdr:col>
      <xdr:colOff>624840</xdr:colOff>
      <xdr:row>63</xdr:row>
      <xdr:rowOff>91440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1B77F48-7EAC-4FD8-ABAF-E8637F1865E0}"/>
            </a:ext>
          </a:extLst>
        </xdr:cNvPr>
        <xdr:cNvCxnSpPr/>
      </xdr:nvCxnSpPr>
      <xdr:spPr>
        <a:xfrm>
          <a:off x="19530060" y="11376660"/>
          <a:ext cx="2583180" cy="236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662940</xdr:colOff>
      <xdr:row>18</xdr:row>
      <xdr:rowOff>22860</xdr:rowOff>
    </xdr:from>
    <xdr:to>
      <xdr:col>14</xdr:col>
      <xdr:colOff>30480</xdr:colOff>
      <xdr:row>25</xdr:row>
      <xdr:rowOff>76200</xdr:rowOff>
    </xdr:to>
    <xdr:sp macro="" textlink="">
      <xdr:nvSpPr>
        <xdr:cNvPr id="4" name="Abrir llave 3">
          <a:extLst>
            <a:ext uri="{FF2B5EF4-FFF2-40B4-BE49-F238E27FC236}">
              <a16:creationId xmlns:a16="http://schemas.microsoft.com/office/drawing/2014/main" id="{BAA2483E-D606-D18D-4569-3D1F72491135}"/>
            </a:ext>
          </a:extLst>
        </xdr:cNvPr>
        <xdr:cNvSpPr/>
      </xdr:nvSpPr>
      <xdr:spPr>
        <a:xfrm>
          <a:off x="13434060" y="3314700"/>
          <a:ext cx="160020" cy="13335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671514</xdr:colOff>
      <xdr:row>33</xdr:row>
      <xdr:rowOff>14287</xdr:rowOff>
    </xdr:from>
    <xdr:to>
      <xdr:col>8</xdr:col>
      <xdr:colOff>76203</xdr:colOff>
      <xdr:row>33</xdr:row>
      <xdr:rowOff>142874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4827B9E5-ED13-40CE-903A-CDA3E2541C52}"/>
            </a:ext>
          </a:extLst>
        </xdr:cNvPr>
        <xdr:cNvSpPr/>
      </xdr:nvSpPr>
      <xdr:spPr>
        <a:xfrm rot="16200000">
          <a:off x="5091115" y="7093266"/>
          <a:ext cx="128587" cy="2018349"/>
        </a:xfrm>
        <a:prstGeom prst="leftBrace">
          <a:avLst/>
        </a:prstGeom>
        <a:ln>
          <a:solidFill>
            <a:srgbClr val="00B05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228597</xdr:colOff>
      <xdr:row>15</xdr:row>
      <xdr:rowOff>247648</xdr:rowOff>
    </xdr:from>
    <xdr:to>
      <xdr:col>7</xdr:col>
      <xdr:colOff>676272</xdr:colOff>
      <xdr:row>22</xdr:row>
      <xdr:rowOff>19049</xdr:rowOff>
    </xdr:to>
    <xdr:sp macro="" textlink="">
      <xdr:nvSpPr>
        <xdr:cNvPr id="3" name="Abrir llave 2">
          <a:extLst>
            <a:ext uri="{FF2B5EF4-FFF2-40B4-BE49-F238E27FC236}">
              <a16:creationId xmlns:a16="http://schemas.microsoft.com/office/drawing/2014/main" id="{D78D4C6F-AA89-475B-8726-14565A293F38}"/>
            </a:ext>
          </a:extLst>
        </xdr:cNvPr>
        <xdr:cNvSpPr/>
      </xdr:nvSpPr>
      <xdr:spPr>
        <a:xfrm rot="10800000">
          <a:off x="5524497" y="3768088"/>
          <a:ext cx="447675" cy="1478281"/>
        </a:xfrm>
        <a:prstGeom prst="leftBrac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322680</xdr:colOff>
      <xdr:row>57</xdr:row>
      <xdr:rowOff>41101</xdr:rowOff>
    </xdr:from>
    <xdr:to>
      <xdr:col>14</xdr:col>
      <xdr:colOff>670900</xdr:colOff>
      <xdr:row>79</xdr:row>
      <xdr:rowOff>97381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845F2E-E926-4CF0-81BE-F97A38A39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8980" y="13261801"/>
          <a:ext cx="6489940" cy="40796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80AB-EDDB-4D2C-9473-EC815391000C}">
  <dimension ref="D4:L6"/>
  <sheetViews>
    <sheetView workbookViewId="0">
      <selection activeCell="K6" sqref="K6"/>
    </sheetView>
  </sheetViews>
  <sheetFormatPr baseColWidth="10" defaultRowHeight="14.4" x14ac:dyDescent="0.3"/>
  <sheetData>
    <row r="4" spans="4:12" x14ac:dyDescent="0.3">
      <c r="J4" t="s">
        <v>86</v>
      </c>
      <c r="K4" t="s">
        <v>88</v>
      </c>
    </row>
    <row r="5" spans="4:12" x14ac:dyDescent="0.3">
      <c r="D5" t="s">
        <v>79</v>
      </c>
      <c r="E5" t="s">
        <v>80</v>
      </c>
      <c r="F5" t="s">
        <v>81</v>
      </c>
      <c r="G5" t="s">
        <v>82</v>
      </c>
      <c r="H5" t="s">
        <v>84</v>
      </c>
      <c r="I5" t="s">
        <v>85</v>
      </c>
      <c r="J5" t="s">
        <v>87</v>
      </c>
      <c r="K5" t="s">
        <v>89</v>
      </c>
    </row>
    <row r="6" spans="4:12" x14ac:dyDescent="0.3">
      <c r="D6" s="11">
        <v>0.41666666666666669</v>
      </c>
      <c r="E6" s="11">
        <v>0.91666666666666663</v>
      </c>
      <c r="F6">
        <v>12</v>
      </c>
      <c r="G6" t="s">
        <v>83</v>
      </c>
      <c r="H6">
        <v>7.5</v>
      </c>
      <c r="I6">
        <f>7.5*6</f>
        <v>45</v>
      </c>
      <c r="J6">
        <v>48</v>
      </c>
      <c r="K6">
        <f>+J6-I6</f>
        <v>3</v>
      </c>
      <c r="L6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281B-F89F-4867-955A-C827ED40B91A}">
  <dimension ref="A2:H30"/>
  <sheetViews>
    <sheetView workbookViewId="0">
      <selection activeCell="A6" sqref="A6:D18"/>
    </sheetView>
  </sheetViews>
  <sheetFormatPr baseColWidth="10" defaultRowHeight="14.4" x14ac:dyDescent="0.3"/>
  <cols>
    <col min="4" max="4" width="12.5546875" bestFit="1" customWidth="1"/>
  </cols>
  <sheetData>
    <row r="2" spans="1:8" x14ac:dyDescent="0.3">
      <c r="E2" t="s">
        <v>270</v>
      </c>
    </row>
    <row r="4" spans="1:8" x14ac:dyDescent="0.3">
      <c r="C4" s="1" t="s">
        <v>269</v>
      </c>
      <c r="H4" s="1" t="s">
        <v>283</v>
      </c>
    </row>
    <row r="6" spans="1:8" x14ac:dyDescent="0.3">
      <c r="B6" t="s">
        <v>271</v>
      </c>
      <c r="D6" s="16">
        <v>20000</v>
      </c>
      <c r="F6" t="s">
        <v>271</v>
      </c>
      <c r="H6" s="16">
        <v>20000</v>
      </c>
    </row>
    <row r="7" spans="1:8" x14ac:dyDescent="0.3">
      <c r="A7" t="s">
        <v>272</v>
      </c>
      <c r="B7" t="s">
        <v>273</v>
      </c>
      <c r="D7">
        <v>15487.72</v>
      </c>
      <c r="E7" t="s">
        <v>275</v>
      </c>
      <c r="F7" t="s">
        <v>284</v>
      </c>
      <c r="H7" s="8">
        <v>0.35</v>
      </c>
    </row>
    <row r="8" spans="1:8" x14ac:dyDescent="0.3">
      <c r="A8" t="s">
        <v>171</v>
      </c>
      <c r="B8" t="s">
        <v>274</v>
      </c>
      <c r="D8" s="21">
        <f>+D6-D7</f>
        <v>4512.2800000000007</v>
      </c>
      <c r="F8" t="s">
        <v>285</v>
      </c>
      <c r="H8">
        <f>+H6*H7</f>
        <v>7000</v>
      </c>
    </row>
    <row r="9" spans="1:8" x14ac:dyDescent="0.3">
      <c r="A9" t="s">
        <v>275</v>
      </c>
      <c r="B9" t="s">
        <v>276</v>
      </c>
      <c r="D9" s="30">
        <v>0.21360000000000001</v>
      </c>
    </row>
    <row r="10" spans="1:8" x14ac:dyDescent="0.3">
      <c r="A10" t="s">
        <v>171</v>
      </c>
      <c r="B10" t="s">
        <v>277</v>
      </c>
      <c r="D10" s="5">
        <f>+D8*D9</f>
        <v>963.82300800000019</v>
      </c>
      <c r="F10" t="s">
        <v>286</v>
      </c>
    </row>
    <row r="11" spans="1:8" x14ac:dyDescent="0.3">
      <c r="A11" t="s">
        <v>76</v>
      </c>
      <c r="B11" t="s">
        <v>278</v>
      </c>
      <c r="D11">
        <v>1640.18</v>
      </c>
    </row>
    <row r="12" spans="1:8" x14ac:dyDescent="0.3">
      <c r="A12" s="1" t="s">
        <v>171</v>
      </c>
      <c r="B12" s="1" t="s">
        <v>279</v>
      </c>
      <c r="C12" s="1"/>
      <c r="D12" s="22">
        <f>+D10+D11</f>
        <v>2604.0030080000001</v>
      </c>
    </row>
    <row r="15" spans="1:8" x14ac:dyDescent="0.3">
      <c r="C15" t="s">
        <v>280</v>
      </c>
      <c r="D15" s="16">
        <f>+D6</f>
        <v>20000</v>
      </c>
      <c r="G15" t="s">
        <v>280</v>
      </c>
      <c r="H15" s="16">
        <f>+H6</f>
        <v>20000</v>
      </c>
    </row>
    <row r="16" spans="1:8" x14ac:dyDescent="0.3">
      <c r="B16" t="s">
        <v>272</v>
      </c>
      <c r="C16" t="s">
        <v>281</v>
      </c>
      <c r="D16" s="5">
        <f>+D12</f>
        <v>2604.0030080000001</v>
      </c>
      <c r="F16" t="s">
        <v>272</v>
      </c>
      <c r="G16" t="s">
        <v>281</v>
      </c>
      <c r="H16" s="5">
        <f>+H8</f>
        <v>7000</v>
      </c>
    </row>
    <row r="17" spans="2:8" x14ac:dyDescent="0.3">
      <c r="B17" t="s">
        <v>155</v>
      </c>
      <c r="C17" t="s">
        <v>282</v>
      </c>
      <c r="D17" s="5">
        <f>+D15-D16</f>
        <v>17395.996992</v>
      </c>
      <c r="F17" t="s">
        <v>155</v>
      </c>
      <c r="G17" t="s">
        <v>282</v>
      </c>
      <c r="H17" s="5">
        <f>+H15-H16</f>
        <v>13000</v>
      </c>
    </row>
    <row r="22" spans="2:8" x14ac:dyDescent="0.3">
      <c r="D22" s="1" t="s">
        <v>287</v>
      </c>
    </row>
    <row r="23" spans="2:8" x14ac:dyDescent="0.3">
      <c r="D23" s="1" t="s">
        <v>288</v>
      </c>
    </row>
    <row r="25" spans="2:8" x14ac:dyDescent="0.3">
      <c r="D25" t="s">
        <v>292</v>
      </c>
    </row>
    <row r="26" spans="2:8" x14ac:dyDescent="0.3">
      <c r="D26" t="s">
        <v>289</v>
      </c>
      <c r="G26" t="s">
        <v>290</v>
      </c>
      <c r="H26" t="s">
        <v>291</v>
      </c>
    </row>
    <row r="28" spans="2:8" x14ac:dyDescent="0.3">
      <c r="E28" s="1" t="s">
        <v>293</v>
      </c>
    </row>
    <row r="29" spans="2:8" x14ac:dyDescent="0.3">
      <c r="E29" s="1" t="s">
        <v>294</v>
      </c>
    </row>
    <row r="30" spans="2:8" x14ac:dyDescent="0.3">
      <c r="E30" s="1"/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2FE7-3807-4A0F-99EA-FD94D44BFB7A}">
  <dimension ref="A5:V42"/>
  <sheetViews>
    <sheetView topLeftCell="A18" workbookViewId="0">
      <selection activeCell="G40" sqref="G40"/>
    </sheetView>
  </sheetViews>
  <sheetFormatPr baseColWidth="10" defaultRowHeight="14.4" x14ac:dyDescent="0.3"/>
  <cols>
    <col min="2" max="2" width="36.77734375" bestFit="1" customWidth="1"/>
    <col min="9" max="9" width="36.77734375" bestFit="1" customWidth="1"/>
  </cols>
  <sheetData>
    <row r="5" spans="1:22" x14ac:dyDescent="0.3">
      <c r="B5" t="s">
        <v>271</v>
      </c>
      <c r="D5" s="21">
        <v>6306.18</v>
      </c>
      <c r="I5" t="s">
        <v>271</v>
      </c>
      <c r="K5" s="21">
        <v>6306.19</v>
      </c>
      <c r="L5" t="s">
        <v>299</v>
      </c>
      <c r="S5" t="s">
        <v>271</v>
      </c>
      <c r="U5" s="21">
        <f>+D5*1.2</f>
        <v>7567.4160000000002</v>
      </c>
      <c r="V5" t="s">
        <v>299</v>
      </c>
    </row>
    <row r="6" spans="1:22" x14ac:dyDescent="0.3">
      <c r="A6" t="s">
        <v>272</v>
      </c>
      <c r="B6" t="s">
        <v>273</v>
      </c>
      <c r="H6" t="s">
        <v>272</v>
      </c>
      <c r="I6" t="s">
        <v>273</v>
      </c>
      <c r="K6">
        <v>746.05</v>
      </c>
      <c r="R6" t="s">
        <v>272</v>
      </c>
      <c r="S6" t="s">
        <v>273</v>
      </c>
    </row>
    <row r="7" spans="1:22" x14ac:dyDescent="0.3">
      <c r="A7" t="s">
        <v>171</v>
      </c>
      <c r="B7" t="s">
        <v>274</v>
      </c>
      <c r="D7" s="21">
        <f>+D5-D6</f>
        <v>6306.18</v>
      </c>
      <c r="H7" t="s">
        <v>171</v>
      </c>
      <c r="I7" t="s">
        <v>274</v>
      </c>
      <c r="K7" s="21">
        <f>+K5-K6</f>
        <v>5560.1399999999994</v>
      </c>
      <c r="R7" t="s">
        <v>171</v>
      </c>
      <c r="S7" t="s">
        <v>274</v>
      </c>
      <c r="U7" s="21"/>
    </row>
    <row r="8" spans="1:22" x14ac:dyDescent="0.3">
      <c r="A8" t="s">
        <v>275</v>
      </c>
      <c r="B8" t="s">
        <v>276</v>
      </c>
      <c r="D8" s="30"/>
      <c r="H8" t="s">
        <v>275</v>
      </c>
      <c r="I8" t="s">
        <v>276</v>
      </c>
      <c r="K8" s="30">
        <v>6.4000000000000001E-2</v>
      </c>
      <c r="R8" t="s">
        <v>275</v>
      </c>
      <c r="S8" t="s">
        <v>276</v>
      </c>
      <c r="U8" s="30"/>
    </row>
    <row r="9" spans="1:22" x14ac:dyDescent="0.3">
      <c r="A9" t="s">
        <v>171</v>
      </c>
      <c r="B9" t="s">
        <v>277</v>
      </c>
      <c r="D9" s="5">
        <f>+D7*D8</f>
        <v>0</v>
      </c>
      <c r="H9" t="s">
        <v>171</v>
      </c>
      <c r="I9" t="s">
        <v>277</v>
      </c>
      <c r="K9" s="5">
        <f>+K7*K8</f>
        <v>355.84895999999998</v>
      </c>
      <c r="R9" t="s">
        <v>171</v>
      </c>
      <c r="S9" t="s">
        <v>277</v>
      </c>
      <c r="U9" s="5"/>
    </row>
    <row r="10" spans="1:22" x14ac:dyDescent="0.3">
      <c r="A10" t="s">
        <v>76</v>
      </c>
      <c r="B10" t="s">
        <v>278</v>
      </c>
      <c r="H10" t="s">
        <v>76</v>
      </c>
      <c r="I10" t="s">
        <v>278</v>
      </c>
      <c r="K10">
        <v>14.32</v>
      </c>
      <c r="R10" t="s">
        <v>76</v>
      </c>
      <c r="S10" t="s">
        <v>278</v>
      </c>
    </row>
    <row r="11" spans="1:22" x14ac:dyDescent="0.3">
      <c r="A11" s="1" t="s">
        <v>171</v>
      </c>
      <c r="B11" s="1" t="s">
        <v>279</v>
      </c>
      <c r="C11" s="1"/>
      <c r="D11" s="22">
        <f>+D9+D10</f>
        <v>0</v>
      </c>
      <c r="H11" s="1" t="s">
        <v>171</v>
      </c>
      <c r="I11" s="1" t="s">
        <v>279</v>
      </c>
      <c r="J11" s="1"/>
      <c r="K11" s="22">
        <f>+K9+K10</f>
        <v>370.16895999999997</v>
      </c>
      <c r="R11" s="1" t="s">
        <v>171</v>
      </c>
      <c r="S11" s="1" t="s">
        <v>279</v>
      </c>
      <c r="T11" s="1"/>
      <c r="U11" s="22"/>
    </row>
    <row r="12" spans="1:22" x14ac:dyDescent="0.3">
      <c r="A12" s="1" t="s">
        <v>295</v>
      </c>
      <c r="B12" s="1" t="s">
        <v>296</v>
      </c>
      <c r="C12" s="1"/>
      <c r="D12" s="22">
        <v>253.54</v>
      </c>
      <c r="H12" s="1"/>
      <c r="I12" s="1" t="s">
        <v>296</v>
      </c>
      <c r="J12" s="1"/>
      <c r="K12" s="22">
        <v>253.54</v>
      </c>
      <c r="R12" s="1"/>
      <c r="S12" s="1" t="s">
        <v>296</v>
      </c>
      <c r="T12" s="1"/>
      <c r="U12" s="22">
        <v>0</v>
      </c>
    </row>
    <row r="13" spans="1:22" x14ac:dyDescent="0.3">
      <c r="A13" s="1" t="s">
        <v>171</v>
      </c>
      <c r="B13" s="1" t="s">
        <v>297</v>
      </c>
      <c r="C13" s="1"/>
      <c r="D13" s="31">
        <f>+D11-D12</f>
        <v>-253.54</v>
      </c>
      <c r="H13" s="1" t="s">
        <v>171</v>
      </c>
      <c r="I13" s="1" t="s">
        <v>297</v>
      </c>
      <c r="J13" s="1"/>
      <c r="K13" s="22">
        <f>+K11-K12</f>
        <v>116.62895999999998</v>
      </c>
      <c r="R13" s="1" t="s">
        <v>171</v>
      </c>
      <c r="S13" s="1" t="s">
        <v>297</v>
      </c>
      <c r="T13" s="1"/>
      <c r="U13" s="22">
        <f>+U11-U12</f>
        <v>0</v>
      </c>
    </row>
    <row r="14" spans="1:22" x14ac:dyDescent="0.3">
      <c r="A14" s="1"/>
      <c r="B14" s="1"/>
      <c r="C14" s="1"/>
      <c r="D14" s="22"/>
      <c r="H14" s="1"/>
      <c r="I14" s="1"/>
      <c r="J14" s="1"/>
      <c r="K14" s="22"/>
      <c r="R14" s="1"/>
      <c r="S14" s="1"/>
      <c r="T14" s="1"/>
      <c r="U14" s="22"/>
    </row>
    <row r="17" spans="2:22" x14ac:dyDescent="0.3">
      <c r="C17" t="s">
        <v>280</v>
      </c>
      <c r="D17" s="16">
        <f>+D5</f>
        <v>6306.18</v>
      </c>
      <c r="J17" t="s">
        <v>280</v>
      </c>
      <c r="K17" s="16">
        <f>+K5</f>
        <v>6306.19</v>
      </c>
      <c r="T17" t="s">
        <v>280</v>
      </c>
      <c r="U17" s="16">
        <f>+U5</f>
        <v>7567.4160000000002</v>
      </c>
    </row>
    <row r="18" spans="2:22" x14ac:dyDescent="0.3">
      <c r="B18" t="s">
        <v>272</v>
      </c>
      <c r="C18" t="s">
        <v>298</v>
      </c>
      <c r="D18" s="32">
        <f>+D13*-1</f>
        <v>253.54</v>
      </c>
      <c r="E18" t="s">
        <v>300</v>
      </c>
      <c r="I18" t="s">
        <v>272</v>
      </c>
      <c r="J18" t="s">
        <v>281</v>
      </c>
      <c r="K18" s="5">
        <f>+K13</f>
        <v>116.62895999999998</v>
      </c>
      <c r="L18" t="s">
        <v>301</v>
      </c>
      <c r="S18" t="s">
        <v>272</v>
      </c>
      <c r="T18" t="s">
        <v>281</v>
      </c>
      <c r="U18" s="5">
        <f>+U13</f>
        <v>0</v>
      </c>
      <c r="V18" t="s">
        <v>301</v>
      </c>
    </row>
    <row r="19" spans="2:22" x14ac:dyDescent="0.3">
      <c r="B19" t="s">
        <v>155</v>
      </c>
      <c r="C19" t="s">
        <v>282</v>
      </c>
      <c r="D19" s="5">
        <f>+D17+D18</f>
        <v>6559.72</v>
      </c>
      <c r="I19" t="s">
        <v>155</v>
      </c>
      <c r="J19" t="s">
        <v>282</v>
      </c>
      <c r="K19" s="5">
        <f>+K17-K18</f>
        <v>6189.5610399999996</v>
      </c>
      <c r="S19" t="s">
        <v>155</v>
      </c>
      <c r="T19" t="s">
        <v>282</v>
      </c>
      <c r="U19" s="5">
        <f>+U17-U18</f>
        <v>7567.4160000000002</v>
      </c>
    </row>
    <row r="24" spans="2:22" x14ac:dyDescent="0.3">
      <c r="C24" t="s">
        <v>302</v>
      </c>
    </row>
    <row r="26" spans="2:22" x14ac:dyDescent="0.3">
      <c r="C26" t="s">
        <v>303</v>
      </c>
      <c r="F26" t="s">
        <v>304</v>
      </c>
      <c r="H26" t="s">
        <v>306</v>
      </c>
    </row>
    <row r="27" spans="2:22" x14ac:dyDescent="0.3">
      <c r="C27" s="21">
        <f>+D5</f>
        <v>6306.18</v>
      </c>
      <c r="F27">
        <v>7000</v>
      </c>
      <c r="H27" s="21">
        <f>+C27+F27</f>
        <v>13306.18</v>
      </c>
    </row>
    <row r="28" spans="2:22" x14ac:dyDescent="0.3">
      <c r="B28" t="s">
        <v>305</v>
      </c>
      <c r="C28" s="5">
        <f>+D12</f>
        <v>253.54</v>
      </c>
      <c r="F28" s="5">
        <f>+C28</f>
        <v>253.54</v>
      </c>
      <c r="H28">
        <v>0</v>
      </c>
    </row>
    <row r="32" spans="2:22" x14ac:dyDescent="0.3">
      <c r="C32" s="1" t="s">
        <v>307</v>
      </c>
    </row>
    <row r="34" spans="2:8" x14ac:dyDescent="0.3">
      <c r="C34" t="s">
        <v>308</v>
      </c>
      <c r="F34" t="s">
        <v>309</v>
      </c>
    </row>
    <row r="36" spans="2:8" x14ac:dyDescent="0.3">
      <c r="B36" t="s">
        <v>310</v>
      </c>
      <c r="C36">
        <v>1000</v>
      </c>
      <c r="E36" t="s">
        <v>311</v>
      </c>
      <c r="F36">
        <v>300</v>
      </c>
      <c r="H36">
        <f>+C36-F36</f>
        <v>700</v>
      </c>
    </row>
    <row r="39" spans="2:8" x14ac:dyDescent="0.3">
      <c r="D39" t="s">
        <v>137</v>
      </c>
      <c r="E39">
        <v>1200</v>
      </c>
      <c r="G39">
        <v>1200</v>
      </c>
    </row>
    <row r="40" spans="2:8" x14ac:dyDescent="0.3">
      <c r="C40" t="s">
        <v>272</v>
      </c>
      <c r="D40" t="s">
        <v>312</v>
      </c>
      <c r="E40">
        <f>+C36</f>
        <v>1000</v>
      </c>
      <c r="G40">
        <f>+H36</f>
        <v>700</v>
      </c>
    </row>
    <row r="41" spans="2:8" x14ac:dyDescent="0.3">
      <c r="D41" t="s">
        <v>313</v>
      </c>
      <c r="E41">
        <f>+E39-E40</f>
        <v>200</v>
      </c>
      <c r="G41">
        <f>+G39-G40</f>
        <v>500</v>
      </c>
      <c r="H41">
        <f>+G41-E41</f>
        <v>300</v>
      </c>
    </row>
    <row r="42" spans="2:8" x14ac:dyDescent="0.3">
      <c r="E42" t="s">
        <v>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DB6C-2600-44D3-A1D7-3DFE09D11844}">
  <dimension ref="E6:T22"/>
  <sheetViews>
    <sheetView topLeftCell="F4" workbookViewId="0">
      <selection activeCell="G20" sqref="G20"/>
    </sheetView>
  </sheetViews>
  <sheetFormatPr baseColWidth="10" defaultRowHeight="14.4" x14ac:dyDescent="0.3"/>
  <sheetData>
    <row r="6" spans="5:20" x14ac:dyDescent="0.3">
      <c r="E6" t="s">
        <v>314</v>
      </c>
    </row>
    <row r="10" spans="5:20" x14ac:dyDescent="0.3">
      <c r="E10" t="s">
        <v>315</v>
      </c>
      <c r="G10" t="s">
        <v>316</v>
      </c>
      <c r="I10" s="1">
        <v>1</v>
      </c>
      <c r="J10" s="1">
        <v>2</v>
      </c>
      <c r="K10" s="1">
        <v>3</v>
      </c>
      <c r="L10" s="1">
        <v>4</v>
      </c>
      <c r="M10" s="1">
        <v>5</v>
      </c>
      <c r="N10" s="1">
        <v>6</v>
      </c>
      <c r="O10" s="1">
        <v>7</v>
      </c>
      <c r="P10" s="1">
        <v>8</v>
      </c>
      <c r="Q10" s="1">
        <v>9</v>
      </c>
      <c r="R10" s="1"/>
    </row>
    <row r="11" spans="5:20" x14ac:dyDescent="0.3">
      <c r="H11" s="1" t="s">
        <v>317</v>
      </c>
      <c r="L11">
        <v>4</v>
      </c>
      <c r="M11">
        <v>4</v>
      </c>
      <c r="N11">
        <v>4</v>
      </c>
      <c r="O11">
        <v>4</v>
      </c>
      <c r="P11">
        <v>2</v>
      </c>
      <c r="S11">
        <f>SUM(L11:R11)</f>
        <v>18</v>
      </c>
      <c r="T11" s="1" t="s">
        <v>318</v>
      </c>
    </row>
    <row r="12" spans="5:20" x14ac:dyDescent="0.3">
      <c r="K12">
        <v>4</v>
      </c>
      <c r="L12">
        <v>4</v>
      </c>
      <c r="M12">
        <v>4</v>
      </c>
      <c r="N12">
        <v>4</v>
      </c>
      <c r="O12">
        <v>4</v>
      </c>
      <c r="P12">
        <v>2</v>
      </c>
      <c r="S12">
        <f>SUM(I12:R12)</f>
        <v>22</v>
      </c>
      <c r="T12" s="1" t="s">
        <v>318</v>
      </c>
    </row>
    <row r="13" spans="5:20" x14ac:dyDescent="0.3"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2</v>
      </c>
      <c r="S13">
        <f>SUM(I13:R13)</f>
        <v>26</v>
      </c>
      <c r="T13" s="1" t="s">
        <v>318</v>
      </c>
    </row>
    <row r="14" spans="5:20" x14ac:dyDescent="0.3"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2</v>
      </c>
      <c r="S14">
        <f>SUM(I14:R14)</f>
        <v>30</v>
      </c>
      <c r="T14" s="1" t="s">
        <v>319</v>
      </c>
    </row>
    <row r="18" spans="10:11" x14ac:dyDescent="0.3">
      <c r="K18" t="s">
        <v>320</v>
      </c>
    </row>
    <row r="20" spans="10:11" x14ac:dyDescent="0.3">
      <c r="J20">
        <v>1</v>
      </c>
      <c r="K20" t="s">
        <v>321</v>
      </c>
    </row>
    <row r="21" spans="10:11" x14ac:dyDescent="0.3">
      <c r="J21">
        <v>2</v>
      </c>
      <c r="K21" t="s">
        <v>322</v>
      </c>
    </row>
    <row r="22" spans="10:11" x14ac:dyDescent="0.3">
      <c r="J22">
        <v>3</v>
      </c>
      <c r="K22" t="s">
        <v>323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90DB-02CF-415E-94B9-72C9669F18A9}">
  <dimension ref="D5:F47"/>
  <sheetViews>
    <sheetView workbookViewId="0">
      <selection activeCell="D25" sqref="D25"/>
    </sheetView>
  </sheetViews>
  <sheetFormatPr baseColWidth="10" defaultRowHeight="14.4" x14ac:dyDescent="0.3"/>
  <sheetData>
    <row r="5" spans="4:5" x14ac:dyDescent="0.3">
      <c r="E5" t="s">
        <v>427</v>
      </c>
    </row>
    <row r="6" spans="4:5" x14ac:dyDescent="0.3">
      <c r="E6" t="s">
        <v>132</v>
      </c>
    </row>
    <row r="7" spans="4:5" x14ac:dyDescent="0.3">
      <c r="E7" t="s">
        <v>428</v>
      </c>
    </row>
    <row r="8" spans="4:5" x14ac:dyDescent="0.3">
      <c r="E8" t="s">
        <v>157</v>
      </c>
    </row>
    <row r="9" spans="4:5" x14ac:dyDescent="0.3">
      <c r="E9" t="s">
        <v>429</v>
      </c>
    </row>
    <row r="12" spans="4:5" x14ac:dyDescent="0.3">
      <c r="E12" t="s">
        <v>132</v>
      </c>
    </row>
    <row r="13" spans="4:5" x14ac:dyDescent="0.3">
      <c r="D13" t="s">
        <v>272</v>
      </c>
      <c r="E13" t="s">
        <v>430</v>
      </c>
    </row>
    <row r="14" spans="4:5" x14ac:dyDescent="0.3">
      <c r="D14" t="s">
        <v>196</v>
      </c>
      <c r="E14" t="s">
        <v>431</v>
      </c>
    </row>
    <row r="15" spans="4:5" x14ac:dyDescent="0.3">
      <c r="D15" t="s">
        <v>432</v>
      </c>
      <c r="E15">
        <v>365</v>
      </c>
    </row>
    <row r="16" spans="4:5" x14ac:dyDescent="0.3">
      <c r="D16" t="s">
        <v>391</v>
      </c>
      <c r="E16" t="s">
        <v>433</v>
      </c>
    </row>
    <row r="17" spans="4:6" x14ac:dyDescent="0.3">
      <c r="D17" t="s">
        <v>434</v>
      </c>
      <c r="E17">
        <v>30.4</v>
      </c>
    </row>
    <row r="18" spans="4:6" x14ac:dyDescent="0.3">
      <c r="D18" s="1" t="s">
        <v>155</v>
      </c>
      <c r="E18" s="1" t="s">
        <v>435</v>
      </c>
      <c r="F18" s="1"/>
    </row>
    <row r="20" spans="4:6" x14ac:dyDescent="0.3">
      <c r="D20" s="1" t="s">
        <v>436</v>
      </c>
    </row>
    <row r="22" spans="4:6" x14ac:dyDescent="0.3">
      <c r="E22" t="str">
        <f>+E18</f>
        <v>AGUINALDO MENSUALIZADO</v>
      </c>
    </row>
    <row r="23" spans="4:6" x14ac:dyDescent="0.3">
      <c r="D23" t="s">
        <v>76</v>
      </c>
      <c r="E23" t="s">
        <v>437</v>
      </c>
    </row>
    <row r="24" spans="4:6" x14ac:dyDescent="0.3">
      <c r="D24" t="s">
        <v>391</v>
      </c>
      <c r="E24" t="s">
        <v>438</v>
      </c>
    </row>
    <row r="25" spans="4:6" x14ac:dyDescent="0.3">
      <c r="E25" t="s">
        <v>439</v>
      </c>
    </row>
    <row r="26" spans="4:6" x14ac:dyDescent="0.3">
      <c r="D26" t="s">
        <v>155</v>
      </c>
      <c r="E26" t="s">
        <v>440</v>
      </c>
    </row>
    <row r="28" spans="4:6" x14ac:dyDescent="0.3">
      <c r="D28" s="1" t="s">
        <v>441</v>
      </c>
    </row>
    <row r="29" spans="4:6" x14ac:dyDescent="0.3">
      <c r="E29" t="s">
        <v>437</v>
      </c>
    </row>
    <row r="30" spans="4:6" x14ac:dyDescent="0.3">
      <c r="E30" t="s">
        <v>439</v>
      </c>
    </row>
    <row r="31" spans="4:6" x14ac:dyDescent="0.3">
      <c r="D31" t="s">
        <v>391</v>
      </c>
      <c r="E31" t="s">
        <v>442</v>
      </c>
    </row>
    <row r="34" spans="4:5" x14ac:dyDescent="0.3">
      <c r="E34" t="s">
        <v>443</v>
      </c>
    </row>
    <row r="35" spans="4:5" x14ac:dyDescent="0.3">
      <c r="D35" t="s">
        <v>272</v>
      </c>
      <c r="E35" t="s">
        <v>444</v>
      </c>
    </row>
    <row r="36" spans="4:5" x14ac:dyDescent="0.3">
      <c r="D36" t="s">
        <v>171</v>
      </c>
      <c r="E36" t="s">
        <v>445</v>
      </c>
    </row>
    <row r="38" spans="4:5" x14ac:dyDescent="0.3">
      <c r="D38" t="s">
        <v>446</v>
      </c>
    </row>
    <row r="40" spans="4:5" x14ac:dyDescent="0.3">
      <c r="E40" t="str">
        <f>+E36</f>
        <v>ISR 3 (DIFERENCIA)</v>
      </c>
    </row>
    <row r="41" spans="4:5" x14ac:dyDescent="0.3">
      <c r="D41" t="s">
        <v>432</v>
      </c>
      <c r="E41" t="str">
        <f>+E22</f>
        <v>AGUINALDO MENSUALIZADO</v>
      </c>
    </row>
    <row r="42" spans="4:5" x14ac:dyDescent="0.3">
      <c r="D42" t="s">
        <v>192</v>
      </c>
      <c r="E42" t="s">
        <v>447</v>
      </c>
    </row>
    <row r="45" spans="4:5" x14ac:dyDescent="0.3">
      <c r="E45" t="s">
        <v>431</v>
      </c>
    </row>
    <row r="46" spans="4:5" x14ac:dyDescent="0.3">
      <c r="D46" t="s">
        <v>434</v>
      </c>
      <c r="E46" t="s">
        <v>448</v>
      </c>
    </row>
    <row r="47" spans="4:5" x14ac:dyDescent="0.3">
      <c r="D47" t="s">
        <v>391</v>
      </c>
      <c r="E47" t="s">
        <v>449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8E88-4E97-4EE3-BAF7-C77512A4E751}">
  <dimension ref="B3:AJ80"/>
  <sheetViews>
    <sheetView topLeftCell="R48" workbookViewId="0">
      <selection activeCell="AD75" sqref="AD75"/>
    </sheetView>
  </sheetViews>
  <sheetFormatPr baseColWidth="10" defaultRowHeight="14.4" x14ac:dyDescent="0.3"/>
  <cols>
    <col min="4" max="4" width="42.6640625" customWidth="1"/>
    <col min="12" max="12" width="16.44140625" customWidth="1"/>
    <col min="22" max="22" width="20.21875" customWidth="1"/>
    <col min="23" max="23" width="24" customWidth="1"/>
  </cols>
  <sheetData>
    <row r="3" spans="2:16" x14ac:dyDescent="0.3">
      <c r="D3" s="1" t="s">
        <v>450</v>
      </c>
      <c r="H3" s="1" t="s">
        <v>324</v>
      </c>
    </row>
    <row r="4" spans="2:16" x14ac:dyDescent="0.3">
      <c r="K4" t="s">
        <v>328</v>
      </c>
      <c r="L4" t="s">
        <v>330</v>
      </c>
      <c r="M4" t="s">
        <v>457</v>
      </c>
    </row>
    <row r="5" spans="2:16" x14ac:dyDescent="0.3">
      <c r="K5" s="33" t="s">
        <v>325</v>
      </c>
      <c r="L5" s="33" t="s">
        <v>325</v>
      </c>
      <c r="M5" s="1" t="s">
        <v>325</v>
      </c>
    </row>
    <row r="6" spans="2:16" x14ac:dyDescent="0.3">
      <c r="E6" s="1" t="s">
        <v>326</v>
      </c>
      <c r="G6">
        <v>1</v>
      </c>
      <c r="H6" t="s">
        <v>327</v>
      </c>
      <c r="K6" s="1" t="s">
        <v>328</v>
      </c>
      <c r="L6" t="s">
        <v>329</v>
      </c>
      <c r="M6" t="s">
        <v>458</v>
      </c>
    </row>
    <row r="7" spans="2:16" x14ac:dyDescent="0.3">
      <c r="G7">
        <v>2</v>
      </c>
      <c r="H7" t="s">
        <v>456</v>
      </c>
      <c r="K7" s="1" t="s">
        <v>328</v>
      </c>
      <c r="L7" s="1" t="s">
        <v>330</v>
      </c>
      <c r="M7" t="s">
        <v>331</v>
      </c>
    </row>
    <row r="8" spans="2:16" x14ac:dyDescent="0.3">
      <c r="D8" s="1" t="s">
        <v>332</v>
      </c>
      <c r="G8">
        <v>3</v>
      </c>
      <c r="H8" t="s">
        <v>333</v>
      </c>
      <c r="K8" s="1" t="s">
        <v>328</v>
      </c>
      <c r="L8" t="s">
        <v>329</v>
      </c>
      <c r="M8" t="s">
        <v>331</v>
      </c>
    </row>
    <row r="9" spans="2:16" x14ac:dyDescent="0.3">
      <c r="G9">
        <v>4</v>
      </c>
      <c r="H9" t="s">
        <v>334</v>
      </c>
      <c r="K9" s="1" t="s">
        <v>328</v>
      </c>
      <c r="L9" s="1" t="s">
        <v>330</v>
      </c>
      <c r="M9" t="s">
        <v>331</v>
      </c>
    </row>
    <row r="11" spans="2:16" x14ac:dyDescent="0.3">
      <c r="B11" s="1" t="s">
        <v>335</v>
      </c>
      <c r="D11" s="2" t="s">
        <v>328</v>
      </c>
      <c r="E11" t="s">
        <v>336</v>
      </c>
    </row>
    <row r="12" spans="2:16" x14ac:dyDescent="0.3">
      <c r="D12" t="s">
        <v>337</v>
      </c>
    </row>
    <row r="13" spans="2:16" x14ac:dyDescent="0.3">
      <c r="D13" t="s">
        <v>338</v>
      </c>
      <c r="O13" s="1" t="s">
        <v>339</v>
      </c>
    </row>
    <row r="14" spans="2:16" x14ac:dyDescent="0.3">
      <c r="B14" s="1" t="s">
        <v>24</v>
      </c>
      <c r="D14" t="s">
        <v>340</v>
      </c>
    </row>
    <row r="15" spans="2:16" x14ac:dyDescent="0.3">
      <c r="D15" t="s">
        <v>451</v>
      </c>
      <c r="N15" s="1" t="s">
        <v>461</v>
      </c>
      <c r="O15" t="s">
        <v>328</v>
      </c>
      <c r="P15" t="s">
        <v>460</v>
      </c>
    </row>
    <row r="16" spans="2:16" x14ac:dyDescent="0.3">
      <c r="D16" t="s">
        <v>341</v>
      </c>
    </row>
    <row r="17" spans="2:25" x14ac:dyDescent="0.3">
      <c r="D17" t="s">
        <v>342</v>
      </c>
    </row>
    <row r="19" spans="2:25" x14ac:dyDescent="0.3">
      <c r="P19" t="s">
        <v>343</v>
      </c>
    </row>
    <row r="20" spans="2:25" x14ac:dyDescent="0.3">
      <c r="D20" s="2" t="s">
        <v>344</v>
      </c>
      <c r="E20" t="s">
        <v>345</v>
      </c>
      <c r="N20" s="1" t="s">
        <v>448</v>
      </c>
      <c r="O20" s="1" t="s">
        <v>346</v>
      </c>
      <c r="P20" s="18">
        <v>100000</v>
      </c>
    </row>
    <row r="21" spans="2:25" x14ac:dyDescent="0.3">
      <c r="B21" s="1" t="s">
        <v>24</v>
      </c>
      <c r="D21" t="s">
        <v>347</v>
      </c>
      <c r="E21" t="s">
        <v>348</v>
      </c>
      <c r="O21" s="1"/>
    </row>
    <row r="22" spans="2:25" x14ac:dyDescent="0.3">
      <c r="B22" s="1" t="s">
        <v>349</v>
      </c>
      <c r="E22" t="s">
        <v>453</v>
      </c>
      <c r="N22" t="s">
        <v>462</v>
      </c>
      <c r="O22" s="1"/>
      <c r="T22" s="1" t="s">
        <v>350</v>
      </c>
    </row>
    <row r="23" spans="2:25" x14ac:dyDescent="0.3">
      <c r="N23" t="s">
        <v>434</v>
      </c>
      <c r="O23" s="1"/>
    </row>
    <row r="24" spans="2:25" x14ac:dyDescent="0.3">
      <c r="N24" t="s">
        <v>463</v>
      </c>
      <c r="O24" s="1"/>
    </row>
    <row r="25" spans="2:25" x14ac:dyDescent="0.3">
      <c r="D25" s="2" t="s">
        <v>351</v>
      </c>
      <c r="E25" t="s">
        <v>452</v>
      </c>
      <c r="N25" t="s">
        <v>61</v>
      </c>
      <c r="O25" s="1" t="s">
        <v>352</v>
      </c>
      <c r="P25" s="18">
        <v>200000</v>
      </c>
    </row>
    <row r="26" spans="2:25" x14ac:dyDescent="0.3">
      <c r="E26" t="s">
        <v>454</v>
      </c>
      <c r="V26" s="1" t="s">
        <v>353</v>
      </c>
    </row>
    <row r="27" spans="2:25" x14ac:dyDescent="0.3">
      <c r="D27" s="1" t="s">
        <v>354</v>
      </c>
      <c r="Q27" s="1" t="s">
        <v>229</v>
      </c>
      <c r="R27" s="1" t="s">
        <v>230</v>
      </c>
      <c r="T27" t="s">
        <v>355</v>
      </c>
    </row>
    <row r="28" spans="2:25" x14ac:dyDescent="0.3">
      <c r="D28" t="s">
        <v>356</v>
      </c>
      <c r="M28" s="1" t="s">
        <v>357</v>
      </c>
      <c r="N28" s="1"/>
      <c r="O28" s="1"/>
      <c r="P28" s="18">
        <f>SUM(P20:P27)</f>
        <v>300000</v>
      </c>
      <c r="Q28" s="21">
        <f>+O40</f>
        <v>56019.6</v>
      </c>
      <c r="R28" s="34">
        <f>+P28-Q28</f>
        <v>243980.4</v>
      </c>
      <c r="S28" s="7" t="s">
        <v>78</v>
      </c>
      <c r="T28">
        <f>+Y44</f>
        <v>0.11333333333333333</v>
      </c>
      <c r="U28" t="s">
        <v>358</v>
      </c>
      <c r="V28" s="35">
        <f>+R28*T28</f>
        <v>27651.111999999997</v>
      </c>
      <c r="W28" t="s">
        <v>465</v>
      </c>
      <c r="Y28" s="1" t="s">
        <v>472</v>
      </c>
    </row>
    <row r="29" spans="2:25" x14ac:dyDescent="0.3">
      <c r="B29" s="1" t="s">
        <v>455</v>
      </c>
      <c r="D29" s="1" t="s">
        <v>360</v>
      </c>
      <c r="M29" t="s">
        <v>361</v>
      </c>
      <c r="W29" t="s">
        <v>466</v>
      </c>
    </row>
    <row r="30" spans="2:25" x14ac:dyDescent="0.3">
      <c r="W30" t="s">
        <v>467</v>
      </c>
    </row>
    <row r="31" spans="2:25" x14ac:dyDescent="0.3">
      <c r="D31" s="1" t="s">
        <v>362</v>
      </c>
      <c r="M31">
        <v>1</v>
      </c>
      <c r="O31" t="s">
        <v>363</v>
      </c>
    </row>
    <row r="32" spans="2:25" x14ac:dyDescent="0.3">
      <c r="D32" t="s">
        <v>364</v>
      </c>
      <c r="M32">
        <v>2</v>
      </c>
      <c r="O32" t="s">
        <v>363</v>
      </c>
    </row>
    <row r="33" spans="3:28" x14ac:dyDescent="0.3">
      <c r="D33" t="s">
        <v>365</v>
      </c>
      <c r="M33">
        <v>3</v>
      </c>
      <c r="O33" t="s">
        <v>363</v>
      </c>
      <c r="AB33" t="s">
        <v>366</v>
      </c>
    </row>
    <row r="34" spans="3:28" x14ac:dyDescent="0.3">
      <c r="D34" s="1" t="s">
        <v>360</v>
      </c>
      <c r="M34">
        <v>4</v>
      </c>
      <c r="O34" t="s">
        <v>363</v>
      </c>
      <c r="AB34" t="s">
        <v>367</v>
      </c>
    </row>
    <row r="35" spans="3:28" x14ac:dyDescent="0.3">
      <c r="M35">
        <v>5</v>
      </c>
      <c r="O35" t="s">
        <v>363</v>
      </c>
      <c r="X35" s="36"/>
      <c r="AB35" s="18">
        <v>20000</v>
      </c>
    </row>
    <row r="36" spans="3:28" x14ac:dyDescent="0.3">
      <c r="D36" s="1" t="s">
        <v>368</v>
      </c>
      <c r="M36" t="s">
        <v>369</v>
      </c>
      <c r="O36" t="s">
        <v>363</v>
      </c>
    </row>
    <row r="37" spans="3:28" x14ac:dyDescent="0.3">
      <c r="D37" t="s">
        <v>370</v>
      </c>
    </row>
    <row r="38" spans="3:28" x14ac:dyDescent="0.3">
      <c r="D38" s="1" t="s">
        <v>360</v>
      </c>
      <c r="M38" t="s">
        <v>371</v>
      </c>
      <c r="O38" t="s">
        <v>372</v>
      </c>
      <c r="X38" t="s">
        <v>373</v>
      </c>
    </row>
    <row r="39" spans="3:28" x14ac:dyDescent="0.3">
      <c r="M39" t="s">
        <v>374</v>
      </c>
      <c r="O39" s="21">
        <v>103.74</v>
      </c>
    </row>
    <row r="40" spans="3:28" x14ac:dyDescent="0.3">
      <c r="D40" s="1" t="s">
        <v>375</v>
      </c>
      <c r="M40" t="s">
        <v>376</v>
      </c>
      <c r="O40" s="20">
        <f>540*O39</f>
        <v>56019.6</v>
      </c>
      <c r="U40" t="s">
        <v>377</v>
      </c>
      <c r="X40" s="18">
        <v>15000</v>
      </c>
    </row>
    <row r="41" spans="3:28" x14ac:dyDescent="0.3">
      <c r="D41" s="1" t="s">
        <v>378</v>
      </c>
      <c r="U41" t="s">
        <v>379</v>
      </c>
      <c r="X41">
        <v>1700</v>
      </c>
    </row>
    <row r="42" spans="3:28" x14ac:dyDescent="0.3">
      <c r="D42" s="1" t="s">
        <v>380</v>
      </c>
    </row>
    <row r="44" spans="3:28" x14ac:dyDescent="0.3">
      <c r="D44" s="1" t="s">
        <v>381</v>
      </c>
      <c r="E44" s="1" t="s">
        <v>382</v>
      </c>
      <c r="V44" s="1" t="s">
        <v>383</v>
      </c>
      <c r="W44" s="6" t="s">
        <v>379</v>
      </c>
      <c r="X44">
        <f>+X41</f>
        <v>1700</v>
      </c>
      <c r="Y44" s="1">
        <f>+X44/X45</f>
        <v>0.11333333333333333</v>
      </c>
      <c r="Z44" t="s">
        <v>464</v>
      </c>
      <c r="AA44">
        <f>+Y44*100</f>
        <v>11.333333333333332</v>
      </c>
    </row>
    <row r="45" spans="3:28" x14ac:dyDescent="0.3">
      <c r="W45" t="s">
        <v>367</v>
      </c>
      <c r="X45" s="16">
        <f>+X40</f>
        <v>15000</v>
      </c>
    </row>
    <row r="46" spans="3:28" x14ac:dyDescent="0.3">
      <c r="C46">
        <v>1</v>
      </c>
      <c r="D46" t="s">
        <v>384</v>
      </c>
      <c r="E46" t="s">
        <v>24</v>
      </c>
    </row>
    <row r="47" spans="3:28" x14ac:dyDescent="0.3">
      <c r="C47">
        <v>2</v>
      </c>
      <c r="D47" t="s">
        <v>344</v>
      </c>
      <c r="E47" t="s">
        <v>385</v>
      </c>
    </row>
    <row r="48" spans="3:28" x14ac:dyDescent="0.3">
      <c r="C48">
        <v>3</v>
      </c>
      <c r="D48" t="s">
        <v>386</v>
      </c>
      <c r="E48" t="s">
        <v>359</v>
      </c>
    </row>
    <row r="49" spans="4:36" x14ac:dyDescent="0.3">
      <c r="T49" s="2" t="s">
        <v>387</v>
      </c>
      <c r="U49" s="4"/>
      <c r="V49" s="4"/>
      <c r="W49" s="4"/>
      <c r="X49" s="4"/>
    </row>
    <row r="50" spans="4:36" x14ac:dyDescent="0.3">
      <c r="D50" s="2" t="s">
        <v>388</v>
      </c>
      <c r="E50" s="4"/>
      <c r="F50" s="4"/>
      <c r="G50" s="4"/>
      <c r="H50" s="4"/>
      <c r="I50" s="4"/>
      <c r="J50" s="4"/>
    </row>
    <row r="51" spans="4:36" x14ac:dyDescent="0.3">
      <c r="D51" t="s">
        <v>459</v>
      </c>
      <c r="T51" t="s">
        <v>357</v>
      </c>
      <c r="W51" s="16">
        <f>+P28</f>
        <v>300000</v>
      </c>
    </row>
    <row r="52" spans="4:36" x14ac:dyDescent="0.3">
      <c r="D52" t="s">
        <v>389</v>
      </c>
      <c r="S52" t="s">
        <v>272</v>
      </c>
      <c r="T52" t="s">
        <v>390</v>
      </c>
      <c r="W52" s="21">
        <f>+Q28</f>
        <v>56019.6</v>
      </c>
    </row>
    <row r="53" spans="4:36" x14ac:dyDescent="0.3">
      <c r="S53" t="s">
        <v>391</v>
      </c>
      <c r="T53" s="1" t="s">
        <v>392</v>
      </c>
      <c r="W53" s="37">
        <f>+W51-W52</f>
        <v>243980.4</v>
      </c>
    </row>
    <row r="54" spans="4:36" x14ac:dyDescent="0.3">
      <c r="S54" t="s">
        <v>272</v>
      </c>
      <c r="T54" t="s">
        <v>367</v>
      </c>
      <c r="W54" s="18">
        <v>20000</v>
      </c>
      <c r="X54" t="s">
        <v>469</v>
      </c>
      <c r="AA54" t="s">
        <v>393</v>
      </c>
    </row>
    <row r="55" spans="4:36" x14ac:dyDescent="0.3">
      <c r="S55" t="s">
        <v>391</v>
      </c>
      <c r="T55" t="s">
        <v>394</v>
      </c>
      <c r="W55" s="37">
        <f>+W53-W54</f>
        <v>223980.4</v>
      </c>
      <c r="X55" t="s">
        <v>468</v>
      </c>
      <c r="AA55" t="s">
        <v>396</v>
      </c>
    </row>
    <row r="57" spans="4:36" x14ac:dyDescent="0.3">
      <c r="AA57" t="s">
        <v>397</v>
      </c>
    </row>
    <row r="60" spans="4:36" x14ac:dyDescent="0.3">
      <c r="U60" t="s">
        <v>357</v>
      </c>
      <c r="X60" s="16">
        <f>+W51</f>
        <v>300000</v>
      </c>
      <c r="AF60" t="s">
        <v>398</v>
      </c>
    </row>
    <row r="61" spans="4:36" x14ac:dyDescent="0.3">
      <c r="T61" t="s">
        <v>272</v>
      </c>
      <c r="U61" t="s">
        <v>399</v>
      </c>
      <c r="X61" s="21">
        <f>+W52</f>
        <v>56019.6</v>
      </c>
      <c r="AF61" t="s">
        <v>400</v>
      </c>
      <c r="AI61" s="16">
        <v>280000</v>
      </c>
      <c r="AJ61" t="s">
        <v>470</v>
      </c>
    </row>
    <row r="62" spans="4:36" x14ac:dyDescent="0.3">
      <c r="T62" t="s">
        <v>391</v>
      </c>
      <c r="U62" s="1" t="s">
        <v>392</v>
      </c>
      <c r="X62" s="38">
        <f>+X60-X61</f>
        <v>243980.4</v>
      </c>
      <c r="AF62" t="s">
        <v>401</v>
      </c>
      <c r="AI62" s="16">
        <v>100000</v>
      </c>
    </row>
    <row r="63" spans="4:36" x14ac:dyDescent="0.3">
      <c r="AF63" t="s">
        <v>402</v>
      </c>
      <c r="AI63" s="16">
        <f>+AI61+AI62</f>
        <v>380000</v>
      </c>
    </row>
    <row r="64" spans="4:36" x14ac:dyDescent="0.3">
      <c r="AE64" t="s">
        <v>76</v>
      </c>
      <c r="AF64" t="s">
        <v>403</v>
      </c>
      <c r="AI64" s="18">
        <v>20000</v>
      </c>
    </row>
    <row r="65" spans="19:36" x14ac:dyDescent="0.3">
      <c r="X65" t="s">
        <v>404</v>
      </c>
      <c r="Z65" t="s">
        <v>405</v>
      </c>
      <c r="AA65" t="s">
        <v>406</v>
      </c>
      <c r="AE65" t="s">
        <v>155</v>
      </c>
      <c r="AF65" s="1" t="s">
        <v>407</v>
      </c>
      <c r="AG65" s="1"/>
      <c r="AH65" s="1"/>
      <c r="AI65" s="18">
        <f>+AI63+AI64</f>
        <v>400000</v>
      </c>
      <c r="AJ65" s="1" t="s">
        <v>471</v>
      </c>
    </row>
    <row r="66" spans="19:36" x14ac:dyDescent="0.3">
      <c r="X66" t="s">
        <v>408</v>
      </c>
      <c r="AF66" t="s">
        <v>409</v>
      </c>
      <c r="AI66" s="21">
        <v>374837.89</v>
      </c>
    </row>
    <row r="67" spans="19:36" x14ac:dyDescent="0.3">
      <c r="AF67" t="s">
        <v>410</v>
      </c>
      <c r="AI67" s="16">
        <f>+AI65-AI66</f>
        <v>25162.109999999986</v>
      </c>
    </row>
    <row r="68" spans="19:36" x14ac:dyDescent="0.3">
      <c r="U68" s="1" t="s">
        <v>395</v>
      </c>
      <c r="X68" s="1" t="s">
        <v>411</v>
      </c>
      <c r="AF68" t="s">
        <v>355</v>
      </c>
      <c r="AI68" s="30">
        <v>0.23519999999999999</v>
      </c>
    </row>
    <row r="69" spans="19:36" x14ac:dyDescent="0.3">
      <c r="U69" s="37">
        <f>+X62-X69</f>
        <v>223980.4</v>
      </c>
      <c r="X69" s="18">
        <v>20000</v>
      </c>
      <c r="AF69" t="s">
        <v>412</v>
      </c>
      <c r="AI69">
        <f>+AI67*AI68</f>
        <v>5918.1282719999963</v>
      </c>
    </row>
    <row r="70" spans="19:36" x14ac:dyDescent="0.3">
      <c r="T70" t="s">
        <v>413</v>
      </c>
      <c r="U70">
        <f>+AJ75</f>
        <v>0.16491882067999999</v>
      </c>
      <c r="AF70" t="s">
        <v>414</v>
      </c>
      <c r="AI70">
        <v>60049.4</v>
      </c>
    </row>
    <row r="71" spans="19:36" x14ac:dyDescent="0.3">
      <c r="S71" t="s">
        <v>415</v>
      </c>
      <c r="U71" s="1">
        <f>+U69*U70</f>
        <v>36938.583423434669</v>
      </c>
      <c r="AF71" s="1" t="s">
        <v>416</v>
      </c>
      <c r="AG71" s="1"/>
      <c r="AH71" s="1"/>
      <c r="AI71" s="22">
        <f>+AI69+AI70</f>
        <v>65967.528271999996</v>
      </c>
    </row>
    <row r="74" spans="19:36" x14ac:dyDescent="0.3">
      <c r="W74" t="s">
        <v>417</v>
      </c>
    </row>
    <row r="75" spans="19:36" x14ac:dyDescent="0.3">
      <c r="U75" t="s">
        <v>418</v>
      </c>
      <c r="W75" s="5">
        <f>+AI71</f>
        <v>65967.528271999996</v>
      </c>
      <c r="AF75" s="1" t="s">
        <v>383</v>
      </c>
      <c r="AG75" s="6" t="s">
        <v>419</v>
      </c>
      <c r="AI75" s="22">
        <f>+AI71</f>
        <v>65967.528271999996</v>
      </c>
      <c r="AJ75" s="1">
        <f>+AI75/AI76</f>
        <v>0.16491882067999999</v>
      </c>
    </row>
    <row r="76" spans="19:36" x14ac:dyDescent="0.3">
      <c r="T76" t="s">
        <v>76</v>
      </c>
      <c r="U76" t="s">
        <v>420</v>
      </c>
      <c r="W76" s="5">
        <f>+U71</f>
        <v>36938.583423434669</v>
      </c>
      <c r="AG76" t="s">
        <v>421</v>
      </c>
      <c r="AH76" s="16"/>
      <c r="AI76" s="16">
        <f>+AI65</f>
        <v>400000</v>
      </c>
    </row>
    <row r="77" spans="19:36" x14ac:dyDescent="0.3">
      <c r="T77" t="s">
        <v>171</v>
      </c>
      <c r="U77" t="s">
        <v>422</v>
      </c>
      <c r="W77" s="22">
        <f>+W75+W76</f>
        <v>102906.11169543467</v>
      </c>
    </row>
    <row r="78" spans="19:36" x14ac:dyDescent="0.3">
      <c r="T78" t="s">
        <v>272</v>
      </c>
      <c r="U78" t="s">
        <v>423</v>
      </c>
    </row>
    <row r="79" spans="19:36" x14ac:dyDescent="0.3">
      <c r="T79" t="s">
        <v>272</v>
      </c>
      <c r="U79" t="s">
        <v>424</v>
      </c>
    </row>
    <row r="80" spans="19:36" x14ac:dyDescent="0.3">
      <c r="T80" t="s">
        <v>425</v>
      </c>
      <c r="U80" t="s">
        <v>426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1390-7CE8-45EB-9082-6FBCD00324D0}">
  <dimension ref="B4:K25"/>
  <sheetViews>
    <sheetView workbookViewId="0">
      <selection activeCell="I22" sqref="I22"/>
    </sheetView>
  </sheetViews>
  <sheetFormatPr baseColWidth="10" defaultRowHeight="14.4" x14ac:dyDescent="0.3"/>
  <cols>
    <col min="5" max="5" width="15.77734375" bestFit="1" customWidth="1"/>
  </cols>
  <sheetData>
    <row r="4" spans="2:11" x14ac:dyDescent="0.3">
      <c r="E4" t="s">
        <v>474</v>
      </c>
    </row>
    <row r="5" spans="2:11" x14ac:dyDescent="0.3">
      <c r="E5" t="s">
        <v>473</v>
      </c>
      <c r="F5" s="16">
        <v>400000</v>
      </c>
    </row>
    <row r="6" spans="2:11" x14ac:dyDescent="0.3">
      <c r="E6" t="s">
        <v>475</v>
      </c>
      <c r="F6" s="16">
        <v>200000</v>
      </c>
    </row>
    <row r="7" spans="2:11" x14ac:dyDescent="0.3">
      <c r="E7" t="s">
        <v>476</v>
      </c>
      <c r="F7" s="16">
        <v>300000</v>
      </c>
    </row>
    <row r="8" spans="2:11" x14ac:dyDescent="0.3">
      <c r="E8" t="s">
        <v>477</v>
      </c>
      <c r="F8" s="16">
        <f>+F5-F6</f>
        <v>200000</v>
      </c>
    </row>
    <row r="11" spans="2:11" x14ac:dyDescent="0.3">
      <c r="E11" t="s">
        <v>478</v>
      </c>
      <c r="I11" t="s">
        <v>479</v>
      </c>
    </row>
    <row r="13" spans="2:11" x14ac:dyDescent="0.3">
      <c r="C13" t="s">
        <v>473</v>
      </c>
      <c r="E13" s="16">
        <v>400000</v>
      </c>
      <c r="I13" s="1" t="s">
        <v>488</v>
      </c>
      <c r="K13" s="16">
        <v>175000</v>
      </c>
    </row>
    <row r="14" spans="2:11" x14ac:dyDescent="0.3">
      <c r="B14" t="s">
        <v>272</v>
      </c>
      <c r="C14" t="s">
        <v>480</v>
      </c>
      <c r="E14" s="16">
        <v>200000</v>
      </c>
      <c r="H14" t="s">
        <v>272</v>
      </c>
      <c r="I14" t="s">
        <v>480</v>
      </c>
      <c r="K14" s="16">
        <v>175000</v>
      </c>
    </row>
    <row r="15" spans="2:11" x14ac:dyDescent="0.3">
      <c r="B15" t="s">
        <v>196</v>
      </c>
      <c r="C15" t="s">
        <v>481</v>
      </c>
      <c r="E15" s="16">
        <f>+E13-E14</f>
        <v>200000</v>
      </c>
      <c r="H15" t="s">
        <v>196</v>
      </c>
      <c r="I15" t="s">
        <v>489</v>
      </c>
      <c r="K15" s="16">
        <f>+K13-K14</f>
        <v>0</v>
      </c>
    </row>
    <row r="17" spans="2:11" x14ac:dyDescent="0.3">
      <c r="C17" t="s">
        <v>476</v>
      </c>
      <c r="E17" s="16">
        <v>300000</v>
      </c>
      <c r="I17" t="s">
        <v>476</v>
      </c>
      <c r="K17" s="16">
        <v>300000</v>
      </c>
    </row>
    <row r="18" spans="2:11" x14ac:dyDescent="0.3">
      <c r="B18" t="s">
        <v>272</v>
      </c>
      <c r="C18" t="s">
        <v>481</v>
      </c>
      <c r="E18" s="16">
        <f>+E15</f>
        <v>200000</v>
      </c>
      <c r="H18" t="s">
        <v>272</v>
      </c>
      <c r="I18" t="s">
        <v>481</v>
      </c>
      <c r="K18" s="16">
        <f>+K15</f>
        <v>0</v>
      </c>
    </row>
    <row r="19" spans="2:11" x14ac:dyDescent="0.3">
      <c r="B19" t="s">
        <v>155</v>
      </c>
      <c r="C19" t="s">
        <v>482</v>
      </c>
      <c r="E19" s="16">
        <f>+E17-E18</f>
        <v>100000</v>
      </c>
      <c r="H19" t="s">
        <v>155</v>
      </c>
      <c r="I19" t="s">
        <v>490</v>
      </c>
      <c r="K19" s="18">
        <f>+K17-K18</f>
        <v>300000</v>
      </c>
    </row>
    <row r="21" spans="2:11" x14ac:dyDescent="0.3">
      <c r="E21" t="s">
        <v>484</v>
      </c>
      <c r="F21" t="s">
        <v>485</v>
      </c>
    </row>
    <row r="22" spans="2:11" x14ac:dyDescent="0.3">
      <c r="C22" t="s">
        <v>491</v>
      </c>
      <c r="D22" t="s">
        <v>483</v>
      </c>
      <c r="E22" s="16">
        <v>300000</v>
      </c>
    </row>
    <row r="23" spans="2:11" x14ac:dyDescent="0.3">
      <c r="C23" t="s">
        <v>491</v>
      </c>
      <c r="D23" t="s">
        <v>475</v>
      </c>
      <c r="E23" s="16">
        <f>+F6</f>
        <v>200000</v>
      </c>
    </row>
    <row r="24" spans="2:11" x14ac:dyDescent="0.3">
      <c r="C24" t="s">
        <v>491</v>
      </c>
      <c r="D24" t="s">
        <v>486</v>
      </c>
      <c r="F24" s="16">
        <v>400000</v>
      </c>
    </row>
    <row r="25" spans="2:11" x14ac:dyDescent="0.3">
      <c r="C25" t="s">
        <v>492</v>
      </c>
      <c r="D25" t="s">
        <v>487</v>
      </c>
      <c r="F25" s="16">
        <f>+E19</f>
        <v>100000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855B-DB88-43F1-B8E1-59380CAE18DD}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026E-D893-4798-8E32-F59CCF86BBD6}">
  <dimension ref="B4:R51"/>
  <sheetViews>
    <sheetView topLeftCell="A29" workbookViewId="0">
      <selection activeCell="E37" sqref="E37"/>
    </sheetView>
  </sheetViews>
  <sheetFormatPr baseColWidth="10" defaultRowHeight="14.4" x14ac:dyDescent="0.3"/>
  <cols>
    <col min="2" max="2" width="13.21875" bestFit="1" customWidth="1"/>
    <col min="3" max="3" width="66.77734375" bestFit="1" customWidth="1"/>
    <col min="4" max="4" width="14.21875" customWidth="1"/>
  </cols>
  <sheetData>
    <row r="4" spans="3:5" x14ac:dyDescent="0.3">
      <c r="C4" s="2" t="s">
        <v>493</v>
      </c>
    </row>
    <row r="5" spans="3:5" x14ac:dyDescent="0.3">
      <c r="C5" t="s">
        <v>494</v>
      </c>
      <c r="E5" s="1" t="s">
        <v>495</v>
      </c>
    </row>
    <row r="9" spans="3:5" x14ac:dyDescent="0.3">
      <c r="C9" s="1" t="s">
        <v>496</v>
      </c>
    </row>
    <row r="11" spans="3:5" x14ac:dyDescent="0.3">
      <c r="C11" t="s">
        <v>497</v>
      </c>
      <c r="D11">
        <v>200</v>
      </c>
    </row>
    <row r="12" spans="3:5" x14ac:dyDescent="0.3">
      <c r="C12" t="s">
        <v>498</v>
      </c>
      <c r="D12">
        <v>25</v>
      </c>
    </row>
    <row r="13" spans="3:5" x14ac:dyDescent="0.3">
      <c r="C13" t="s">
        <v>499</v>
      </c>
      <c r="D13">
        <v>12</v>
      </c>
    </row>
    <row r="14" spans="3:5" x14ac:dyDescent="0.3">
      <c r="C14" t="s">
        <v>500</v>
      </c>
      <c r="D14" s="8">
        <v>0.3</v>
      </c>
    </row>
    <row r="17" spans="2:18" x14ac:dyDescent="0.3">
      <c r="C17" s="1" t="s">
        <v>501</v>
      </c>
      <c r="E17" t="s">
        <v>154</v>
      </c>
      <c r="O17" t="s">
        <v>502</v>
      </c>
      <c r="P17" t="s">
        <v>503</v>
      </c>
      <c r="Q17" t="s">
        <v>504</v>
      </c>
    </row>
    <row r="18" spans="2:18" x14ac:dyDescent="0.3">
      <c r="O18" t="s">
        <v>505</v>
      </c>
      <c r="Q18" t="s">
        <v>506</v>
      </c>
    </row>
    <row r="19" spans="2:18" x14ac:dyDescent="0.3">
      <c r="B19" t="s">
        <v>132</v>
      </c>
      <c r="C19" t="s">
        <v>507</v>
      </c>
      <c r="D19" t="s">
        <v>508</v>
      </c>
      <c r="E19">
        <f>25/365</f>
        <v>6.8493150684931503E-2</v>
      </c>
      <c r="H19" t="s">
        <v>509</v>
      </c>
      <c r="J19" t="s">
        <v>510</v>
      </c>
      <c r="M19" t="s">
        <v>511</v>
      </c>
      <c r="O19">
        <f>25/365</f>
        <v>6.8493150684931503E-2</v>
      </c>
      <c r="P19">
        <f>4*52</f>
        <v>208</v>
      </c>
      <c r="Q19">
        <f>+O19*P19</f>
        <v>14.246575342465754</v>
      </c>
      <c r="R19">
        <f>+Q19/365</f>
        <v>3.9031713267029464E-2</v>
      </c>
    </row>
    <row r="20" spans="2:18" x14ac:dyDescent="0.3">
      <c r="B20" t="s">
        <v>512</v>
      </c>
      <c r="C20" t="s">
        <v>513</v>
      </c>
      <c r="D20" t="s">
        <v>537</v>
      </c>
      <c r="E20">
        <f>+(12*30%)/365</f>
        <v>9.8630136986301367E-3</v>
      </c>
    </row>
    <row r="21" spans="2:18" x14ac:dyDescent="0.3">
      <c r="B21" t="s">
        <v>514</v>
      </c>
      <c r="C21" t="s">
        <v>515</v>
      </c>
      <c r="D21" s="39" t="s">
        <v>516</v>
      </c>
      <c r="E21">
        <f>1/6</f>
        <v>0.16666666666666666</v>
      </c>
    </row>
    <row r="22" spans="2:18" x14ac:dyDescent="0.3">
      <c r="C22" s="1" t="s">
        <v>517</v>
      </c>
      <c r="D22" s="1"/>
      <c r="E22" s="1">
        <f>SUM(E19:E21)</f>
        <v>0.24502283105022829</v>
      </c>
    </row>
    <row r="24" spans="2:18" x14ac:dyDescent="0.3">
      <c r="C24" t="s">
        <v>518</v>
      </c>
      <c r="D24" t="s">
        <v>519</v>
      </c>
      <c r="E24">
        <f>+E22*D11</f>
        <v>49.00456621004566</v>
      </c>
      <c r="F24" t="s">
        <v>520</v>
      </c>
    </row>
    <row r="26" spans="2:18" x14ac:dyDescent="0.3">
      <c r="C26" t="s">
        <v>521</v>
      </c>
      <c r="E26">
        <v>200</v>
      </c>
    </row>
    <row r="27" spans="2:18" x14ac:dyDescent="0.3">
      <c r="D27" t="s">
        <v>76</v>
      </c>
      <c r="E27">
        <f>+E24</f>
        <v>49.00456621004566</v>
      </c>
    </row>
    <row r="28" spans="2:18" x14ac:dyDescent="0.3">
      <c r="D28" t="s">
        <v>522</v>
      </c>
      <c r="E28" s="1">
        <f>+E26+E27</f>
        <v>249.00456621004565</v>
      </c>
      <c r="F28" t="s">
        <v>523</v>
      </c>
    </row>
    <row r="29" spans="2:18" x14ac:dyDescent="0.3">
      <c r="C29" t="s">
        <v>524</v>
      </c>
      <c r="D29" t="s">
        <v>275</v>
      </c>
      <c r="E29">
        <v>3</v>
      </c>
      <c r="F29" t="s">
        <v>780</v>
      </c>
    </row>
    <row r="30" spans="2:18" x14ac:dyDescent="0.3">
      <c r="D30" t="s">
        <v>155</v>
      </c>
      <c r="E30">
        <f>+E28*E29</f>
        <v>747.01369863013701</v>
      </c>
      <c r="F30" t="s">
        <v>525</v>
      </c>
    </row>
    <row r="31" spans="2:18" x14ac:dyDescent="0.3">
      <c r="C31" t="s">
        <v>526</v>
      </c>
      <c r="D31" t="s">
        <v>432</v>
      </c>
      <c r="E31">
        <v>7</v>
      </c>
    </row>
    <row r="32" spans="2:18" x14ac:dyDescent="0.3">
      <c r="D32" s="4" t="s">
        <v>155</v>
      </c>
      <c r="E32" s="2">
        <f>+E30/E31</f>
        <v>106.71624266144815</v>
      </c>
      <c r="F32" s="4" t="s">
        <v>527</v>
      </c>
      <c r="G32" s="4"/>
    </row>
    <row r="36" spans="3:15" x14ac:dyDescent="0.3">
      <c r="C36" t="s">
        <v>528</v>
      </c>
      <c r="E36" s="1">
        <v>207.44</v>
      </c>
      <c r="J36">
        <v>15</v>
      </c>
      <c r="L36">
        <f>12*0.25</f>
        <v>3</v>
      </c>
      <c r="N36">
        <f>+H37+J36+L36</f>
        <v>383</v>
      </c>
    </row>
    <row r="37" spans="3:15" x14ac:dyDescent="0.3">
      <c r="D37" t="s">
        <v>275</v>
      </c>
      <c r="E37" s="1">
        <v>1.0492999999999999</v>
      </c>
      <c r="H37" s="6">
        <v>365</v>
      </c>
      <c r="I37" s="6" t="s">
        <v>124</v>
      </c>
      <c r="J37" s="6" t="s">
        <v>781</v>
      </c>
      <c r="K37" s="6" t="s">
        <v>124</v>
      </c>
      <c r="L37" s="6" t="s">
        <v>782</v>
      </c>
      <c r="O37" s="1">
        <f>+N36/N39</f>
        <v>1.0493150684931507</v>
      </c>
    </row>
    <row r="38" spans="3:15" x14ac:dyDescent="0.3">
      <c r="D38" s="4" t="s">
        <v>155</v>
      </c>
      <c r="E38" s="4">
        <f>+E36*E37</f>
        <v>217.66679199999999</v>
      </c>
      <c r="F38" s="4" t="s">
        <v>529</v>
      </c>
      <c r="J38">
        <v>365</v>
      </c>
    </row>
    <row r="39" spans="3:15" x14ac:dyDescent="0.3">
      <c r="N39">
        <v>365</v>
      </c>
    </row>
    <row r="41" spans="3:15" x14ac:dyDescent="0.3">
      <c r="C41" s="1" t="s">
        <v>530</v>
      </c>
      <c r="D41" s="1"/>
      <c r="E41" s="1"/>
      <c r="F41" s="1"/>
      <c r="G41" s="1"/>
    </row>
    <row r="45" spans="3:15" x14ac:dyDescent="0.3">
      <c r="C45" t="s">
        <v>534</v>
      </c>
    </row>
    <row r="47" spans="3:15" x14ac:dyDescent="0.3">
      <c r="C47" t="s">
        <v>531</v>
      </c>
    </row>
    <row r="48" spans="3:15" x14ac:dyDescent="0.3">
      <c r="C48" t="s">
        <v>535</v>
      </c>
    </row>
    <row r="49" spans="3:3" x14ac:dyDescent="0.3">
      <c r="C49" t="s">
        <v>536</v>
      </c>
    </row>
    <row r="50" spans="3:3" x14ac:dyDescent="0.3">
      <c r="C50" t="s">
        <v>532</v>
      </c>
    </row>
    <row r="51" spans="3:3" x14ac:dyDescent="0.3">
      <c r="C51" t="s">
        <v>533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2C77C-40B8-43AE-A961-57706C2BFF06}">
  <dimension ref="B2:O42"/>
  <sheetViews>
    <sheetView workbookViewId="0">
      <selection activeCell="E20" sqref="E20"/>
    </sheetView>
  </sheetViews>
  <sheetFormatPr baseColWidth="10" defaultRowHeight="14.4" x14ac:dyDescent="0.3"/>
  <sheetData>
    <row r="2" spans="4:15" x14ac:dyDescent="0.3">
      <c r="E2" t="s">
        <v>540</v>
      </c>
      <c r="F2" t="s">
        <v>541</v>
      </c>
      <c r="G2" t="s">
        <v>542</v>
      </c>
      <c r="I2" t="s">
        <v>543</v>
      </c>
    </row>
    <row r="3" spans="4:15" x14ac:dyDescent="0.3">
      <c r="D3" t="s">
        <v>538</v>
      </c>
      <c r="E3">
        <v>500</v>
      </c>
      <c r="F3">
        <v>500</v>
      </c>
      <c r="G3">
        <v>700</v>
      </c>
      <c r="I3">
        <v>200</v>
      </c>
      <c r="J3" t="s">
        <v>153</v>
      </c>
      <c r="K3">
        <v>59</v>
      </c>
      <c r="L3">
        <f>+I3*K3</f>
        <v>11800</v>
      </c>
      <c r="M3" t="s">
        <v>544</v>
      </c>
    </row>
    <row r="4" spans="4:15" x14ac:dyDescent="0.3">
      <c r="E4">
        <v>1.0492999999999999</v>
      </c>
      <c r="F4">
        <v>1.0492999999999999</v>
      </c>
    </row>
    <row r="5" spans="4:15" x14ac:dyDescent="0.3">
      <c r="D5" s="1" t="s">
        <v>539</v>
      </c>
      <c r="E5" s="1">
        <f>+E3*E4</f>
        <v>524.65</v>
      </c>
      <c r="F5" s="1">
        <f>+F3*F4</f>
        <v>524.65</v>
      </c>
    </row>
    <row r="8" spans="4:15" x14ac:dyDescent="0.3">
      <c r="D8" t="s">
        <v>538</v>
      </c>
      <c r="E8">
        <v>700</v>
      </c>
      <c r="F8">
        <v>700</v>
      </c>
    </row>
    <row r="9" spans="4:15" x14ac:dyDescent="0.3">
      <c r="E9">
        <v>1.0492999999999999</v>
      </c>
      <c r="F9">
        <v>1.0492999999999999</v>
      </c>
    </row>
    <row r="10" spans="4:15" x14ac:dyDescent="0.3">
      <c r="D10" s="1" t="s">
        <v>539</v>
      </c>
      <c r="E10" s="1">
        <f>+E8*E9</f>
        <v>734.50999999999988</v>
      </c>
      <c r="F10" s="1">
        <f>+F8*F9</f>
        <v>734.50999999999988</v>
      </c>
    </row>
    <row r="15" spans="4:15" x14ac:dyDescent="0.3">
      <c r="N15">
        <v>7000</v>
      </c>
      <c r="O15" t="s">
        <v>546</v>
      </c>
    </row>
    <row r="16" spans="4:15" x14ac:dyDescent="0.3">
      <c r="N16">
        <f>+N15/30</f>
        <v>233.33333333333334</v>
      </c>
      <c r="O16" t="s">
        <v>547</v>
      </c>
    </row>
    <row r="17" spans="2:14" x14ac:dyDescent="0.3">
      <c r="D17" t="s">
        <v>545</v>
      </c>
      <c r="F17" s="6">
        <v>365</v>
      </c>
      <c r="G17" s="6" t="s">
        <v>124</v>
      </c>
      <c r="H17" s="6">
        <v>20</v>
      </c>
      <c r="I17" s="6" t="s">
        <v>124</v>
      </c>
      <c r="J17" s="6">
        <f>14*0.3</f>
        <v>4.2</v>
      </c>
      <c r="K17">
        <f>+F17+H17+J17</f>
        <v>389.2</v>
      </c>
      <c r="L17">
        <f>+K17/K18</f>
        <v>1.0663013698630137</v>
      </c>
    </row>
    <row r="18" spans="2:14" x14ac:dyDescent="0.3">
      <c r="H18">
        <v>365</v>
      </c>
      <c r="K18">
        <v>365</v>
      </c>
    </row>
    <row r="19" spans="2:14" x14ac:dyDescent="0.3">
      <c r="M19">
        <f>+N16*L17</f>
        <v>248.80365296803654</v>
      </c>
      <c r="N19" t="s">
        <v>539</v>
      </c>
    </row>
    <row r="23" spans="2:14" x14ac:dyDescent="0.3">
      <c r="D23" t="s">
        <v>548</v>
      </c>
      <c r="E23" t="s">
        <v>549</v>
      </c>
      <c r="F23" t="s">
        <v>555</v>
      </c>
      <c r="G23" t="s">
        <v>556</v>
      </c>
      <c r="H23" t="s">
        <v>557</v>
      </c>
      <c r="I23" t="s">
        <v>558</v>
      </c>
    </row>
    <row r="25" spans="2:14" x14ac:dyDescent="0.3">
      <c r="B25" t="s">
        <v>24</v>
      </c>
      <c r="C25">
        <v>250</v>
      </c>
    </row>
    <row r="26" spans="2:14" x14ac:dyDescent="0.3">
      <c r="B26" t="s">
        <v>154</v>
      </c>
      <c r="C26">
        <v>1.0492999999999999</v>
      </c>
    </row>
    <row r="27" spans="2:14" x14ac:dyDescent="0.3">
      <c r="B27" s="1" t="s">
        <v>550</v>
      </c>
      <c r="C27" s="2">
        <f>+C25*C26</f>
        <v>262.32499999999999</v>
      </c>
      <c r="D27" s="4"/>
      <c r="E27" s="4"/>
    </row>
    <row r="29" spans="2:14" x14ac:dyDescent="0.3">
      <c r="B29" t="s">
        <v>551</v>
      </c>
      <c r="D29">
        <v>3000</v>
      </c>
      <c r="E29">
        <v>1000</v>
      </c>
      <c r="F29" s="72" t="s">
        <v>559</v>
      </c>
      <c r="G29" s="72"/>
    </row>
    <row r="30" spans="2:14" x14ac:dyDescent="0.3">
      <c r="B30" t="s">
        <v>552</v>
      </c>
      <c r="E30">
        <f>31+28</f>
        <v>59</v>
      </c>
    </row>
    <row r="31" spans="2:14" x14ac:dyDescent="0.3">
      <c r="B31" s="1" t="s">
        <v>553</v>
      </c>
      <c r="E31" s="1"/>
      <c r="F31" s="1">
        <f>4000/E30</f>
        <v>67.79661016949153</v>
      </c>
      <c r="H31">
        <v>0</v>
      </c>
    </row>
    <row r="33" spans="2:9" x14ac:dyDescent="0.3">
      <c r="B33" t="s">
        <v>554</v>
      </c>
      <c r="D33" s="40">
        <f>+C27</f>
        <v>262.32499999999999</v>
      </c>
      <c r="E33" s="40">
        <f>+C27</f>
        <v>262.32499999999999</v>
      </c>
      <c r="F33" s="2">
        <f>+F31+C27</f>
        <v>330.12161016949153</v>
      </c>
      <c r="G33" s="2">
        <f>+F33</f>
        <v>330.12161016949153</v>
      </c>
      <c r="H33" s="27">
        <f>+C27+H31</f>
        <v>262.32499999999999</v>
      </c>
      <c r="I33" s="27"/>
    </row>
    <row r="36" spans="2:9" x14ac:dyDescent="0.3">
      <c r="C36" t="s">
        <v>560</v>
      </c>
    </row>
    <row r="37" spans="2:9" x14ac:dyDescent="0.3">
      <c r="D37" t="s">
        <v>561</v>
      </c>
    </row>
    <row r="38" spans="2:9" x14ac:dyDescent="0.3">
      <c r="D38" t="s">
        <v>562</v>
      </c>
    </row>
    <row r="39" spans="2:9" x14ac:dyDescent="0.3">
      <c r="D39" t="s">
        <v>563</v>
      </c>
    </row>
    <row r="40" spans="2:9" x14ac:dyDescent="0.3">
      <c r="E40">
        <v>1</v>
      </c>
      <c r="F40" t="s">
        <v>564</v>
      </c>
    </row>
    <row r="41" spans="2:9" x14ac:dyDescent="0.3">
      <c r="E41">
        <v>2</v>
      </c>
      <c r="F41" t="s">
        <v>565</v>
      </c>
    </row>
    <row r="42" spans="2:9" x14ac:dyDescent="0.3">
      <c r="E42">
        <v>3</v>
      </c>
      <c r="F42" t="s">
        <v>566</v>
      </c>
    </row>
  </sheetData>
  <mergeCells count="1">
    <mergeCell ref="F29:G29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0FB3-8237-4084-8196-7B05B726A3C1}">
  <sheetPr>
    <tabColor rgb="FF99FF99"/>
  </sheetPr>
  <dimension ref="A1:S48"/>
  <sheetViews>
    <sheetView showGridLines="0" zoomScale="85" zoomScaleNormal="85" workbookViewId="0">
      <selection activeCell="D25" sqref="D25"/>
    </sheetView>
  </sheetViews>
  <sheetFormatPr baseColWidth="10" defaultRowHeight="14.4" x14ac:dyDescent="0.3"/>
  <cols>
    <col min="2" max="2" width="12.88671875" customWidth="1"/>
    <col min="4" max="4" width="14.6640625" customWidth="1"/>
    <col min="6" max="6" width="3.44140625" customWidth="1"/>
    <col min="14" max="14" width="15.44140625" customWidth="1"/>
    <col min="15" max="15" width="10.33203125" customWidth="1"/>
    <col min="16" max="16" width="3.88671875" customWidth="1"/>
  </cols>
  <sheetData>
    <row r="1" spans="2:19" x14ac:dyDescent="0.3">
      <c r="B1" s="1" t="s">
        <v>567</v>
      </c>
      <c r="L1" s="1" t="s">
        <v>568</v>
      </c>
    </row>
    <row r="2" spans="2:19" s="42" customFormat="1" ht="30" customHeight="1" x14ac:dyDescent="0.3">
      <c r="B2" s="79" t="s">
        <v>569</v>
      </c>
      <c r="C2" s="79"/>
      <c r="D2" s="79"/>
      <c r="E2" s="79"/>
      <c r="F2" s="79"/>
      <c r="G2" s="79"/>
      <c r="H2" s="79"/>
      <c r="I2" s="79"/>
      <c r="L2" s="80" t="s">
        <v>570</v>
      </c>
      <c r="M2" s="80"/>
      <c r="N2" s="80"/>
      <c r="O2" s="80"/>
      <c r="P2" s="80"/>
      <c r="Q2" s="80"/>
      <c r="R2" s="80"/>
      <c r="S2" s="80"/>
    </row>
    <row r="3" spans="2:19" s="42" customFormat="1" ht="17.25" customHeight="1" x14ac:dyDescent="0.3"/>
    <row r="4" spans="2:19" s="42" customFormat="1" ht="17.25" customHeight="1" x14ac:dyDescent="0.3">
      <c r="B4" s="42" t="s">
        <v>571</v>
      </c>
      <c r="D4" s="43">
        <v>420</v>
      </c>
      <c r="L4" s="42" t="s">
        <v>572</v>
      </c>
      <c r="N4" s="43">
        <v>25000</v>
      </c>
    </row>
    <row r="5" spans="2:19" s="42" customFormat="1" ht="17.25" customHeight="1" x14ac:dyDescent="0.3">
      <c r="B5" s="42" t="s">
        <v>573</v>
      </c>
      <c r="D5" s="43">
        <v>60</v>
      </c>
      <c r="E5" s="42" t="s">
        <v>574</v>
      </c>
      <c r="L5" s="42" t="s">
        <v>575</v>
      </c>
      <c r="N5" s="42">
        <v>14</v>
      </c>
      <c r="O5" s="42" t="s">
        <v>576</v>
      </c>
    </row>
    <row r="6" spans="2:19" s="42" customFormat="1" ht="17.25" customHeight="1" x14ac:dyDescent="0.3">
      <c r="B6" s="42" t="s">
        <v>577</v>
      </c>
      <c r="D6" s="43">
        <v>1400</v>
      </c>
      <c r="E6" s="42" t="s">
        <v>578</v>
      </c>
      <c r="L6" s="42" t="s">
        <v>579</v>
      </c>
      <c r="N6" s="44">
        <v>0.35</v>
      </c>
    </row>
    <row r="7" spans="2:19" s="42" customFormat="1" ht="17.25" customHeight="1" x14ac:dyDescent="0.3">
      <c r="L7" s="42" t="s">
        <v>577</v>
      </c>
      <c r="N7" s="43">
        <v>4000</v>
      </c>
      <c r="O7" s="42" t="s">
        <v>580</v>
      </c>
    </row>
    <row r="8" spans="2:19" s="42" customFormat="1" ht="17.25" customHeight="1" x14ac:dyDescent="0.3">
      <c r="B8" s="42" t="s">
        <v>581</v>
      </c>
      <c r="L8" s="42" t="s">
        <v>582</v>
      </c>
      <c r="N8" s="45" t="s">
        <v>583</v>
      </c>
      <c r="O8" s="46" t="s">
        <v>584</v>
      </c>
      <c r="P8" s="46"/>
    </row>
    <row r="9" spans="2:19" s="42" customFormat="1" ht="17.25" customHeight="1" x14ac:dyDescent="0.3">
      <c r="L9" s="42" t="s">
        <v>585</v>
      </c>
      <c r="N9" s="43">
        <v>2000</v>
      </c>
      <c r="O9" s="42" t="s">
        <v>580</v>
      </c>
    </row>
    <row r="10" spans="2:19" s="42" customFormat="1" ht="19.5" customHeight="1" x14ac:dyDescent="0.3">
      <c r="B10" s="47" t="s">
        <v>586</v>
      </c>
      <c r="C10" s="47" t="s">
        <v>587</v>
      </c>
      <c r="E10" s="75" t="s">
        <v>588</v>
      </c>
      <c r="F10" s="75"/>
      <c r="G10" s="75"/>
      <c r="H10" s="75"/>
      <c r="I10" s="75"/>
      <c r="L10" s="81" t="s">
        <v>589</v>
      </c>
      <c r="M10" s="81"/>
      <c r="N10" s="81"/>
      <c r="O10" s="81"/>
      <c r="P10" s="81"/>
      <c r="Q10" s="81"/>
      <c r="R10" s="81"/>
      <c r="S10" s="81"/>
    </row>
    <row r="11" spans="2:19" s="42" customFormat="1" ht="19.5" customHeight="1" x14ac:dyDescent="0.3">
      <c r="B11" s="47" t="s">
        <v>590</v>
      </c>
      <c r="C11" s="47">
        <v>7</v>
      </c>
      <c r="E11" s="75"/>
      <c r="F11" s="75"/>
      <c r="G11" s="75"/>
      <c r="H11" s="75"/>
      <c r="I11" s="75"/>
      <c r="L11" s="81"/>
      <c r="M11" s="81"/>
      <c r="N11" s="81"/>
      <c r="O11" s="81"/>
      <c r="P11" s="81"/>
      <c r="Q11" s="81"/>
      <c r="R11" s="81"/>
      <c r="S11" s="81"/>
    </row>
    <row r="12" spans="2:19" s="42" customFormat="1" ht="19.5" customHeight="1" x14ac:dyDescent="0.3">
      <c r="B12" s="47" t="s">
        <v>591</v>
      </c>
      <c r="C12" s="47">
        <v>2</v>
      </c>
      <c r="E12" s="75"/>
      <c r="F12" s="75"/>
      <c r="G12" s="75"/>
      <c r="H12" s="75"/>
      <c r="I12" s="75"/>
      <c r="N12" s="49" t="s">
        <v>592</v>
      </c>
      <c r="Q12" s="49" t="s">
        <v>593</v>
      </c>
    </row>
    <row r="13" spans="2:19" s="42" customFormat="1" ht="19.5" customHeight="1" x14ac:dyDescent="0.3">
      <c r="B13" s="47" t="s">
        <v>594</v>
      </c>
      <c r="C13" s="47">
        <v>6</v>
      </c>
      <c r="E13" s="75"/>
      <c r="F13" s="75"/>
      <c r="G13" s="75"/>
      <c r="H13" s="75"/>
      <c r="I13" s="75"/>
      <c r="L13" s="42" t="s">
        <v>595</v>
      </c>
      <c r="N13" s="50" t="s">
        <v>596</v>
      </c>
      <c r="O13" s="50"/>
      <c r="Q13" s="51">
        <f>+N4/30</f>
        <v>833.33333333333337</v>
      </c>
    </row>
    <row r="14" spans="2:19" s="42" customFormat="1" ht="19.5" customHeight="1" x14ac:dyDescent="0.3">
      <c r="B14" s="47" t="s">
        <v>597</v>
      </c>
      <c r="C14" s="47">
        <v>8</v>
      </c>
      <c r="E14" s="75"/>
      <c r="F14" s="75"/>
      <c r="G14" s="75"/>
      <c r="H14" s="75"/>
      <c r="I14" s="75"/>
      <c r="L14" s="42" t="s">
        <v>598</v>
      </c>
      <c r="N14" s="52" t="s">
        <v>599</v>
      </c>
      <c r="O14" s="52"/>
      <c r="Q14" s="53">
        <f>15*Q13/365</f>
        <v>34.246575342465754</v>
      </c>
    </row>
    <row r="15" spans="2:19" s="42" customFormat="1" ht="19.5" customHeight="1" x14ac:dyDescent="0.3">
      <c r="B15" s="41"/>
      <c r="C15" s="41"/>
      <c r="E15" s="54"/>
      <c r="F15" s="54"/>
      <c r="G15" s="54"/>
      <c r="H15" s="54"/>
      <c r="I15" s="54"/>
      <c r="L15" s="42" t="s">
        <v>579</v>
      </c>
      <c r="N15" s="52" t="s">
        <v>600</v>
      </c>
      <c r="O15" s="52"/>
      <c r="Q15" s="53">
        <f>+N5*N6*Q13/365</f>
        <v>11.187214611872145</v>
      </c>
    </row>
    <row r="16" spans="2:19" s="42" customFormat="1" ht="19.5" customHeight="1" x14ac:dyDescent="0.3">
      <c r="B16" s="81" t="s">
        <v>601</v>
      </c>
      <c r="C16" s="81"/>
      <c r="D16" s="81"/>
      <c r="E16" s="81"/>
      <c r="F16" s="81"/>
      <c r="G16" s="81"/>
      <c r="H16" s="81"/>
      <c r="L16" s="42" t="s">
        <v>577</v>
      </c>
      <c r="N16" s="52" t="s">
        <v>602</v>
      </c>
      <c r="O16" s="52"/>
      <c r="Q16" s="53">
        <f>+N7/30-41.5</f>
        <v>91.833333333333343</v>
      </c>
    </row>
    <row r="17" spans="2:17" s="42" customFormat="1" ht="19.5" customHeight="1" x14ac:dyDescent="0.3">
      <c r="B17" s="49"/>
      <c r="C17" s="49"/>
      <c r="D17" s="81" t="s">
        <v>592</v>
      </c>
      <c r="E17" s="81"/>
      <c r="F17" s="49"/>
      <c r="G17" s="49" t="s">
        <v>593</v>
      </c>
      <c r="H17" s="49"/>
      <c r="L17" s="42" t="s">
        <v>603</v>
      </c>
      <c r="N17" s="52" t="s">
        <v>604</v>
      </c>
      <c r="O17" s="52"/>
      <c r="Q17" s="53">
        <f>+Q13*0.01</f>
        <v>8.3333333333333339</v>
      </c>
    </row>
    <row r="18" spans="2:17" s="42" customFormat="1" ht="19.5" customHeight="1" x14ac:dyDescent="0.3">
      <c r="B18" s="42" t="s">
        <v>595</v>
      </c>
      <c r="G18" s="51">
        <f>+D4</f>
        <v>420</v>
      </c>
      <c r="H18" s="55"/>
      <c r="I18" s="55"/>
      <c r="L18" s="42" t="s">
        <v>585</v>
      </c>
      <c r="N18" s="52" t="s">
        <v>605</v>
      </c>
      <c r="O18" s="52"/>
      <c r="Q18" s="53">
        <f>+N9/30</f>
        <v>66.666666666666671</v>
      </c>
    </row>
    <row r="19" spans="2:17" s="42" customFormat="1" ht="19.5" customHeight="1" thickBot="1" x14ac:dyDescent="0.35">
      <c r="B19" s="42" t="s">
        <v>606</v>
      </c>
      <c r="D19" s="50" t="s">
        <v>607</v>
      </c>
      <c r="E19" s="50"/>
      <c r="G19" s="53">
        <f>+((52*D4)*0.25)/365</f>
        <v>14.95890410958904</v>
      </c>
      <c r="H19" s="55"/>
      <c r="I19" s="73">
        <f>+SUM(G18:G22)</f>
        <v>462.56392694063931</v>
      </c>
      <c r="Q19" s="56">
        <f>SUM(Q13:Q18)</f>
        <v>1045.6004566210047</v>
      </c>
    </row>
    <row r="20" spans="2:17" s="42" customFormat="1" ht="19.5" customHeight="1" thickTop="1" x14ac:dyDescent="0.3">
      <c r="B20" s="42" t="s">
        <v>598</v>
      </c>
      <c r="D20" s="52" t="s">
        <v>608</v>
      </c>
      <c r="E20" s="52"/>
      <c r="G20" s="53">
        <f>+(15*D4)/365</f>
        <v>17.260273972602739</v>
      </c>
      <c r="H20" s="55"/>
      <c r="I20" s="73"/>
    </row>
    <row r="21" spans="2:17" s="42" customFormat="1" ht="19.5" customHeight="1" x14ac:dyDescent="0.3">
      <c r="B21" s="42" t="s">
        <v>577</v>
      </c>
      <c r="D21" s="52" t="s">
        <v>609</v>
      </c>
      <c r="E21" s="52"/>
      <c r="G21" s="53">
        <f>+(D6/30)-41.5</f>
        <v>5.1666666666666643</v>
      </c>
      <c r="H21" s="55"/>
      <c r="I21" s="55"/>
    </row>
    <row r="22" spans="2:17" s="42" customFormat="1" ht="19.5" customHeight="1" x14ac:dyDescent="0.3">
      <c r="B22" s="42" t="s">
        <v>579</v>
      </c>
      <c r="D22" s="52" t="s">
        <v>610</v>
      </c>
      <c r="E22" s="52"/>
      <c r="G22" s="53">
        <f>18*0.25*420/365</f>
        <v>5.1780821917808222</v>
      </c>
      <c r="H22" s="55"/>
      <c r="I22" s="55"/>
    </row>
    <row r="23" spans="2:17" s="42" customFormat="1" ht="19.5" customHeight="1" x14ac:dyDescent="0.3"/>
    <row r="24" spans="2:17" s="42" customFormat="1" ht="19.5" customHeight="1" x14ac:dyDescent="0.3">
      <c r="B24" s="42" t="s">
        <v>611</v>
      </c>
      <c r="D24" s="50" t="s">
        <v>612</v>
      </c>
      <c r="E24" s="50"/>
      <c r="G24" s="51">
        <f>420/8</f>
        <v>52.5</v>
      </c>
    </row>
    <row r="25" spans="2:17" s="42" customFormat="1" ht="19.5" customHeight="1" x14ac:dyDescent="0.3">
      <c r="B25" s="42" t="s">
        <v>613</v>
      </c>
      <c r="D25" s="52" t="s">
        <v>614</v>
      </c>
      <c r="E25" s="52"/>
      <c r="G25" s="53">
        <f>+G24*2</f>
        <v>105</v>
      </c>
    </row>
    <row r="26" spans="2:17" s="42" customFormat="1" ht="19.5" customHeight="1" x14ac:dyDescent="0.3">
      <c r="B26" s="42" t="s">
        <v>615</v>
      </c>
      <c r="D26" s="52" t="s">
        <v>616</v>
      </c>
      <c r="E26" s="52"/>
      <c r="G26" s="53">
        <f>+G24*3</f>
        <v>157.5</v>
      </c>
    </row>
    <row r="27" spans="2:17" ht="19.5" customHeight="1" x14ac:dyDescent="0.3"/>
    <row r="28" spans="2:17" ht="28.5" customHeight="1" x14ac:dyDescent="0.3">
      <c r="B28" s="47" t="s">
        <v>617</v>
      </c>
      <c r="C28" s="48" t="s">
        <v>618</v>
      </c>
      <c r="D28" s="48" t="s">
        <v>619</v>
      </c>
      <c r="G28" s="47" t="s">
        <v>620</v>
      </c>
      <c r="H28" s="47" t="s">
        <v>621</v>
      </c>
    </row>
    <row r="29" spans="2:17" ht="19.5" customHeight="1" x14ac:dyDescent="0.3">
      <c r="B29" s="47" t="s">
        <v>622</v>
      </c>
      <c r="C29" s="47" t="s">
        <v>623</v>
      </c>
      <c r="D29" s="47" t="s">
        <v>624</v>
      </c>
      <c r="G29" s="57">
        <f>3*G25</f>
        <v>315</v>
      </c>
      <c r="H29" s="57">
        <f>4*G26</f>
        <v>630</v>
      </c>
    </row>
    <row r="30" spans="2:17" ht="19.5" customHeight="1" x14ac:dyDescent="0.3">
      <c r="B30" s="47" t="s">
        <v>625</v>
      </c>
      <c r="C30" s="47" t="s">
        <v>626</v>
      </c>
      <c r="D30" s="47" t="s">
        <v>627</v>
      </c>
      <c r="G30" s="57">
        <f>2*G25</f>
        <v>210</v>
      </c>
      <c r="H30" s="57">
        <f>3*G26</f>
        <v>472.5</v>
      </c>
    </row>
    <row r="31" spans="2:17" ht="19.5" customHeight="1" x14ac:dyDescent="0.3">
      <c r="B31" s="47" t="s">
        <v>628</v>
      </c>
      <c r="C31" s="47" t="s">
        <v>623</v>
      </c>
      <c r="D31" s="47"/>
      <c r="G31" s="57">
        <f>3*G25</f>
        <v>315</v>
      </c>
      <c r="H31" s="47"/>
    </row>
    <row r="32" spans="2:17" ht="19.5" customHeight="1" x14ac:dyDescent="0.3">
      <c r="B32" s="47" t="s">
        <v>629</v>
      </c>
      <c r="C32" s="47"/>
      <c r="D32" s="47" t="s">
        <v>630</v>
      </c>
      <c r="G32" s="47"/>
      <c r="H32" s="57">
        <f>8*G26</f>
        <v>1260</v>
      </c>
    </row>
    <row r="33" spans="1:9" ht="19.5" customHeight="1" x14ac:dyDescent="0.3">
      <c r="B33" s="58" t="s">
        <v>631</v>
      </c>
      <c r="C33" s="58" t="s">
        <v>632</v>
      </c>
      <c r="D33" s="58" t="s">
        <v>633</v>
      </c>
      <c r="G33" s="59">
        <f>+SUM(G29:G32)</f>
        <v>840</v>
      </c>
      <c r="H33" s="59">
        <f>+SUM(H29:H32)</f>
        <v>2362.5</v>
      </c>
    </row>
    <row r="34" spans="1:9" ht="19.5" customHeight="1" x14ac:dyDescent="0.3"/>
    <row r="35" spans="1:9" ht="19.5" customHeight="1" x14ac:dyDescent="0.3">
      <c r="G35" s="74">
        <f>+G33+H33</f>
        <v>3202.5</v>
      </c>
      <c r="H35" s="74"/>
    </row>
    <row r="36" spans="1:9" s="42" customFormat="1" ht="19.5" customHeight="1" x14ac:dyDescent="0.3">
      <c r="B36" s="60" t="s">
        <v>634</v>
      </c>
      <c r="E36" s="49" t="s">
        <v>593</v>
      </c>
    </row>
    <row r="37" spans="1:9" s="42" customFormat="1" ht="19.5" customHeight="1" x14ac:dyDescent="0.3">
      <c r="A37" s="45" t="s">
        <v>635</v>
      </c>
      <c r="B37" s="42" t="s">
        <v>636</v>
      </c>
      <c r="E37" s="61">
        <f>+H33</f>
        <v>2362.5</v>
      </c>
      <c r="F37" s="61"/>
    </row>
    <row r="38" spans="1:9" s="42" customFormat="1" ht="19.5" customHeight="1" thickBot="1" x14ac:dyDescent="0.35">
      <c r="A38" s="45" t="s">
        <v>635</v>
      </c>
      <c r="B38" s="42" t="s">
        <v>637</v>
      </c>
      <c r="E38" s="62">
        <v>1000</v>
      </c>
    </row>
    <row r="39" spans="1:9" s="42" customFormat="1" ht="19.5" customHeight="1" x14ac:dyDescent="0.3">
      <c r="A39" s="45" t="s">
        <v>638</v>
      </c>
      <c r="B39" s="42" t="s">
        <v>639</v>
      </c>
      <c r="E39" s="61">
        <f>+E37+E38</f>
        <v>3362.5</v>
      </c>
      <c r="F39" s="61"/>
    </row>
    <row r="40" spans="1:9" s="42" customFormat="1" ht="19.5" customHeight="1" thickBot="1" x14ac:dyDescent="0.35">
      <c r="A40" s="45" t="s">
        <v>640</v>
      </c>
      <c r="B40" s="42" t="s">
        <v>641</v>
      </c>
      <c r="E40" s="63">
        <v>61</v>
      </c>
    </row>
    <row r="41" spans="1:9" s="42" customFormat="1" ht="19.5" customHeight="1" x14ac:dyDescent="0.3">
      <c r="A41" s="45" t="s">
        <v>638</v>
      </c>
      <c r="B41" s="42" t="s">
        <v>642</v>
      </c>
      <c r="C41" s="64"/>
      <c r="E41" s="55">
        <f>+E39/E40</f>
        <v>55.122950819672134</v>
      </c>
      <c r="F41" s="65"/>
    </row>
    <row r="42" spans="1:9" s="42" customFormat="1" ht="19.5" customHeight="1" x14ac:dyDescent="0.3">
      <c r="H42" s="75" t="s">
        <v>643</v>
      </c>
      <c r="I42" s="75"/>
    </row>
    <row r="43" spans="1:9" s="42" customFormat="1" ht="19.5" customHeight="1" x14ac:dyDescent="0.3">
      <c r="B43" s="64"/>
      <c r="C43" s="64"/>
      <c r="D43" s="45" t="s">
        <v>644</v>
      </c>
      <c r="E43" s="66">
        <f>+I19</f>
        <v>462.56392694063931</v>
      </c>
      <c r="H43" s="75"/>
      <c r="I43" s="75"/>
    </row>
    <row r="44" spans="1:9" s="42" customFormat="1" ht="19.5" customHeight="1" thickBot="1" x14ac:dyDescent="0.35">
      <c r="A44" s="45" t="s">
        <v>635</v>
      </c>
      <c r="B44" s="64"/>
      <c r="C44" s="64"/>
      <c r="D44" s="45" t="s">
        <v>634</v>
      </c>
      <c r="E44" s="67">
        <f>+E41</f>
        <v>55.122950819672134</v>
      </c>
      <c r="H44" s="75"/>
      <c r="I44" s="75"/>
    </row>
    <row r="45" spans="1:9" s="42" customFormat="1" ht="19.5" customHeight="1" x14ac:dyDescent="0.3">
      <c r="A45" s="45" t="s">
        <v>638</v>
      </c>
      <c r="B45" s="45"/>
      <c r="C45" s="45"/>
      <c r="D45" s="45" t="s">
        <v>645</v>
      </c>
      <c r="E45" s="66">
        <f>+E43+E44</f>
        <v>517.6868777603114</v>
      </c>
      <c r="H45" s="76" t="s">
        <v>646</v>
      </c>
      <c r="I45" s="77"/>
    </row>
    <row r="46" spans="1:9" ht="19.5" customHeight="1" thickBot="1" x14ac:dyDescent="0.35">
      <c r="A46" s="45" t="s">
        <v>635</v>
      </c>
      <c r="B46" s="78" t="s">
        <v>647</v>
      </c>
      <c r="C46" s="78"/>
      <c r="D46" s="78"/>
      <c r="E46" s="68">
        <v>8.23</v>
      </c>
    </row>
    <row r="47" spans="1:9" ht="19.5" customHeight="1" thickBot="1" x14ac:dyDescent="0.35">
      <c r="A47" s="45" t="s">
        <v>638</v>
      </c>
      <c r="D47" s="45" t="s">
        <v>648</v>
      </c>
      <c r="E47" s="69">
        <f>+E45+E46</f>
        <v>525.91687776031142</v>
      </c>
      <c r="H47" s="70">
        <f>+E45*0.1</f>
        <v>51.768687776031143</v>
      </c>
      <c r="I47" s="71">
        <f>+H47-60</f>
        <v>-8.2313122239688568</v>
      </c>
    </row>
    <row r="48" spans="1:9" ht="15" thickTop="1" x14ac:dyDescent="0.3"/>
  </sheetData>
  <mergeCells count="11">
    <mergeCell ref="D17:E17"/>
    <mergeCell ref="B2:I2"/>
    <mergeCell ref="L2:S2"/>
    <mergeCell ref="E10:I14"/>
    <mergeCell ref="L10:S11"/>
    <mergeCell ref="B16:H16"/>
    <mergeCell ref="I19:I20"/>
    <mergeCell ref="G35:H35"/>
    <mergeCell ref="H42:I44"/>
    <mergeCell ref="H45:I45"/>
    <mergeCell ref="B46:D4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4A00-D78B-4C2F-B7CE-9D8906D9914C}">
  <dimension ref="D5:Z86"/>
  <sheetViews>
    <sheetView topLeftCell="R1" workbookViewId="0">
      <selection activeCell="AC5" sqref="AC5"/>
    </sheetView>
  </sheetViews>
  <sheetFormatPr baseColWidth="10" defaultRowHeight="14.4" x14ac:dyDescent="0.3"/>
  <cols>
    <col min="20" max="20" width="22.33203125" bestFit="1" customWidth="1"/>
  </cols>
  <sheetData>
    <row r="5" spans="4:26" x14ac:dyDescent="0.3">
      <c r="D5" s="1" t="s">
        <v>0</v>
      </c>
      <c r="I5" t="s">
        <v>4</v>
      </c>
      <c r="K5" t="s">
        <v>7</v>
      </c>
    </row>
    <row r="7" spans="4:26" x14ac:dyDescent="0.3">
      <c r="D7" s="1" t="s">
        <v>1</v>
      </c>
      <c r="I7" t="s">
        <v>2</v>
      </c>
    </row>
    <row r="9" spans="4:26" x14ac:dyDescent="0.3">
      <c r="U9" t="s">
        <v>9</v>
      </c>
      <c r="V9" t="s">
        <v>10</v>
      </c>
      <c r="W9" t="s">
        <v>11</v>
      </c>
    </row>
    <row r="10" spans="4:26" x14ac:dyDescent="0.3">
      <c r="D10" s="1" t="s">
        <v>3</v>
      </c>
      <c r="I10" s="2" t="s">
        <v>5</v>
      </c>
      <c r="K10" t="s">
        <v>8</v>
      </c>
    </row>
    <row r="11" spans="4:26" x14ac:dyDescent="0.3">
      <c r="K11" s="7" t="s">
        <v>91</v>
      </c>
      <c r="L11" s="7" t="s">
        <v>92</v>
      </c>
      <c r="M11" s="7" t="s">
        <v>92</v>
      </c>
      <c r="N11" s="7" t="s">
        <v>93</v>
      </c>
      <c r="O11" s="7" t="s">
        <v>94</v>
      </c>
      <c r="P11" s="7" t="s">
        <v>95</v>
      </c>
      <c r="Q11" s="7" t="s">
        <v>96</v>
      </c>
      <c r="T11" t="s">
        <v>12</v>
      </c>
      <c r="U11">
        <v>6</v>
      </c>
      <c r="V11">
        <v>2</v>
      </c>
      <c r="W11">
        <v>2</v>
      </c>
    </row>
    <row r="12" spans="4:26" x14ac:dyDescent="0.3">
      <c r="I12" t="s">
        <v>97</v>
      </c>
      <c r="K12">
        <v>5</v>
      </c>
      <c r="L12">
        <v>5</v>
      </c>
      <c r="M12">
        <v>1</v>
      </c>
      <c r="N12">
        <v>2</v>
      </c>
      <c r="R12">
        <f>SUM(K12:Q12)</f>
        <v>13</v>
      </c>
      <c r="T12" t="s">
        <v>13</v>
      </c>
      <c r="U12">
        <v>3</v>
      </c>
      <c r="V12">
        <v>2</v>
      </c>
      <c r="W12">
        <v>2</v>
      </c>
      <c r="X12">
        <f t="shared" ref="X12:X13" si="0">SUM(U12:W12)</f>
        <v>7</v>
      </c>
      <c r="Y12" t="s">
        <v>16</v>
      </c>
    </row>
    <row r="13" spans="4:26" x14ac:dyDescent="0.3">
      <c r="I13" t="s">
        <v>98</v>
      </c>
      <c r="K13">
        <v>3</v>
      </c>
      <c r="L13">
        <v>3</v>
      </c>
      <c r="M13">
        <v>1</v>
      </c>
      <c r="R13" s="1">
        <f>SUM(K13:Q13)</f>
        <v>7</v>
      </c>
      <c r="T13" t="s">
        <v>14</v>
      </c>
      <c r="U13">
        <v>3</v>
      </c>
      <c r="X13" s="2">
        <f t="shared" si="0"/>
        <v>3</v>
      </c>
      <c r="Y13" s="2" t="s">
        <v>17</v>
      </c>
      <c r="Z13" s="2"/>
    </row>
    <row r="14" spans="4:26" x14ac:dyDescent="0.3">
      <c r="I14" t="s">
        <v>99</v>
      </c>
      <c r="K14">
        <v>2</v>
      </c>
      <c r="L14">
        <v>2</v>
      </c>
      <c r="N14">
        <v>2</v>
      </c>
      <c r="R14" s="10">
        <f>SUM(K14:Q14)</f>
        <v>6</v>
      </c>
    </row>
    <row r="16" spans="4:26" x14ac:dyDescent="0.3">
      <c r="I16" s="2" t="s">
        <v>6</v>
      </c>
      <c r="J16" s="4"/>
      <c r="K16" t="s">
        <v>15</v>
      </c>
      <c r="U16" t="s">
        <v>9</v>
      </c>
      <c r="V16" t="s">
        <v>10</v>
      </c>
      <c r="W16" t="s">
        <v>11</v>
      </c>
    </row>
    <row r="18" spans="4:26" x14ac:dyDescent="0.3">
      <c r="K18" s="7" t="s">
        <v>91</v>
      </c>
      <c r="L18" s="7" t="s">
        <v>92</v>
      </c>
      <c r="M18" s="7" t="s">
        <v>92</v>
      </c>
      <c r="N18" s="7" t="s">
        <v>93</v>
      </c>
      <c r="O18" s="7" t="s">
        <v>94</v>
      </c>
      <c r="P18" s="7" t="s">
        <v>95</v>
      </c>
      <c r="Q18" s="7" t="s">
        <v>96</v>
      </c>
      <c r="T18" t="s">
        <v>12</v>
      </c>
      <c r="U18">
        <v>6</v>
      </c>
      <c r="V18">
        <v>2</v>
      </c>
      <c r="W18">
        <v>2</v>
      </c>
    </row>
    <row r="19" spans="4:26" x14ac:dyDescent="0.3">
      <c r="I19" t="s">
        <v>97</v>
      </c>
      <c r="K19">
        <v>5</v>
      </c>
      <c r="L19">
        <v>5</v>
      </c>
      <c r="M19">
        <v>1</v>
      </c>
      <c r="N19">
        <v>2</v>
      </c>
      <c r="R19">
        <f>SUM(K19:Q19)</f>
        <v>13</v>
      </c>
      <c r="T19" t="s">
        <v>13</v>
      </c>
      <c r="U19">
        <v>6</v>
      </c>
      <c r="V19">
        <v>2</v>
      </c>
      <c r="W19">
        <v>1</v>
      </c>
      <c r="X19">
        <f>SUM(U19:W19)</f>
        <v>9</v>
      </c>
    </row>
    <row r="20" spans="4:26" x14ac:dyDescent="0.3">
      <c r="I20" t="s">
        <v>98</v>
      </c>
      <c r="K20">
        <v>5</v>
      </c>
      <c r="L20">
        <v>4</v>
      </c>
      <c r="R20">
        <f>SUM(K20:Q20)</f>
        <v>9</v>
      </c>
      <c r="T20" t="s">
        <v>14</v>
      </c>
      <c r="W20">
        <v>1</v>
      </c>
      <c r="X20">
        <f>SUM(U20:W20)</f>
        <v>1</v>
      </c>
    </row>
    <row r="21" spans="4:26" x14ac:dyDescent="0.3">
      <c r="I21" t="s">
        <v>99</v>
      </c>
      <c r="L21">
        <v>1</v>
      </c>
      <c r="M21">
        <v>1</v>
      </c>
      <c r="N21">
        <v>2</v>
      </c>
      <c r="R21" s="10">
        <f>SUM(K21:Q21)</f>
        <v>4</v>
      </c>
    </row>
    <row r="22" spans="4:26" x14ac:dyDescent="0.3">
      <c r="T22" t="s">
        <v>19</v>
      </c>
    </row>
    <row r="23" spans="4:26" x14ac:dyDescent="0.3">
      <c r="T23" s="3" t="s">
        <v>20</v>
      </c>
      <c r="U23">
        <v>3</v>
      </c>
      <c r="V23">
        <v>2</v>
      </c>
      <c r="W23">
        <v>1</v>
      </c>
    </row>
    <row r="24" spans="4:26" x14ac:dyDescent="0.3">
      <c r="K24">
        <v>1.5</v>
      </c>
      <c r="L24">
        <v>1.5</v>
      </c>
      <c r="M24">
        <v>1.5</v>
      </c>
      <c r="N24">
        <v>1.5</v>
      </c>
      <c r="O24">
        <v>1.5</v>
      </c>
      <c r="P24">
        <v>1.5</v>
      </c>
      <c r="T24" s="3" t="s">
        <v>21</v>
      </c>
      <c r="W24">
        <v>1</v>
      </c>
    </row>
    <row r="25" spans="4:26" x14ac:dyDescent="0.3">
      <c r="H25" t="s">
        <v>101</v>
      </c>
      <c r="I25" t="s">
        <v>100</v>
      </c>
      <c r="K25">
        <v>1.5</v>
      </c>
      <c r="L25">
        <v>1.5</v>
      </c>
      <c r="M25">
        <v>1.5</v>
      </c>
      <c r="T25" t="s">
        <v>18</v>
      </c>
    </row>
    <row r="26" spans="4:26" x14ac:dyDescent="0.3">
      <c r="I26" t="s">
        <v>99</v>
      </c>
      <c r="N26">
        <v>1.5</v>
      </c>
      <c r="O26">
        <v>1.5</v>
      </c>
      <c r="P26">
        <v>1.5</v>
      </c>
      <c r="T26" s="3" t="s">
        <v>20</v>
      </c>
      <c r="U26">
        <v>3</v>
      </c>
      <c r="X26" s="4">
        <f>+U26</f>
        <v>3</v>
      </c>
      <c r="Y26" s="2" t="s">
        <v>17</v>
      </c>
      <c r="Z26" s="4"/>
    </row>
    <row r="27" spans="4:26" x14ac:dyDescent="0.3">
      <c r="T27" s="3" t="s">
        <v>21</v>
      </c>
    </row>
    <row r="30" spans="4:26" x14ac:dyDescent="0.3">
      <c r="D30" s="1" t="s">
        <v>49</v>
      </c>
      <c r="I30" t="s">
        <v>50</v>
      </c>
    </row>
    <row r="37" spans="9:13" x14ac:dyDescent="0.3">
      <c r="I37" s="1" t="s">
        <v>22</v>
      </c>
    </row>
    <row r="38" spans="9:13" x14ac:dyDescent="0.3">
      <c r="J38" t="s">
        <v>23</v>
      </c>
    </row>
    <row r="39" spans="9:13" x14ac:dyDescent="0.3">
      <c r="J39" t="s">
        <v>24</v>
      </c>
      <c r="K39">
        <v>400</v>
      </c>
    </row>
    <row r="40" spans="9:13" x14ac:dyDescent="0.3">
      <c r="J40" t="s">
        <v>25</v>
      </c>
    </row>
    <row r="41" spans="9:13" x14ac:dyDescent="0.3">
      <c r="J41" t="s">
        <v>26</v>
      </c>
      <c r="M41">
        <v>6</v>
      </c>
    </row>
    <row r="42" spans="9:13" x14ac:dyDescent="0.3">
      <c r="J42" t="s">
        <v>28</v>
      </c>
    </row>
    <row r="44" spans="9:13" x14ac:dyDescent="0.3">
      <c r="J44" t="s">
        <v>27</v>
      </c>
      <c r="L44">
        <f>+K39/8</f>
        <v>50</v>
      </c>
    </row>
    <row r="45" spans="9:13" x14ac:dyDescent="0.3">
      <c r="J45" t="s">
        <v>29</v>
      </c>
      <c r="L45">
        <f>+L44*2</f>
        <v>100</v>
      </c>
    </row>
    <row r="46" spans="9:13" x14ac:dyDescent="0.3">
      <c r="J46" t="s">
        <v>30</v>
      </c>
      <c r="L46">
        <f>+L44*3</f>
        <v>150</v>
      </c>
    </row>
    <row r="48" spans="9:13" x14ac:dyDescent="0.3">
      <c r="J48" t="s">
        <v>31</v>
      </c>
    </row>
    <row r="50" spans="10:18" x14ac:dyDescent="0.3">
      <c r="J50" t="s">
        <v>32</v>
      </c>
      <c r="O50">
        <f>+K39</f>
        <v>400</v>
      </c>
    </row>
    <row r="51" spans="10:18" x14ac:dyDescent="0.3">
      <c r="J51" t="s">
        <v>33</v>
      </c>
      <c r="M51" t="s">
        <v>35</v>
      </c>
      <c r="O51">
        <v>600</v>
      </c>
      <c r="P51" t="s">
        <v>34</v>
      </c>
    </row>
    <row r="52" spans="10:18" x14ac:dyDescent="0.3">
      <c r="J52" t="s">
        <v>22</v>
      </c>
      <c r="M52" t="s">
        <v>36</v>
      </c>
      <c r="O52" s="4">
        <v>75</v>
      </c>
      <c r="P52" s="4" t="s">
        <v>38</v>
      </c>
      <c r="Q52" s="4"/>
      <c r="R52" s="4"/>
    </row>
    <row r="54" spans="10:18" x14ac:dyDescent="0.3">
      <c r="M54" t="s">
        <v>37</v>
      </c>
      <c r="O54">
        <v>100</v>
      </c>
    </row>
    <row r="57" spans="10:18" x14ac:dyDescent="0.3">
      <c r="J57" s="1" t="s">
        <v>39</v>
      </c>
    </row>
    <row r="58" spans="10:18" x14ac:dyDescent="0.3">
      <c r="K58" t="s">
        <v>40</v>
      </c>
      <c r="N58" t="s">
        <v>41</v>
      </c>
      <c r="O58">
        <v>0.1666</v>
      </c>
    </row>
    <row r="60" spans="10:18" x14ac:dyDescent="0.3">
      <c r="J60" t="s">
        <v>42</v>
      </c>
      <c r="L60" t="s">
        <v>43</v>
      </c>
      <c r="O60" t="s">
        <v>44</v>
      </c>
    </row>
    <row r="61" spans="10:18" x14ac:dyDescent="0.3">
      <c r="O61" t="s">
        <v>45</v>
      </c>
      <c r="P61" s="5">
        <f>6*O58</f>
        <v>0.99960000000000004</v>
      </c>
      <c r="Q61" t="s">
        <v>46</v>
      </c>
    </row>
    <row r="62" spans="10:18" x14ac:dyDescent="0.3">
      <c r="O62" t="s">
        <v>47</v>
      </c>
      <c r="P62" s="5">
        <f>3*O58</f>
        <v>0.49980000000000002</v>
      </c>
      <c r="Q62" t="s">
        <v>48</v>
      </c>
    </row>
    <row r="68" spans="4:23" x14ac:dyDescent="0.3">
      <c r="D68" t="s">
        <v>51</v>
      </c>
      <c r="F68" s="1" t="s">
        <v>52</v>
      </c>
    </row>
    <row r="70" spans="4:23" x14ac:dyDescent="0.3">
      <c r="T70" s="1" t="s">
        <v>61</v>
      </c>
      <c r="U70" s="1" t="s">
        <v>63</v>
      </c>
      <c r="V70" s="1"/>
    </row>
    <row r="71" spans="4:23" x14ac:dyDescent="0.3">
      <c r="F71" s="1" t="s">
        <v>9</v>
      </c>
      <c r="G71" s="1" t="s">
        <v>53</v>
      </c>
      <c r="H71" s="1" t="s">
        <v>54</v>
      </c>
      <c r="I71" s="1" t="s">
        <v>55</v>
      </c>
      <c r="J71" s="1" t="s">
        <v>56</v>
      </c>
      <c r="K71" s="1" t="s">
        <v>57</v>
      </c>
      <c r="L71" s="1" t="s">
        <v>58</v>
      </c>
      <c r="U71" t="s">
        <v>62</v>
      </c>
    </row>
    <row r="72" spans="4:23" x14ac:dyDescent="0.3">
      <c r="V72" t="s">
        <v>64</v>
      </c>
    </row>
    <row r="73" spans="4:23" x14ac:dyDescent="0.3">
      <c r="D73" t="s">
        <v>12</v>
      </c>
      <c r="F73">
        <v>5</v>
      </c>
      <c r="G73">
        <v>3</v>
      </c>
      <c r="H73">
        <v>1</v>
      </c>
      <c r="I73">
        <v>8</v>
      </c>
      <c r="J73">
        <v>4</v>
      </c>
      <c r="V73" t="s">
        <v>65</v>
      </c>
    </row>
    <row r="75" spans="4:23" x14ac:dyDescent="0.3">
      <c r="D75" t="s">
        <v>59</v>
      </c>
      <c r="F75">
        <v>3</v>
      </c>
      <c r="G75">
        <v>3</v>
      </c>
      <c r="H75">
        <v>1</v>
      </c>
    </row>
    <row r="76" spans="4:23" x14ac:dyDescent="0.3">
      <c r="F76">
        <f>+F75*F81</f>
        <v>150</v>
      </c>
      <c r="G76">
        <f>+G75*F81</f>
        <v>150</v>
      </c>
      <c r="H76">
        <f>+H75*F81</f>
        <v>50</v>
      </c>
    </row>
    <row r="77" spans="4:23" x14ac:dyDescent="0.3">
      <c r="D77" t="s">
        <v>21</v>
      </c>
      <c r="F77" s="9">
        <v>2</v>
      </c>
      <c r="I77">
        <v>8</v>
      </c>
      <c r="J77">
        <v>4</v>
      </c>
    </row>
    <row r="78" spans="4:23" x14ac:dyDescent="0.3">
      <c r="F78" s="9">
        <f>+F77*F82</f>
        <v>150</v>
      </c>
      <c r="I78">
        <f>+I77*F82</f>
        <v>600</v>
      </c>
      <c r="J78">
        <f>+J77*F82</f>
        <v>300</v>
      </c>
      <c r="R78" s="1"/>
      <c r="V78" s="1" t="s">
        <v>66</v>
      </c>
      <c r="W78" s="1"/>
    </row>
    <row r="80" spans="4:23" x14ac:dyDescent="0.3">
      <c r="D80" t="s">
        <v>60</v>
      </c>
      <c r="F80">
        <v>25</v>
      </c>
      <c r="S80" t="s">
        <v>67</v>
      </c>
      <c r="V80" t="s">
        <v>68</v>
      </c>
    </row>
    <row r="81" spans="4:22" x14ac:dyDescent="0.3">
      <c r="D81" t="s">
        <v>59</v>
      </c>
      <c r="F81">
        <v>50</v>
      </c>
      <c r="S81" t="s">
        <v>69</v>
      </c>
      <c r="V81" t="s">
        <v>70</v>
      </c>
    </row>
    <row r="82" spans="4:22" x14ac:dyDescent="0.3">
      <c r="D82" t="s">
        <v>21</v>
      </c>
      <c r="F82">
        <v>75</v>
      </c>
    </row>
    <row r="85" spans="4:22" x14ac:dyDescent="0.3">
      <c r="D85" t="s">
        <v>71</v>
      </c>
      <c r="F85">
        <v>3</v>
      </c>
      <c r="G85">
        <v>3</v>
      </c>
      <c r="H85">
        <v>1</v>
      </c>
      <c r="T85" s="1" t="s">
        <v>73</v>
      </c>
      <c r="U85" s="1" t="s">
        <v>74</v>
      </c>
    </row>
    <row r="86" spans="4:22" x14ac:dyDescent="0.3">
      <c r="D86" t="s">
        <v>72</v>
      </c>
      <c r="F86">
        <v>2</v>
      </c>
      <c r="I86">
        <v>8</v>
      </c>
      <c r="J86">
        <v>4</v>
      </c>
      <c r="U86" s="1" t="s">
        <v>75</v>
      </c>
    </row>
  </sheetData>
  <phoneticPr fontId="2" type="noConversion"/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944B-BDFE-42C3-AC94-6C9102F65F3C}">
  <sheetPr>
    <tabColor rgb="FFD3B5E9"/>
  </sheetPr>
  <dimension ref="A1:W73"/>
  <sheetViews>
    <sheetView showGridLines="0" topLeftCell="G1" zoomScale="85" zoomScaleNormal="85" workbookViewId="0">
      <selection activeCell="N20" sqref="N20"/>
    </sheetView>
  </sheetViews>
  <sheetFormatPr baseColWidth="10" defaultRowHeight="14.4" x14ac:dyDescent="0.3"/>
  <cols>
    <col min="1" max="1" width="11" customWidth="1"/>
    <col min="2" max="2" width="18.5546875" customWidth="1"/>
    <col min="3" max="3" width="17.33203125" customWidth="1"/>
    <col min="4" max="4" width="16.44140625" customWidth="1"/>
    <col min="5" max="5" width="17.109375" customWidth="1"/>
    <col min="7" max="7" width="15.33203125" customWidth="1"/>
    <col min="8" max="8" width="16.5546875" customWidth="1"/>
    <col min="9" max="9" width="13.88671875" bestFit="1" customWidth="1"/>
    <col min="10" max="10" width="13.33203125" customWidth="1"/>
    <col min="11" max="11" width="25.6640625" customWidth="1"/>
    <col min="12" max="12" width="13.5546875" customWidth="1"/>
    <col min="15" max="15" width="17.44140625" bestFit="1" customWidth="1"/>
    <col min="17" max="18" width="17.44140625" bestFit="1" customWidth="1"/>
    <col min="20" max="20" width="17.44140625" bestFit="1" customWidth="1"/>
  </cols>
  <sheetData>
    <row r="1" spans="3:21" ht="31.2" x14ac:dyDescent="0.6">
      <c r="C1" s="82" t="s">
        <v>649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3" spans="3:21" ht="15" thickBot="1" x14ac:dyDescent="0.35">
      <c r="L3" s="33" t="s">
        <v>650</v>
      </c>
      <c r="M3" s="33"/>
    </row>
    <row r="4" spans="3:21" x14ac:dyDescent="0.3">
      <c r="D4" s="83"/>
      <c r="E4" s="84"/>
      <c r="F4" s="84"/>
      <c r="G4" s="84"/>
      <c r="H4" s="84"/>
      <c r="I4" s="85"/>
      <c r="L4" s="33"/>
      <c r="M4" s="33"/>
      <c r="N4" s="1" t="s">
        <v>651</v>
      </c>
    </row>
    <row r="5" spans="3:21" x14ac:dyDescent="0.3">
      <c r="D5" s="86"/>
      <c r="E5">
        <v>365</v>
      </c>
      <c r="F5">
        <v>15</v>
      </c>
      <c r="G5">
        <f>12*0.25</f>
        <v>3</v>
      </c>
      <c r="I5" s="87">
        <f>+E5+F5+G5</f>
        <v>383</v>
      </c>
      <c r="K5" t="s">
        <v>652</v>
      </c>
      <c r="L5" s="70">
        <v>400</v>
      </c>
      <c r="N5" s="1" t="s">
        <v>653</v>
      </c>
      <c r="O5" t="s">
        <v>654</v>
      </c>
      <c r="P5" t="s">
        <v>655</v>
      </c>
      <c r="Q5" t="s">
        <v>656</v>
      </c>
    </row>
    <row r="6" spans="3:21" x14ac:dyDescent="0.3">
      <c r="D6" s="88" t="s">
        <v>657</v>
      </c>
      <c r="E6" s="6" t="s">
        <v>658</v>
      </c>
      <c r="F6" s="6"/>
      <c r="G6" s="6"/>
      <c r="H6" s="6"/>
      <c r="I6" s="89"/>
      <c r="K6" t="s">
        <v>659</v>
      </c>
      <c r="L6" s="13">
        <v>1.0492999999999999</v>
      </c>
      <c r="N6" s="1" t="s">
        <v>660</v>
      </c>
      <c r="O6" s="90">
        <v>29594</v>
      </c>
    </row>
    <row r="7" spans="3:21" x14ac:dyDescent="0.3">
      <c r="D7" s="86"/>
      <c r="F7" t="s">
        <v>661</v>
      </c>
      <c r="I7" s="89"/>
      <c r="K7" t="s">
        <v>539</v>
      </c>
      <c r="L7" s="70">
        <f>+L5*L6</f>
        <v>419.71999999999997</v>
      </c>
      <c r="N7" s="1" t="s">
        <v>662</v>
      </c>
      <c r="O7" t="s">
        <v>663</v>
      </c>
    </row>
    <row r="8" spans="3:21" x14ac:dyDescent="0.3">
      <c r="D8" s="86"/>
      <c r="F8">
        <v>365</v>
      </c>
      <c r="I8" s="89">
        <f>+F8</f>
        <v>365</v>
      </c>
      <c r="N8" s="1" t="s">
        <v>664</v>
      </c>
      <c r="O8" t="s">
        <v>665</v>
      </c>
    </row>
    <row r="9" spans="3:21" ht="15" thickBot="1" x14ac:dyDescent="0.35">
      <c r="D9" s="91"/>
      <c r="E9" s="68"/>
      <c r="F9" s="68"/>
      <c r="G9" s="68"/>
      <c r="H9" s="68"/>
      <c r="I9" s="92">
        <f>+I5/I8</f>
        <v>1.0493150684931507</v>
      </c>
      <c r="K9" t="s">
        <v>666</v>
      </c>
      <c r="L9" s="70">
        <v>103.74</v>
      </c>
      <c r="N9" s="1" t="s">
        <v>667</v>
      </c>
      <c r="P9" s="90">
        <v>44805</v>
      </c>
    </row>
    <row r="10" spans="3:21" x14ac:dyDescent="0.3">
      <c r="K10" t="s">
        <v>668</v>
      </c>
      <c r="L10" s="30">
        <v>5.0000000000000001E-3</v>
      </c>
    </row>
    <row r="11" spans="3:21" x14ac:dyDescent="0.3">
      <c r="K11" t="s">
        <v>669</v>
      </c>
      <c r="L11">
        <v>30</v>
      </c>
    </row>
    <row r="12" spans="3:21" x14ac:dyDescent="0.3">
      <c r="G12" s="33"/>
      <c r="H12" s="33"/>
      <c r="K12" t="s">
        <v>670</v>
      </c>
      <c r="L12">
        <v>61</v>
      </c>
    </row>
    <row r="13" spans="3:21" x14ac:dyDescent="0.3">
      <c r="D13" t="s">
        <v>671</v>
      </c>
      <c r="G13" s="93">
        <v>207.44</v>
      </c>
    </row>
    <row r="14" spans="3:21" x14ac:dyDescent="0.3">
      <c r="G14" s="7"/>
      <c r="H14" s="7"/>
    </row>
    <row r="15" spans="3:21" ht="23.4" x14ac:dyDescent="0.45">
      <c r="C15" s="94" t="s">
        <v>672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</row>
    <row r="16" spans="3:21" ht="15" thickBot="1" x14ac:dyDescent="0.35"/>
    <row r="17" spans="3:20" ht="15" thickBot="1" x14ac:dyDescent="0.35">
      <c r="C17" s="95" t="s">
        <v>673</v>
      </c>
      <c r="D17" s="96" t="s">
        <v>674</v>
      </c>
      <c r="E17" s="97" t="s">
        <v>675</v>
      </c>
      <c r="F17" s="98"/>
      <c r="G17" s="98"/>
      <c r="H17" s="99"/>
      <c r="I17" s="100" t="s">
        <v>676</v>
      </c>
      <c r="J17" s="101" t="s">
        <v>677</v>
      </c>
      <c r="K17" s="33" t="s">
        <v>678</v>
      </c>
      <c r="L17" s="33" t="s">
        <v>678</v>
      </c>
      <c r="M17" s="33" t="s">
        <v>679</v>
      </c>
      <c r="N17" s="33" t="s">
        <v>680</v>
      </c>
      <c r="O17" s="33" t="s">
        <v>681</v>
      </c>
      <c r="P17" s="33" t="s">
        <v>682</v>
      </c>
      <c r="Q17" s="102" t="s">
        <v>681</v>
      </c>
      <c r="R17" s="33" t="s">
        <v>683</v>
      </c>
      <c r="S17" s="33" t="s">
        <v>682</v>
      </c>
      <c r="T17" s="103" t="s">
        <v>683</v>
      </c>
    </row>
    <row r="18" spans="3:20" ht="21.75" customHeight="1" thickBot="1" x14ac:dyDescent="0.35">
      <c r="C18" s="104"/>
      <c r="D18" s="105"/>
      <c r="E18" s="97" t="s">
        <v>684</v>
      </c>
      <c r="F18" s="99"/>
      <c r="G18" s="106" t="s">
        <v>685</v>
      </c>
      <c r="H18" s="107" t="s">
        <v>686</v>
      </c>
      <c r="I18" s="108"/>
      <c r="J18" s="109"/>
      <c r="K18" s="33" t="s">
        <v>687</v>
      </c>
      <c r="L18" s="33" t="s">
        <v>688</v>
      </c>
      <c r="M18" s="33"/>
      <c r="N18" s="33" t="s">
        <v>679</v>
      </c>
      <c r="O18" s="33" t="s">
        <v>689</v>
      </c>
      <c r="P18" s="33" t="s">
        <v>690</v>
      </c>
      <c r="Q18" s="102" t="s">
        <v>691</v>
      </c>
      <c r="R18" s="33" t="s">
        <v>689</v>
      </c>
      <c r="S18" s="33" t="s">
        <v>690</v>
      </c>
      <c r="T18" s="103" t="s">
        <v>691</v>
      </c>
    </row>
    <row r="19" spans="3:20" ht="24.6" thickBot="1" x14ac:dyDescent="0.35">
      <c r="C19" s="110" t="s">
        <v>692</v>
      </c>
      <c r="D19" s="111" t="s">
        <v>693</v>
      </c>
      <c r="E19" s="112" t="s">
        <v>694</v>
      </c>
      <c r="F19" s="113"/>
      <c r="G19" s="114">
        <v>0</v>
      </c>
      <c r="H19" s="111" t="s">
        <v>695</v>
      </c>
      <c r="I19" s="106" t="s">
        <v>539</v>
      </c>
      <c r="J19" s="115" t="s">
        <v>696</v>
      </c>
      <c r="K19" s="116">
        <f>+L10</f>
        <v>5.0000000000000001E-3</v>
      </c>
      <c r="L19" s="117"/>
      <c r="M19" s="41" t="s">
        <v>539</v>
      </c>
      <c r="N19" s="118">
        <f>+L7</f>
        <v>419.71999999999997</v>
      </c>
      <c r="O19" s="119">
        <f>+K19*N19</f>
        <v>2.0985999999999998</v>
      </c>
      <c r="P19" s="118">
        <f>+L11</f>
        <v>30</v>
      </c>
      <c r="Q19" s="120">
        <f>+O19*P19</f>
        <v>62.957999999999991</v>
      </c>
      <c r="R19" s="41"/>
      <c r="S19" s="41"/>
      <c r="T19" s="121"/>
    </row>
    <row r="20" spans="3:20" ht="34.5" customHeight="1" x14ac:dyDescent="0.3">
      <c r="C20" s="122"/>
      <c r="D20" s="123"/>
      <c r="E20" s="124" t="s">
        <v>697</v>
      </c>
      <c r="F20" s="123"/>
      <c r="G20" s="123"/>
      <c r="H20" s="123"/>
      <c r="I20" s="123"/>
      <c r="J20" s="125" t="s">
        <v>698</v>
      </c>
      <c r="K20" s="126"/>
      <c r="L20" s="126"/>
      <c r="M20" s="41"/>
      <c r="N20" s="41"/>
      <c r="O20" s="127"/>
      <c r="P20" s="41"/>
      <c r="Q20" s="120"/>
      <c r="R20" s="41"/>
      <c r="S20" s="41"/>
      <c r="T20" s="121"/>
    </row>
    <row r="21" spans="3:20" ht="25.5" customHeight="1" x14ac:dyDescent="0.3">
      <c r="C21" s="122"/>
      <c r="D21" s="123"/>
      <c r="E21" s="128"/>
      <c r="F21" s="129"/>
      <c r="G21" s="129"/>
      <c r="H21" s="129"/>
      <c r="I21" s="129"/>
      <c r="J21" s="130"/>
      <c r="K21" s="131"/>
      <c r="L21" s="126"/>
      <c r="M21" s="41"/>
      <c r="N21" s="41"/>
      <c r="O21" s="127"/>
      <c r="P21" s="41"/>
      <c r="Q21" s="120"/>
      <c r="R21" s="41"/>
      <c r="S21" s="41"/>
      <c r="T21" s="121"/>
    </row>
    <row r="22" spans="3:20" ht="15" thickBot="1" x14ac:dyDescent="0.35">
      <c r="C22" s="122"/>
      <c r="D22" s="123"/>
      <c r="E22" s="128"/>
      <c r="F22" s="132">
        <v>0.20399999999999999</v>
      </c>
      <c r="G22" s="133">
        <v>0</v>
      </c>
      <c r="H22" s="134">
        <v>0.20399999999999999</v>
      </c>
      <c r="I22" s="135" t="s">
        <v>699</v>
      </c>
      <c r="J22" s="130"/>
      <c r="K22" s="131">
        <f>+F22</f>
        <v>0.20399999999999999</v>
      </c>
      <c r="L22" s="126"/>
      <c r="M22" s="41" t="s">
        <v>699</v>
      </c>
      <c r="N22" s="118">
        <f>+L9</f>
        <v>103.74</v>
      </c>
      <c r="O22" s="119">
        <f>+K22*N22</f>
        <v>21.162959999999998</v>
      </c>
      <c r="P22" s="118">
        <f>+P19</f>
        <v>30</v>
      </c>
      <c r="Q22" s="120">
        <f>+O22*P22</f>
        <v>634.88879999999995</v>
      </c>
      <c r="R22" s="41"/>
      <c r="S22" s="41"/>
      <c r="T22" s="121"/>
    </row>
    <row r="23" spans="3:20" ht="15" thickBot="1" x14ac:dyDescent="0.35">
      <c r="C23" s="122"/>
      <c r="D23" s="123"/>
      <c r="E23" s="136"/>
      <c r="F23" s="137"/>
      <c r="G23" s="137"/>
      <c r="H23" s="137"/>
      <c r="I23" s="137"/>
      <c r="J23" s="138"/>
      <c r="K23" s="126"/>
      <c r="L23" s="126"/>
      <c r="M23" s="41"/>
      <c r="N23" s="41"/>
      <c r="O23" s="127"/>
      <c r="P23" s="41"/>
      <c r="Q23" s="120"/>
      <c r="R23" s="41"/>
      <c r="S23" s="41"/>
      <c r="T23" s="121"/>
    </row>
    <row r="24" spans="3:20" ht="12.75" customHeight="1" x14ac:dyDescent="0.3">
      <c r="C24" s="122"/>
      <c r="D24" s="123" t="s">
        <v>700</v>
      </c>
      <c r="E24" s="124" t="s">
        <v>701</v>
      </c>
      <c r="F24" s="123"/>
      <c r="G24" s="123"/>
      <c r="H24" s="123"/>
      <c r="I24" s="129"/>
      <c r="J24" s="125" t="s">
        <v>702</v>
      </c>
      <c r="K24" s="126"/>
      <c r="L24" s="126"/>
      <c r="M24" s="41"/>
      <c r="N24" s="41"/>
      <c r="O24" s="127"/>
      <c r="P24" s="41"/>
      <c r="Q24" s="120"/>
      <c r="R24" s="41"/>
      <c r="S24" s="41"/>
      <c r="T24" s="121"/>
    </row>
    <row r="25" spans="3:20" ht="53.25" customHeight="1" x14ac:dyDescent="0.3">
      <c r="C25" s="122"/>
      <c r="D25" s="139"/>
      <c r="E25" s="128"/>
      <c r="F25" s="129"/>
      <c r="G25" s="129"/>
      <c r="H25" s="129"/>
      <c r="I25" s="135" t="s">
        <v>703</v>
      </c>
      <c r="J25" s="130"/>
      <c r="K25" s="131"/>
      <c r="L25" s="131"/>
      <c r="M25" s="41"/>
      <c r="N25" s="41"/>
      <c r="O25" s="127"/>
      <c r="P25" s="41"/>
      <c r="Q25" s="120"/>
      <c r="R25" s="41"/>
      <c r="S25" s="41"/>
      <c r="T25" s="121"/>
    </row>
    <row r="26" spans="3:20" ht="24.6" thickBot="1" x14ac:dyDescent="0.35">
      <c r="C26" s="122" t="s">
        <v>704</v>
      </c>
      <c r="D26" s="137"/>
      <c r="E26" s="136"/>
      <c r="F26" s="140">
        <v>1.0999999999999999E-2</v>
      </c>
      <c r="G26" s="114">
        <v>4.0000000000000001E-3</v>
      </c>
      <c r="H26" s="141">
        <v>1.4999999999999999E-2</v>
      </c>
      <c r="I26" s="137"/>
      <c r="J26" s="138"/>
      <c r="K26" s="131">
        <f>+F26</f>
        <v>1.0999999999999999E-2</v>
      </c>
      <c r="L26" s="131">
        <f>+G26</f>
        <v>4.0000000000000001E-3</v>
      </c>
      <c r="M26" s="41" t="s">
        <v>705</v>
      </c>
      <c r="N26" s="118">
        <f>IF((N19-(L9*3))&gt;0,N19-(L9*3),0)</f>
        <v>108.5</v>
      </c>
      <c r="O26" s="119">
        <f>+K26*N26</f>
        <v>1.1935</v>
      </c>
      <c r="P26" s="118">
        <f>+P19</f>
        <v>30</v>
      </c>
      <c r="Q26" s="120">
        <f>+O26*P26</f>
        <v>35.805</v>
      </c>
      <c r="R26" s="118">
        <f>+L26*N26</f>
        <v>0.434</v>
      </c>
      <c r="S26" s="118">
        <f>+P26</f>
        <v>30</v>
      </c>
      <c r="T26" s="121">
        <f>+R26*S26</f>
        <v>13.02</v>
      </c>
    </row>
    <row r="27" spans="3:20" ht="32.25" customHeight="1" x14ac:dyDescent="0.3">
      <c r="C27" s="142"/>
      <c r="D27" s="124" t="s">
        <v>706</v>
      </c>
      <c r="E27" s="143"/>
      <c r="F27" s="144"/>
      <c r="G27" s="129"/>
      <c r="H27" s="129"/>
      <c r="I27" s="129"/>
      <c r="J27" s="145" t="s">
        <v>707</v>
      </c>
      <c r="K27" s="126"/>
      <c r="L27" s="126"/>
      <c r="M27" s="41"/>
      <c r="N27" s="41"/>
      <c r="O27" s="127"/>
      <c r="P27" s="41"/>
      <c r="Q27" s="120"/>
      <c r="R27" s="41"/>
      <c r="S27" s="41"/>
      <c r="T27" s="121"/>
    </row>
    <row r="28" spans="3:20" ht="15" thickBot="1" x14ac:dyDescent="0.35">
      <c r="C28" s="142"/>
      <c r="D28" s="136"/>
      <c r="E28" s="146">
        <v>1.0500000000000001E-2</v>
      </c>
      <c r="F28" s="147"/>
      <c r="G28" s="114">
        <v>3.7499999999999999E-3</v>
      </c>
      <c r="H28" s="141">
        <v>1.4250000000000001E-2</v>
      </c>
      <c r="I28" s="106" t="s">
        <v>539</v>
      </c>
      <c r="J28" s="148"/>
      <c r="K28" s="131">
        <f>+E28</f>
        <v>1.0500000000000001E-2</v>
      </c>
      <c r="L28" s="131">
        <f>+G28</f>
        <v>3.7499999999999999E-3</v>
      </c>
      <c r="M28" s="41" t="s">
        <v>539</v>
      </c>
      <c r="N28" s="118">
        <f>+N19</f>
        <v>419.71999999999997</v>
      </c>
      <c r="O28" s="119">
        <f>+K28*N28</f>
        <v>4.4070599999999995</v>
      </c>
      <c r="P28" s="118">
        <f>+P19</f>
        <v>30</v>
      </c>
      <c r="Q28" s="120">
        <f>+O28*P28</f>
        <v>132.21179999999998</v>
      </c>
      <c r="R28" s="119">
        <f>+L28*N28</f>
        <v>1.5739499999999997</v>
      </c>
      <c r="S28" s="118">
        <f>+P28</f>
        <v>30</v>
      </c>
      <c r="T28" s="121">
        <f>+R28*S28</f>
        <v>47.218499999999992</v>
      </c>
    </row>
    <row r="29" spans="3:20" ht="43.5" customHeight="1" thickBot="1" x14ac:dyDescent="0.35">
      <c r="C29" s="149"/>
      <c r="D29" s="111" t="s">
        <v>708</v>
      </c>
      <c r="E29" s="150">
        <v>7.0000000000000001E-3</v>
      </c>
      <c r="F29" s="151"/>
      <c r="G29" s="114">
        <v>2.5000000000000001E-3</v>
      </c>
      <c r="H29" s="141">
        <v>9.4999999999999998E-3</v>
      </c>
      <c r="I29" s="106" t="s">
        <v>539</v>
      </c>
      <c r="J29" s="115" t="s">
        <v>709</v>
      </c>
      <c r="K29" s="131">
        <f>+E29</f>
        <v>7.0000000000000001E-3</v>
      </c>
      <c r="L29" s="131">
        <f>+G29</f>
        <v>2.5000000000000001E-3</v>
      </c>
      <c r="M29" s="41" t="s">
        <v>539</v>
      </c>
      <c r="N29" s="152">
        <f>+N19</f>
        <v>419.71999999999997</v>
      </c>
      <c r="O29" s="153">
        <f>+K29*N29</f>
        <v>2.93804</v>
      </c>
      <c r="P29" s="152">
        <f>+P19</f>
        <v>30</v>
      </c>
      <c r="Q29" s="120">
        <f>+O29*P29</f>
        <v>88.141199999999998</v>
      </c>
      <c r="R29" s="153">
        <f>+L29*N29</f>
        <v>1.0492999999999999</v>
      </c>
      <c r="S29" s="152">
        <f>+P29</f>
        <v>30</v>
      </c>
      <c r="T29" s="121">
        <f>+R29*S29</f>
        <v>31.478999999999996</v>
      </c>
    </row>
    <row r="30" spans="3:20" ht="15" thickBot="1" x14ac:dyDescent="0.35">
      <c r="C30" s="110" t="s">
        <v>710</v>
      </c>
      <c r="D30" s="111" t="s">
        <v>693</v>
      </c>
      <c r="E30" s="150">
        <v>1.7500000000000002E-2</v>
      </c>
      <c r="F30" s="151"/>
      <c r="G30" s="114">
        <v>6.2500000000000003E-3</v>
      </c>
      <c r="H30" s="141">
        <v>2.375E-2</v>
      </c>
      <c r="I30" s="106" t="s">
        <v>539</v>
      </c>
      <c r="J30" s="115" t="s">
        <v>711</v>
      </c>
      <c r="K30" s="154">
        <f>+E30</f>
        <v>1.7500000000000002E-2</v>
      </c>
      <c r="L30" s="154">
        <f>+G30</f>
        <v>6.2500000000000003E-3</v>
      </c>
      <c r="M30" s="41" t="s">
        <v>539</v>
      </c>
      <c r="N30" s="152">
        <f>+N19</f>
        <v>419.71999999999997</v>
      </c>
      <c r="O30" s="153">
        <f>+K30*N30</f>
        <v>7.3451000000000004</v>
      </c>
      <c r="P30" s="152">
        <f>+P19</f>
        <v>30</v>
      </c>
      <c r="Q30" s="120">
        <f>+O30*P30</f>
        <v>220.35300000000001</v>
      </c>
      <c r="R30" s="153">
        <f>+L30*N30</f>
        <v>2.6232500000000001</v>
      </c>
      <c r="S30" s="152">
        <f>+P30</f>
        <v>30</v>
      </c>
      <c r="T30" s="121">
        <f>+R30*S30</f>
        <v>78.697500000000005</v>
      </c>
    </row>
    <row r="31" spans="3:20" ht="15" thickBot="1" x14ac:dyDescent="0.35">
      <c r="C31" s="124" t="s">
        <v>712</v>
      </c>
      <c r="D31" s="111" t="s">
        <v>713</v>
      </c>
      <c r="E31" s="150">
        <v>0.02</v>
      </c>
      <c r="F31" s="151"/>
      <c r="G31" s="114">
        <v>0</v>
      </c>
      <c r="H31" s="141">
        <v>0.02</v>
      </c>
      <c r="I31" s="106" t="s">
        <v>539</v>
      </c>
      <c r="J31" s="115" t="s">
        <v>714</v>
      </c>
      <c r="K31" s="155">
        <f>+E31</f>
        <v>0.02</v>
      </c>
      <c r="L31" s="155"/>
      <c r="M31" s="41" t="s">
        <v>539</v>
      </c>
      <c r="N31" s="152">
        <f>+N19</f>
        <v>419.71999999999997</v>
      </c>
      <c r="O31" s="153">
        <f>+K31*N31</f>
        <v>8.3943999999999992</v>
      </c>
      <c r="P31" s="152">
        <f>+L12</f>
        <v>61</v>
      </c>
      <c r="Q31" s="120">
        <f>+O31*P31</f>
        <v>512.05840000000001</v>
      </c>
      <c r="R31" s="127"/>
      <c r="S31" s="41"/>
      <c r="T31" s="121"/>
    </row>
    <row r="32" spans="3:20" ht="24.6" thickBot="1" x14ac:dyDescent="0.35">
      <c r="C32" s="136"/>
      <c r="D32" s="111" t="s">
        <v>715</v>
      </c>
      <c r="E32" s="156" t="s">
        <v>716</v>
      </c>
      <c r="F32" s="157"/>
      <c r="G32" s="114">
        <v>1.125E-2</v>
      </c>
      <c r="H32" s="141">
        <v>4.2750000000000003E-2</v>
      </c>
      <c r="I32" s="106" t="s">
        <v>539</v>
      </c>
      <c r="J32" s="115" t="s">
        <v>717</v>
      </c>
      <c r="K32" s="158">
        <f>VLOOKUP($L$7,$C$41:F48,4,TRUE)</f>
        <v>4.2410000000000003E-2</v>
      </c>
      <c r="L32" s="159">
        <f>+G32</f>
        <v>1.125E-2</v>
      </c>
      <c r="M32" s="41" t="s">
        <v>539</v>
      </c>
      <c r="N32" s="152">
        <f>+N19</f>
        <v>419.71999999999997</v>
      </c>
      <c r="O32" s="153">
        <f>+K32*N32</f>
        <v>17.8003252</v>
      </c>
      <c r="P32" s="152">
        <f>+P31</f>
        <v>61</v>
      </c>
      <c r="Q32" s="120">
        <f>+O32*P32</f>
        <v>1085.8198371999999</v>
      </c>
      <c r="R32" s="119">
        <f>+L32*N32</f>
        <v>4.7218499999999999</v>
      </c>
      <c r="S32" s="118">
        <f>+P32</f>
        <v>61</v>
      </c>
      <c r="T32" s="121">
        <f>+R32*S32</f>
        <v>288.03285</v>
      </c>
    </row>
    <row r="33" spans="1:23" ht="20.25" customHeight="1" x14ac:dyDescent="0.3">
      <c r="C33" s="160" t="s">
        <v>718</v>
      </c>
      <c r="D33" s="129"/>
      <c r="E33" s="143"/>
      <c r="F33" s="144"/>
      <c r="G33" s="129"/>
      <c r="H33" s="129"/>
      <c r="I33" s="129"/>
      <c r="J33" s="161"/>
      <c r="K33" s="126"/>
      <c r="L33" s="126"/>
      <c r="M33" s="41"/>
      <c r="N33" s="41"/>
      <c r="O33" s="127"/>
      <c r="P33" s="41"/>
      <c r="Q33" s="120"/>
      <c r="R33" s="127"/>
      <c r="S33" s="41"/>
      <c r="T33" s="121"/>
    </row>
    <row r="34" spans="1:23" ht="15" thickBot="1" x14ac:dyDescent="0.35">
      <c r="C34" s="162"/>
      <c r="D34" s="111" t="s">
        <v>700</v>
      </c>
      <c r="E34" s="146">
        <v>0.01</v>
      </c>
      <c r="F34" s="147"/>
      <c r="G34" s="114">
        <v>0</v>
      </c>
      <c r="H34" s="141">
        <v>0.01</v>
      </c>
      <c r="I34" s="106" t="s">
        <v>539</v>
      </c>
      <c r="J34" s="115" t="s">
        <v>719</v>
      </c>
      <c r="K34" s="154">
        <f>+E34</f>
        <v>0.01</v>
      </c>
      <c r="L34" s="154"/>
      <c r="M34" s="41" t="s">
        <v>539</v>
      </c>
      <c r="N34" s="118">
        <f>+N19</f>
        <v>419.71999999999997</v>
      </c>
      <c r="O34" s="119">
        <f>+K34*N34</f>
        <v>4.1971999999999996</v>
      </c>
      <c r="P34" s="118">
        <f>+P19</f>
        <v>30</v>
      </c>
      <c r="Q34" s="120">
        <f>+O34*P34</f>
        <v>125.91599999999998</v>
      </c>
      <c r="R34" s="127"/>
      <c r="S34" s="41"/>
      <c r="T34" s="121"/>
    </row>
    <row r="35" spans="1:23" ht="15" thickBot="1" x14ac:dyDescent="0.35">
      <c r="J35" s="7"/>
      <c r="K35" s="41"/>
      <c r="L35" s="41"/>
      <c r="M35" s="41"/>
      <c r="N35" s="41"/>
      <c r="O35" s="127"/>
      <c r="P35" s="41"/>
      <c r="Q35" s="163"/>
      <c r="R35" s="127"/>
      <c r="S35" s="41"/>
      <c r="T35" s="163"/>
    </row>
    <row r="36" spans="1:23" ht="28.5" customHeight="1" x14ac:dyDescent="0.3">
      <c r="C36" s="124" t="s">
        <v>720</v>
      </c>
      <c r="D36" s="164" t="s">
        <v>721</v>
      </c>
      <c r="E36" s="165">
        <v>0.05</v>
      </c>
      <c r="F36" s="166"/>
      <c r="G36" s="167" t="s">
        <v>722</v>
      </c>
      <c r="H36" s="165">
        <f>+E36</f>
        <v>0.05</v>
      </c>
      <c r="I36" s="167"/>
      <c r="J36" s="168" t="s">
        <v>723</v>
      </c>
      <c r="K36" s="169"/>
      <c r="L36" s="169"/>
      <c r="M36" s="41"/>
      <c r="N36" s="41"/>
      <c r="O36" s="127"/>
      <c r="P36" s="41"/>
      <c r="Q36" s="120"/>
      <c r="R36" s="127"/>
      <c r="S36" s="41"/>
      <c r="T36" s="163"/>
    </row>
    <row r="37" spans="1:23" ht="27" customHeight="1" thickBot="1" x14ac:dyDescent="0.35">
      <c r="C37" s="136"/>
      <c r="D37" s="170"/>
      <c r="E37" s="171"/>
      <c r="F37" s="172"/>
      <c r="G37" s="173" t="s">
        <v>724</v>
      </c>
      <c r="H37" s="171"/>
      <c r="I37" s="174" t="s">
        <v>539</v>
      </c>
      <c r="J37" s="175"/>
      <c r="K37" s="176">
        <f>+H36</f>
        <v>0.05</v>
      </c>
      <c r="L37" s="177"/>
      <c r="M37" s="41" t="s">
        <v>539</v>
      </c>
      <c r="N37" s="118">
        <f>+N19</f>
        <v>419.71999999999997</v>
      </c>
      <c r="O37" s="119">
        <f>+K37*N37</f>
        <v>20.986000000000001</v>
      </c>
      <c r="P37" s="118">
        <f>+P32</f>
        <v>61</v>
      </c>
      <c r="Q37" s="120">
        <f>+O37*P37</f>
        <v>1280.146</v>
      </c>
      <c r="R37" s="127"/>
      <c r="S37" s="41"/>
      <c r="T37" s="121"/>
    </row>
    <row r="38" spans="1:23" ht="15" thickBot="1" x14ac:dyDescent="0.35">
      <c r="M38" s="41"/>
      <c r="Q38" s="21"/>
      <c r="R38" s="5"/>
      <c r="T38" s="21"/>
    </row>
    <row r="39" spans="1:23" ht="15" thickBot="1" x14ac:dyDescent="0.3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O39" s="178" t="s">
        <v>725</v>
      </c>
      <c r="P39" s="179"/>
      <c r="Q39" s="180">
        <f>SUM(Q19:Q38)</f>
        <v>4178.2980372000002</v>
      </c>
      <c r="R39" s="178" t="s">
        <v>726</v>
      </c>
      <c r="S39" s="179"/>
      <c r="T39" s="180">
        <f>SUM(T19:T38)</f>
        <v>458.44785000000002</v>
      </c>
      <c r="U39" s="70"/>
    </row>
    <row r="40" spans="1:23" ht="15" thickBot="1" x14ac:dyDescent="0.35">
      <c r="B40" s="58" t="s">
        <v>539</v>
      </c>
      <c r="C40" s="181" t="s">
        <v>727</v>
      </c>
      <c r="D40" s="181" t="s">
        <v>728</v>
      </c>
      <c r="E40" s="181" t="s">
        <v>729</v>
      </c>
      <c r="F40" s="58">
        <v>2023</v>
      </c>
      <c r="G40" s="58">
        <v>2024</v>
      </c>
      <c r="H40" s="58">
        <v>2025</v>
      </c>
      <c r="I40" s="58">
        <v>2026</v>
      </c>
      <c r="J40" s="58">
        <v>2027</v>
      </c>
      <c r="K40" s="58">
        <v>2028</v>
      </c>
      <c r="L40" s="58">
        <v>2029</v>
      </c>
      <c r="M40" s="58">
        <v>2030</v>
      </c>
      <c r="Q40" s="70"/>
      <c r="T40" s="70"/>
      <c r="U40" s="182" t="s">
        <v>730</v>
      </c>
    </row>
    <row r="41" spans="1:23" ht="15" thickBot="1" x14ac:dyDescent="0.35">
      <c r="B41" s="183" t="s">
        <v>731</v>
      </c>
      <c r="C41" s="184">
        <v>207.44</v>
      </c>
      <c r="D41" s="184">
        <v>207.44</v>
      </c>
      <c r="E41" s="185" t="s">
        <v>732</v>
      </c>
      <c r="F41" s="186">
        <v>3.15E-2</v>
      </c>
      <c r="G41" s="186">
        <v>3.15E-2</v>
      </c>
      <c r="H41" s="186">
        <v>3.15E-2</v>
      </c>
      <c r="I41" s="186">
        <v>3.15E-2</v>
      </c>
      <c r="J41" s="186">
        <v>3.15E-2</v>
      </c>
      <c r="K41" s="186">
        <v>3.15E-2</v>
      </c>
      <c r="L41" s="186">
        <v>3.15E-2</v>
      </c>
      <c r="M41" s="186">
        <v>3.15E-2</v>
      </c>
      <c r="O41" t="s">
        <v>733</v>
      </c>
      <c r="Q41" s="187">
        <f>+Q19+Q22+Q28+Q29+Q30+Q34+Q26</f>
        <v>1300.2737999999999</v>
      </c>
      <c r="R41" t="s">
        <v>734</v>
      </c>
      <c r="S41" s="21"/>
      <c r="T41" s="188">
        <f>+T19+T22+T28+T29+T30+T34+T26</f>
        <v>170.41499999999999</v>
      </c>
      <c r="U41" s="189">
        <f>+Q41+T41</f>
        <v>1470.6887999999999</v>
      </c>
    </row>
    <row r="42" spans="1:23" ht="15" thickBot="1" x14ac:dyDescent="0.35">
      <c r="B42" s="183" t="s">
        <v>735</v>
      </c>
      <c r="C42" s="184">
        <v>209.51</v>
      </c>
      <c r="D42" s="184">
        <v>155.61000000000001</v>
      </c>
      <c r="E42" s="190" t="s">
        <v>736</v>
      </c>
      <c r="F42" s="186">
        <v>3.2809999999999999E-2</v>
      </c>
      <c r="G42" s="186">
        <v>3.4130000000000001E-2</v>
      </c>
      <c r="H42" s="186">
        <v>3.5439999999999999E-2</v>
      </c>
      <c r="I42" s="186">
        <v>3.6760000000000001E-2</v>
      </c>
      <c r="J42" s="186">
        <v>3.807E-2</v>
      </c>
      <c r="K42" s="186">
        <v>3.9390000000000001E-2</v>
      </c>
      <c r="L42" s="186">
        <v>4.07E-2</v>
      </c>
      <c r="M42" s="186">
        <v>4.2020000000000002E-2</v>
      </c>
      <c r="O42" t="s">
        <v>737</v>
      </c>
      <c r="Q42" s="191">
        <f>+Q31+Q32</f>
        <v>1597.8782372000001</v>
      </c>
      <c r="R42" t="s">
        <v>738</v>
      </c>
      <c r="S42" s="21"/>
      <c r="T42" s="192">
        <f>+T31+T32</f>
        <v>288.03285</v>
      </c>
      <c r="U42" s="189">
        <f>+Q42+T42</f>
        <v>1885.9110872000001</v>
      </c>
    </row>
    <row r="43" spans="1:23" ht="15" thickBot="1" x14ac:dyDescent="0.35">
      <c r="B43" s="183" t="s">
        <v>739</v>
      </c>
      <c r="C43" s="184">
        <v>156.63999999999999</v>
      </c>
      <c r="D43" s="184">
        <v>207.48</v>
      </c>
      <c r="E43" s="193" t="s">
        <v>740</v>
      </c>
      <c r="F43" s="186">
        <v>3.5749999999999997E-2</v>
      </c>
      <c r="G43" s="186">
        <v>0.04</v>
      </c>
      <c r="H43" s="186">
        <v>4.4260000000000001E-2</v>
      </c>
      <c r="I43" s="186">
        <v>4.8509999999999998E-2</v>
      </c>
      <c r="J43" s="186">
        <v>5.2760000000000001E-2</v>
      </c>
      <c r="K43" s="186">
        <v>5.7009999999999998E-2</v>
      </c>
      <c r="L43" s="186">
        <v>6.1260000000000002E-2</v>
      </c>
      <c r="M43" s="186">
        <v>6.5519999999999995E-2</v>
      </c>
      <c r="O43" t="s">
        <v>741</v>
      </c>
      <c r="Q43" s="191">
        <f>+Q37</f>
        <v>1280.146</v>
      </c>
      <c r="R43" t="s">
        <v>742</v>
      </c>
      <c r="S43" s="21"/>
      <c r="T43" s="192">
        <f>+T37</f>
        <v>0</v>
      </c>
      <c r="U43" s="189">
        <f>+Q43+T43</f>
        <v>1280.146</v>
      </c>
    </row>
    <row r="44" spans="1:23" ht="15" thickBot="1" x14ac:dyDescent="0.35">
      <c r="B44" s="183" t="s">
        <v>743</v>
      </c>
      <c r="C44" s="184">
        <v>208.51</v>
      </c>
      <c r="D44" s="184">
        <v>259.35000000000002</v>
      </c>
      <c r="E44" s="194" t="s">
        <v>744</v>
      </c>
      <c r="F44" s="186">
        <v>3.7510000000000002E-2</v>
      </c>
      <c r="G44" s="186">
        <v>4.3529999999999999E-2</v>
      </c>
      <c r="H44" s="186">
        <v>4.9540000000000001E-2</v>
      </c>
      <c r="I44" s="186">
        <v>5.5559999999999998E-2</v>
      </c>
      <c r="J44" s="186">
        <v>6.157E-2</v>
      </c>
      <c r="K44" s="186">
        <v>6.7589999999999997E-2</v>
      </c>
      <c r="L44" s="186">
        <v>7.3599999999999999E-2</v>
      </c>
      <c r="M44" s="186">
        <v>7.9619999999999996E-2</v>
      </c>
      <c r="Q44" s="70"/>
      <c r="R44" s="21"/>
      <c r="S44" s="21"/>
      <c r="T44" s="70"/>
      <c r="U44" s="70"/>
    </row>
    <row r="45" spans="1:23" ht="15" thickBot="1" x14ac:dyDescent="0.35">
      <c r="B45" s="183" t="s">
        <v>745</v>
      </c>
      <c r="C45" s="184">
        <v>260.38</v>
      </c>
      <c r="D45" s="184">
        <v>311.22000000000003</v>
      </c>
      <c r="E45" s="183" t="s">
        <v>746</v>
      </c>
      <c r="F45" s="186">
        <v>3.8690000000000002E-2</v>
      </c>
      <c r="G45" s="186">
        <v>4.5879999999999997E-2</v>
      </c>
      <c r="H45" s="186">
        <v>5.3069999999999999E-2</v>
      </c>
      <c r="I45" s="186">
        <v>6.0260000000000001E-2</v>
      </c>
      <c r="J45" s="186">
        <v>6.7449999999999996E-2</v>
      </c>
      <c r="K45" s="186">
        <v>7.4639999999999998E-2</v>
      </c>
      <c r="L45" s="186">
        <v>8.183E-2</v>
      </c>
      <c r="M45" s="186">
        <v>8.9020000000000002E-2</v>
      </c>
      <c r="O45" t="s">
        <v>747</v>
      </c>
      <c r="Q45" s="195">
        <f>SUM(Q41:Q44)</f>
        <v>4178.2980372000002</v>
      </c>
      <c r="R45" s="20"/>
      <c r="S45" s="20"/>
      <c r="T45" s="195">
        <f>SUM(T41:T44)</f>
        <v>458.44785000000002</v>
      </c>
      <c r="U45" s="189">
        <f>+Q45+T45</f>
        <v>4636.7458872000007</v>
      </c>
      <c r="W45" s="70">
        <v>5672.22</v>
      </c>
    </row>
    <row r="46" spans="1:23" x14ac:dyDescent="0.3">
      <c r="B46" s="183" t="s">
        <v>748</v>
      </c>
      <c r="C46" s="184">
        <v>312.25</v>
      </c>
      <c r="D46" s="184">
        <v>363.09</v>
      </c>
      <c r="E46" s="196" t="s">
        <v>749</v>
      </c>
      <c r="F46" s="186">
        <v>3.9530000000000003E-2</v>
      </c>
      <c r="G46" s="186">
        <v>4.7559999999999998E-2</v>
      </c>
      <c r="H46" s="186">
        <v>5.5590000000000001E-2</v>
      </c>
      <c r="I46" s="186">
        <v>6.361E-2</v>
      </c>
      <c r="J46" s="186">
        <v>7.1639999999999995E-2</v>
      </c>
      <c r="K46" s="186">
        <v>7.9670000000000005E-2</v>
      </c>
      <c r="L46" s="186">
        <v>8.77E-2</v>
      </c>
      <c r="M46" s="186">
        <v>9.5729999999999996E-2</v>
      </c>
      <c r="W46" s="70">
        <v>3046.01</v>
      </c>
    </row>
    <row r="47" spans="1:23" x14ac:dyDescent="0.3">
      <c r="B47" s="183" t="s">
        <v>750</v>
      </c>
      <c r="C47" s="184">
        <v>364.12</v>
      </c>
      <c r="D47" s="184">
        <v>414.96</v>
      </c>
      <c r="E47" s="183" t="s">
        <v>751</v>
      </c>
      <c r="F47" s="186">
        <v>4.0160000000000001E-2</v>
      </c>
      <c r="G47" s="186">
        <v>4.8820000000000002E-2</v>
      </c>
      <c r="H47" s="186">
        <v>5.747E-2</v>
      </c>
      <c r="I47" s="186">
        <v>6.6129999999999994E-2</v>
      </c>
      <c r="J47" s="186">
        <v>7.4789999999999995E-2</v>
      </c>
      <c r="K47" s="186">
        <v>8.3449999999999996E-2</v>
      </c>
      <c r="L47" s="186">
        <v>9.2109999999999997E-2</v>
      </c>
      <c r="M47" s="186">
        <v>0.10077</v>
      </c>
      <c r="Q47" s="71"/>
      <c r="W47" s="187">
        <v>4636.75</v>
      </c>
    </row>
    <row r="48" spans="1:23" x14ac:dyDescent="0.3">
      <c r="B48" s="183" t="s">
        <v>752</v>
      </c>
      <c r="C48" s="184">
        <v>415.99</v>
      </c>
      <c r="D48" s="184">
        <v>2593.5</v>
      </c>
      <c r="E48" s="183" t="s">
        <v>753</v>
      </c>
      <c r="F48" s="186">
        <v>4.2410000000000003E-2</v>
      </c>
      <c r="G48" s="186">
        <v>5.3310000000000003E-2</v>
      </c>
      <c r="H48" s="186">
        <v>6.4219999999999999E-2</v>
      </c>
      <c r="I48" s="186">
        <v>7.5130000000000002E-2</v>
      </c>
      <c r="J48" s="186">
        <v>8.6029999999999995E-2</v>
      </c>
      <c r="K48" s="186">
        <v>9.6939999999999998E-2</v>
      </c>
      <c r="L48" s="186">
        <v>0.10784000000000001</v>
      </c>
      <c r="M48" s="186">
        <v>0.11874999999999999</v>
      </c>
      <c r="Q48" s="197"/>
      <c r="W48" s="198">
        <f>SUM(W45:W47)</f>
        <v>13354.98</v>
      </c>
    </row>
    <row r="50" spans="3:17" x14ac:dyDescent="0.3">
      <c r="Q50" s="21"/>
    </row>
    <row r="51" spans="3:17" x14ac:dyDescent="0.3">
      <c r="C51" t="s">
        <v>754</v>
      </c>
      <c r="E51" s="70">
        <f>+G13</f>
        <v>207.44</v>
      </c>
    </row>
    <row r="52" spans="3:17" x14ac:dyDescent="0.3">
      <c r="C52" t="s">
        <v>755</v>
      </c>
      <c r="E52" s="70">
        <f>+L9</f>
        <v>103.74</v>
      </c>
    </row>
    <row r="53" spans="3:17" x14ac:dyDescent="0.3">
      <c r="C53" t="s">
        <v>756</v>
      </c>
      <c r="E53" s="70">
        <v>312.41000000000003</v>
      </c>
    </row>
    <row r="54" spans="3:17" x14ac:dyDescent="0.3">
      <c r="C54" t="s">
        <v>757</v>
      </c>
      <c r="E54" s="199">
        <f>+E51*1.0493</f>
        <v>217.66679199999999</v>
      </c>
    </row>
    <row r="55" spans="3:17" x14ac:dyDescent="0.3">
      <c r="C55" t="s">
        <v>758</v>
      </c>
      <c r="E55" s="200">
        <f>+E53*1.0493</f>
        <v>327.81181299999997</v>
      </c>
    </row>
    <row r="61" spans="3:17" x14ac:dyDescent="0.3">
      <c r="F61" s="70">
        <f>+E51*1.01</f>
        <v>209.51439999999999</v>
      </c>
      <c r="G61" s="201">
        <f>+E52*1.5</f>
        <v>155.60999999999999</v>
      </c>
      <c r="H61" s="70">
        <f>+E53*1.01</f>
        <v>315.53410000000002</v>
      </c>
    </row>
    <row r="62" spans="3:17" x14ac:dyDescent="0.3">
      <c r="F62" s="70"/>
      <c r="G62" s="201">
        <f>+E52*1.51</f>
        <v>156.6474</v>
      </c>
    </row>
    <row r="63" spans="3:17" x14ac:dyDescent="0.3">
      <c r="F63" s="70"/>
      <c r="G63" s="201">
        <f>+E52*2</f>
        <v>207.48</v>
      </c>
    </row>
    <row r="64" spans="3:17" x14ac:dyDescent="0.3">
      <c r="F64" s="70"/>
      <c r="G64" s="201">
        <f>+E52*2.01</f>
        <v>208.51739999999998</v>
      </c>
    </row>
    <row r="65" spans="6:7" x14ac:dyDescent="0.3">
      <c r="F65" s="70"/>
      <c r="G65" s="201">
        <f>+E52*2.5</f>
        <v>259.34999999999997</v>
      </c>
    </row>
    <row r="66" spans="6:7" x14ac:dyDescent="0.3">
      <c r="G66" s="201">
        <f>+E52*2.51</f>
        <v>260.38739999999996</v>
      </c>
    </row>
    <row r="67" spans="6:7" x14ac:dyDescent="0.3">
      <c r="F67" s="202">
        <f>+M48-F48</f>
        <v>7.6339999999999991E-2</v>
      </c>
      <c r="G67" s="201">
        <f>+E52*3</f>
        <v>311.21999999999997</v>
      </c>
    </row>
    <row r="68" spans="6:7" x14ac:dyDescent="0.3">
      <c r="G68" s="201">
        <f>+$E$52*3.01</f>
        <v>312.25739999999996</v>
      </c>
    </row>
    <row r="69" spans="6:7" x14ac:dyDescent="0.3">
      <c r="G69" s="201">
        <f>+$E$52*3.5</f>
        <v>363.09</v>
      </c>
    </row>
    <row r="70" spans="6:7" x14ac:dyDescent="0.3">
      <c r="G70" s="201">
        <f>+$E$52*3.51</f>
        <v>364.12739999999997</v>
      </c>
    </row>
    <row r="71" spans="6:7" x14ac:dyDescent="0.3">
      <c r="G71" s="201">
        <f>+$E$52*4</f>
        <v>414.96</v>
      </c>
    </row>
    <row r="72" spans="6:7" x14ac:dyDescent="0.3">
      <c r="G72" s="201">
        <f>+$E$52*4.01</f>
        <v>415.99739999999997</v>
      </c>
    </row>
    <row r="73" spans="6:7" x14ac:dyDescent="0.3">
      <c r="G73" s="70">
        <f>+E52*25</f>
        <v>2593.5</v>
      </c>
    </row>
  </sheetData>
  <mergeCells count="32">
    <mergeCell ref="R39:S39"/>
    <mergeCell ref="C36:C37"/>
    <mergeCell ref="D36:D37"/>
    <mergeCell ref="E36:F37"/>
    <mergeCell ref="H36:H37"/>
    <mergeCell ref="J36:J37"/>
    <mergeCell ref="O39:P39"/>
    <mergeCell ref="E29:F29"/>
    <mergeCell ref="E30:F30"/>
    <mergeCell ref="C31:C32"/>
    <mergeCell ref="E31:F31"/>
    <mergeCell ref="E32:F32"/>
    <mergeCell ref="C33:C34"/>
    <mergeCell ref="E33:F33"/>
    <mergeCell ref="E34:F34"/>
    <mergeCell ref="E19:F19"/>
    <mergeCell ref="E20:E23"/>
    <mergeCell ref="J20:J23"/>
    <mergeCell ref="E24:E26"/>
    <mergeCell ref="J24:J26"/>
    <mergeCell ref="D27:D28"/>
    <mergeCell ref="E27:F27"/>
    <mergeCell ref="J27:J28"/>
    <mergeCell ref="E28:F28"/>
    <mergeCell ref="C1:U1"/>
    <mergeCell ref="C15:T15"/>
    <mergeCell ref="C17:C18"/>
    <mergeCell ref="D17:D18"/>
    <mergeCell ref="E17:H17"/>
    <mergeCell ref="I17:I18"/>
    <mergeCell ref="J17:J18"/>
    <mergeCell ref="E18:F18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0468-FCB3-4FE5-8101-84D353D5DCAF}">
  <dimension ref="D3:Q37"/>
  <sheetViews>
    <sheetView tabSelected="1" topLeftCell="D15" workbookViewId="0">
      <selection activeCell="I32" sqref="I32"/>
    </sheetView>
  </sheetViews>
  <sheetFormatPr baseColWidth="10" defaultRowHeight="14.4" x14ac:dyDescent="0.3"/>
  <cols>
    <col min="4" max="4" width="15.6640625" customWidth="1"/>
  </cols>
  <sheetData>
    <row r="3" spans="4:17" x14ac:dyDescent="0.3">
      <c r="D3" s="1" t="s">
        <v>668</v>
      </c>
    </row>
    <row r="5" spans="4:17" x14ac:dyDescent="0.3">
      <c r="D5" t="s">
        <v>759</v>
      </c>
    </row>
    <row r="7" spans="4:17" x14ac:dyDescent="0.3">
      <c r="D7" t="s">
        <v>760</v>
      </c>
    </row>
    <row r="8" spans="4:17" x14ac:dyDescent="0.3">
      <c r="D8" t="s">
        <v>761</v>
      </c>
    </row>
    <row r="9" spans="4:17" x14ac:dyDescent="0.3">
      <c r="D9" t="s">
        <v>762</v>
      </c>
      <c r="E9" t="s">
        <v>763</v>
      </c>
    </row>
    <row r="10" spans="4:17" x14ac:dyDescent="0.3">
      <c r="D10" t="s">
        <v>73</v>
      </c>
      <c r="E10" t="s">
        <v>764</v>
      </c>
      <c r="G10" t="s">
        <v>765</v>
      </c>
      <c r="L10" t="s">
        <v>766</v>
      </c>
      <c r="N10" t="s">
        <v>539</v>
      </c>
      <c r="O10" t="s">
        <v>767</v>
      </c>
      <c r="Q10" t="s">
        <v>768</v>
      </c>
    </row>
    <row r="11" spans="4:17" x14ac:dyDescent="0.3">
      <c r="D11" t="s">
        <v>769</v>
      </c>
      <c r="M11" t="s">
        <v>770</v>
      </c>
    </row>
    <row r="12" spans="4:17" x14ac:dyDescent="0.3">
      <c r="D12" t="s">
        <v>771</v>
      </c>
      <c r="M12" t="s">
        <v>772</v>
      </c>
    </row>
    <row r="13" spans="4:17" x14ac:dyDescent="0.3">
      <c r="D13" t="s">
        <v>773</v>
      </c>
    </row>
    <row r="14" spans="4:17" x14ac:dyDescent="0.3">
      <c r="D14" t="s">
        <v>774</v>
      </c>
      <c r="F14" t="s">
        <v>775</v>
      </c>
      <c r="G14" t="s">
        <v>776</v>
      </c>
      <c r="L14" t="s">
        <v>777</v>
      </c>
      <c r="O14" t="s">
        <v>778</v>
      </c>
    </row>
    <row r="15" spans="4:17" x14ac:dyDescent="0.3">
      <c r="O15" t="s">
        <v>779</v>
      </c>
    </row>
    <row r="19" spans="4:12" x14ac:dyDescent="0.3">
      <c r="D19" t="s">
        <v>783</v>
      </c>
      <c r="E19" t="s">
        <v>326</v>
      </c>
      <c r="F19" t="s">
        <v>784</v>
      </c>
    </row>
    <row r="20" spans="4:12" x14ac:dyDescent="0.3">
      <c r="D20" t="s">
        <v>339</v>
      </c>
      <c r="F20" t="s">
        <v>61</v>
      </c>
    </row>
    <row r="21" spans="4:12" x14ac:dyDescent="0.3">
      <c r="D21" t="s">
        <v>785</v>
      </c>
      <c r="F21" t="s">
        <v>539</v>
      </c>
    </row>
    <row r="22" spans="4:12" x14ac:dyDescent="0.3">
      <c r="F22" t="s">
        <v>786</v>
      </c>
    </row>
    <row r="23" spans="4:12" x14ac:dyDescent="0.3">
      <c r="F23" t="s">
        <v>787</v>
      </c>
    </row>
    <row r="26" spans="4:12" x14ac:dyDescent="0.3">
      <c r="D26" t="s">
        <v>788</v>
      </c>
    </row>
    <row r="27" spans="4:12" x14ac:dyDescent="0.3">
      <c r="I27" t="s">
        <v>795</v>
      </c>
      <c r="L27" t="s">
        <v>796</v>
      </c>
    </row>
    <row r="28" spans="4:12" x14ac:dyDescent="0.3">
      <c r="D28" t="s">
        <v>789</v>
      </c>
      <c r="I28" t="s">
        <v>797</v>
      </c>
      <c r="K28" s="2" t="s">
        <v>768</v>
      </c>
      <c r="L28" t="s">
        <v>799</v>
      </c>
    </row>
    <row r="29" spans="4:12" x14ac:dyDescent="0.3">
      <c r="D29" t="s">
        <v>763</v>
      </c>
      <c r="E29" t="s">
        <v>762</v>
      </c>
      <c r="L29" t="s">
        <v>800</v>
      </c>
    </row>
    <row r="30" spans="4:12" x14ac:dyDescent="0.3">
      <c r="D30" t="s">
        <v>790</v>
      </c>
      <c r="E30" t="s">
        <v>791</v>
      </c>
      <c r="L30" t="s">
        <v>801</v>
      </c>
    </row>
    <row r="31" spans="4:12" x14ac:dyDescent="0.3">
      <c r="D31" t="s">
        <v>792</v>
      </c>
      <c r="E31" t="s">
        <v>793</v>
      </c>
    </row>
    <row r="32" spans="4:12" x14ac:dyDescent="0.3">
      <c r="D32" t="s">
        <v>794</v>
      </c>
      <c r="E32" t="s">
        <v>773</v>
      </c>
      <c r="I32" t="s">
        <v>803</v>
      </c>
      <c r="K32" s="2" t="s">
        <v>802</v>
      </c>
      <c r="L32" s="1" t="s">
        <v>806</v>
      </c>
    </row>
    <row r="33" spans="9:12" x14ac:dyDescent="0.3">
      <c r="K33" s="2" t="s">
        <v>804</v>
      </c>
      <c r="L33" s="1" t="s">
        <v>805</v>
      </c>
    </row>
    <row r="37" spans="9:12" x14ac:dyDescent="0.3">
      <c r="I37" t="s">
        <v>798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25E5-024E-49FF-9ADC-3068AFF096E5}">
  <dimension ref="B2:P44"/>
  <sheetViews>
    <sheetView workbookViewId="0">
      <selection activeCell="C18" sqref="C18"/>
    </sheetView>
  </sheetViews>
  <sheetFormatPr baseColWidth="10" defaultRowHeight="14.4" x14ac:dyDescent="0.3"/>
  <sheetData>
    <row r="2" spans="4:9" x14ac:dyDescent="0.3">
      <c r="G2" t="s">
        <v>103</v>
      </c>
    </row>
    <row r="3" spans="4:9" x14ac:dyDescent="0.3">
      <c r="G3" t="s">
        <v>104</v>
      </c>
      <c r="I3" t="s">
        <v>106</v>
      </c>
    </row>
    <row r="4" spans="4:9" x14ac:dyDescent="0.3">
      <c r="G4" t="s">
        <v>105</v>
      </c>
      <c r="I4" t="s">
        <v>107</v>
      </c>
    </row>
    <row r="5" spans="4:9" x14ac:dyDescent="0.3">
      <c r="D5" t="s">
        <v>102</v>
      </c>
      <c r="E5">
        <v>6</v>
      </c>
      <c r="F5" s="5"/>
      <c r="G5">
        <f>1/6</f>
        <v>0.16666666666666666</v>
      </c>
      <c r="I5">
        <f>+E5*G5</f>
        <v>1</v>
      </c>
    </row>
    <row r="6" spans="4:9" x14ac:dyDescent="0.3">
      <c r="E6">
        <v>4</v>
      </c>
      <c r="G6">
        <f>1/6</f>
        <v>0.16666666666666666</v>
      </c>
      <c r="I6">
        <f>+E6*G6</f>
        <v>0.66666666666666663</v>
      </c>
    </row>
    <row r="11" spans="4:9" x14ac:dyDescent="0.3">
      <c r="D11" s="1" t="s">
        <v>34</v>
      </c>
      <c r="E11" s="1"/>
      <c r="F11" s="1"/>
    </row>
    <row r="14" spans="4:9" x14ac:dyDescent="0.3">
      <c r="D14" t="s">
        <v>108</v>
      </c>
      <c r="F14" t="s">
        <v>109</v>
      </c>
      <c r="H14">
        <v>300</v>
      </c>
    </row>
    <row r="15" spans="4:9" x14ac:dyDescent="0.3">
      <c r="F15" t="s">
        <v>110</v>
      </c>
      <c r="H15">
        <f>+H14/8</f>
        <v>37.5</v>
      </c>
    </row>
    <row r="16" spans="4:9" x14ac:dyDescent="0.3">
      <c r="F16" t="s">
        <v>111</v>
      </c>
      <c r="H16">
        <f>+H15*2</f>
        <v>75</v>
      </c>
    </row>
    <row r="18" spans="2:10" x14ac:dyDescent="0.3">
      <c r="B18" t="s">
        <v>113</v>
      </c>
      <c r="D18" t="s">
        <v>112</v>
      </c>
      <c r="F18">
        <v>8</v>
      </c>
      <c r="G18" t="s">
        <v>78</v>
      </c>
      <c r="H18">
        <v>75</v>
      </c>
      <c r="I18">
        <f>+F18*H18</f>
        <v>600</v>
      </c>
    </row>
    <row r="19" spans="2:10" x14ac:dyDescent="0.3">
      <c r="C19" t="s">
        <v>76</v>
      </c>
      <c r="D19" t="s">
        <v>114</v>
      </c>
      <c r="I19">
        <v>300</v>
      </c>
    </row>
    <row r="20" spans="2:10" x14ac:dyDescent="0.3">
      <c r="I20" s="10">
        <f>SUM(I18:I19)</f>
        <v>900</v>
      </c>
    </row>
    <row r="21" spans="2:10" x14ac:dyDescent="0.3">
      <c r="C21" t="s">
        <v>77</v>
      </c>
      <c r="D21" t="s">
        <v>22</v>
      </c>
      <c r="I21" s="4">
        <f>+I19*0.25</f>
        <v>75</v>
      </c>
    </row>
    <row r="22" spans="2:10" x14ac:dyDescent="0.3">
      <c r="I22">
        <f>SUM(I20:I21)</f>
        <v>975</v>
      </c>
    </row>
    <row r="26" spans="2:10" x14ac:dyDescent="0.3">
      <c r="B26" t="s">
        <v>115</v>
      </c>
      <c r="D26" t="s">
        <v>116</v>
      </c>
      <c r="F26">
        <v>5</v>
      </c>
      <c r="G26" t="s">
        <v>78</v>
      </c>
      <c r="H26">
        <v>75</v>
      </c>
      <c r="I26">
        <f>+F26*H26</f>
        <v>375</v>
      </c>
    </row>
    <row r="27" spans="2:10" x14ac:dyDescent="0.3">
      <c r="C27" t="s">
        <v>76</v>
      </c>
      <c r="D27" t="s">
        <v>114</v>
      </c>
      <c r="I27">
        <v>300</v>
      </c>
    </row>
    <row r="28" spans="2:10" x14ac:dyDescent="0.3">
      <c r="I28">
        <f>SUM(I26:I27)</f>
        <v>675</v>
      </c>
    </row>
    <row r="29" spans="2:10" x14ac:dyDescent="0.3">
      <c r="C29" t="s">
        <v>77</v>
      </c>
      <c r="D29" t="s">
        <v>22</v>
      </c>
      <c r="I29" s="4">
        <f>+G34</f>
        <v>46.875</v>
      </c>
      <c r="J29" s="1" t="s">
        <v>121</v>
      </c>
    </row>
    <row r="30" spans="2:10" x14ac:dyDescent="0.3">
      <c r="D30" t="s">
        <v>2</v>
      </c>
      <c r="G30">
        <f>+H15</f>
        <v>37.5</v>
      </c>
      <c r="I30">
        <f>SUM(I28:I29)</f>
        <v>721.875</v>
      </c>
      <c r="J30" s="1" t="s">
        <v>122</v>
      </c>
    </row>
    <row r="31" spans="2:10" x14ac:dyDescent="0.3">
      <c r="D31" t="s">
        <v>117</v>
      </c>
      <c r="G31" s="1">
        <f>+F26</f>
        <v>5</v>
      </c>
    </row>
    <row r="32" spans="2:10" x14ac:dyDescent="0.3">
      <c r="D32" t="s">
        <v>118</v>
      </c>
      <c r="G32">
        <f>+G30*G31</f>
        <v>187.5</v>
      </c>
    </row>
    <row r="33" spans="4:16" x14ac:dyDescent="0.3">
      <c r="D33" t="s">
        <v>119</v>
      </c>
      <c r="G33" s="8">
        <v>0.25</v>
      </c>
    </row>
    <row r="34" spans="4:16" x14ac:dyDescent="0.3">
      <c r="D34" t="s">
        <v>120</v>
      </c>
      <c r="G34">
        <f>+G32*G33</f>
        <v>46.875</v>
      </c>
    </row>
    <row r="36" spans="4:16" x14ac:dyDescent="0.3">
      <c r="I36" s="1"/>
    </row>
    <row r="41" spans="4:16" x14ac:dyDescent="0.3">
      <c r="G41" t="s">
        <v>129</v>
      </c>
      <c r="H41">
        <v>365</v>
      </c>
      <c r="J41">
        <v>15</v>
      </c>
      <c r="L41" t="s">
        <v>130</v>
      </c>
      <c r="O41">
        <v>383</v>
      </c>
    </row>
    <row r="42" spans="4:16" x14ac:dyDescent="0.3">
      <c r="G42" t="s">
        <v>128</v>
      </c>
      <c r="H42">
        <v>365</v>
      </c>
      <c r="J42">
        <v>15</v>
      </c>
      <c r="L42" t="s">
        <v>127</v>
      </c>
      <c r="M42">
        <v>381.5</v>
      </c>
      <c r="N42" s="13">
        <f>+M42/M44</f>
        <v>1.0452054794520549</v>
      </c>
      <c r="P42" s="13">
        <f>+O41/O44</f>
        <v>1.0493150684931507</v>
      </c>
    </row>
    <row r="43" spans="4:16" x14ac:dyDescent="0.3">
      <c r="E43" t="s">
        <v>123</v>
      </c>
      <c r="H43" s="6">
        <v>365</v>
      </c>
      <c r="I43" s="12" t="s">
        <v>124</v>
      </c>
      <c r="J43" s="6" t="s">
        <v>125</v>
      </c>
      <c r="K43" s="12" t="s">
        <v>124</v>
      </c>
      <c r="L43" s="6" t="s">
        <v>126</v>
      </c>
    </row>
    <row r="44" spans="4:16" x14ac:dyDescent="0.3">
      <c r="J44">
        <v>365</v>
      </c>
      <c r="M44">
        <v>365</v>
      </c>
      <c r="O44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4BAB-0B78-4153-83AD-0928E10E486C}">
  <dimension ref="D3:R17"/>
  <sheetViews>
    <sheetView workbookViewId="0">
      <selection activeCell="E13" sqref="E13"/>
    </sheetView>
  </sheetViews>
  <sheetFormatPr baseColWidth="10" defaultRowHeight="14.4" x14ac:dyDescent="0.3"/>
  <sheetData>
    <row r="3" spans="4:17" x14ac:dyDescent="0.3">
      <c r="D3" t="s">
        <v>133</v>
      </c>
      <c r="F3" s="16">
        <v>8000</v>
      </c>
    </row>
    <row r="5" spans="4:17" x14ac:dyDescent="0.3">
      <c r="D5" t="s">
        <v>131</v>
      </c>
    </row>
    <row r="7" spans="4:17" x14ac:dyDescent="0.3">
      <c r="D7" s="14">
        <v>44941</v>
      </c>
      <c r="E7" s="14">
        <v>45275</v>
      </c>
      <c r="F7" s="4" t="s">
        <v>132</v>
      </c>
      <c r="G7" s="14">
        <v>45291</v>
      </c>
      <c r="H7" t="s">
        <v>134</v>
      </c>
    </row>
    <row r="9" spans="4:17" x14ac:dyDescent="0.3">
      <c r="D9" s="4"/>
      <c r="E9" s="4"/>
      <c r="G9" s="15"/>
      <c r="M9" t="s">
        <v>143</v>
      </c>
      <c r="O9" t="s">
        <v>143</v>
      </c>
    </row>
    <row r="10" spans="4:17" x14ac:dyDescent="0.3">
      <c r="E10" s="16">
        <v>184000</v>
      </c>
      <c r="F10">
        <v>8000</v>
      </c>
      <c r="G10">
        <v>9000</v>
      </c>
      <c r="H10" s="16">
        <f>+E10+G10+F10</f>
        <v>201000</v>
      </c>
      <c r="K10" t="s">
        <v>142</v>
      </c>
      <c r="M10">
        <v>196888</v>
      </c>
      <c r="O10" s="16">
        <v>197888</v>
      </c>
      <c r="Q10" s="16">
        <f>+O10</f>
        <v>197888</v>
      </c>
    </row>
    <row r="11" spans="4:17" x14ac:dyDescent="0.3">
      <c r="D11" t="s">
        <v>135</v>
      </c>
      <c r="E11" s="16">
        <v>184000</v>
      </c>
      <c r="F11">
        <f>+F10-F12</f>
        <v>4887.8</v>
      </c>
      <c r="G11">
        <f>+G10</f>
        <v>9000</v>
      </c>
      <c r="H11" s="16">
        <f>+E11+G11+F11</f>
        <v>197887.8</v>
      </c>
      <c r="I11" t="s">
        <v>138</v>
      </c>
      <c r="L11" t="s">
        <v>137</v>
      </c>
      <c r="M11" s="18">
        <v>13000</v>
      </c>
      <c r="N11" s="1"/>
      <c r="O11" s="1">
        <v>13300</v>
      </c>
      <c r="Q11" s="16">
        <f t="shared" ref="Q11:Q14" si="0">+O11</f>
        <v>13300</v>
      </c>
    </row>
    <row r="12" spans="4:17" x14ac:dyDescent="0.3">
      <c r="D12" t="s">
        <v>136</v>
      </c>
      <c r="F12">
        <f>103.74*30</f>
        <v>3112.2</v>
      </c>
      <c r="H12" s="16">
        <f>+E12+G12+F12</f>
        <v>3112.2</v>
      </c>
      <c r="J12" t="s">
        <v>139</v>
      </c>
      <c r="M12" s="16">
        <v>11500</v>
      </c>
      <c r="O12" s="16">
        <f>+M12</f>
        <v>11500</v>
      </c>
      <c r="Q12" s="16">
        <f t="shared" si="0"/>
        <v>11500</v>
      </c>
    </row>
    <row r="13" spans="4:17" x14ac:dyDescent="0.3">
      <c r="J13" t="s">
        <v>140</v>
      </c>
      <c r="M13">
        <v>500</v>
      </c>
      <c r="O13" s="17">
        <f>+O11-O12-O14</f>
        <v>800</v>
      </c>
      <c r="Q13" s="16">
        <v>500</v>
      </c>
    </row>
    <row r="14" spans="4:17" x14ac:dyDescent="0.3">
      <c r="J14" t="s">
        <v>141</v>
      </c>
      <c r="M14" s="17">
        <f>+M11-M12-M13</f>
        <v>1000</v>
      </c>
      <c r="O14" s="16">
        <f>+M14</f>
        <v>1000</v>
      </c>
      <c r="Q14" s="16">
        <f t="shared" si="0"/>
        <v>1000</v>
      </c>
    </row>
    <row r="15" spans="4:17" x14ac:dyDescent="0.3">
      <c r="Q15" s="16"/>
    </row>
    <row r="16" spans="4:17" x14ac:dyDescent="0.3">
      <c r="M16" s="18">
        <f>SUM(M12:M15)</f>
        <v>13000</v>
      </c>
      <c r="N16" s="1"/>
      <c r="O16" s="18">
        <f>SUM(O12:O15)</f>
        <v>13300</v>
      </c>
      <c r="Q16" s="16">
        <f>+Q12+Q13+Q14</f>
        <v>13000</v>
      </c>
    </row>
    <row r="17" spans="13:18" x14ac:dyDescent="0.3">
      <c r="M17" s="16">
        <f>+M11-M16</f>
        <v>0</v>
      </c>
      <c r="O17" s="16">
        <f>+O11-O16</f>
        <v>0</v>
      </c>
      <c r="Q17" s="19">
        <f>+Q11-Q16</f>
        <v>300</v>
      </c>
      <c r="R17" t="s">
        <v>144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49F1-1CEF-4711-8784-E10A363F7D81}">
  <dimension ref="E5:P46"/>
  <sheetViews>
    <sheetView topLeftCell="B28" workbookViewId="0">
      <selection activeCell="G42" sqref="G42"/>
    </sheetView>
  </sheetViews>
  <sheetFormatPr baseColWidth="10" defaultRowHeight="14.4" x14ac:dyDescent="0.3"/>
  <cols>
    <col min="6" max="6" width="19.33203125" customWidth="1"/>
    <col min="12" max="12" width="16.88671875" customWidth="1"/>
  </cols>
  <sheetData>
    <row r="5" spans="6:16" x14ac:dyDescent="0.3">
      <c r="F5" s="2" t="s">
        <v>173</v>
      </c>
      <c r="M5" s="2" t="s">
        <v>183</v>
      </c>
    </row>
    <row r="6" spans="6:16" x14ac:dyDescent="0.3">
      <c r="F6" t="s">
        <v>174</v>
      </c>
      <c r="G6" t="s">
        <v>175</v>
      </c>
      <c r="H6">
        <v>4</v>
      </c>
      <c r="M6" t="s">
        <v>184</v>
      </c>
      <c r="N6" t="s">
        <v>175</v>
      </c>
      <c r="O6">
        <v>37</v>
      </c>
    </row>
    <row r="7" spans="6:16" x14ac:dyDescent="0.3">
      <c r="F7" t="s">
        <v>176</v>
      </c>
      <c r="H7">
        <v>52</v>
      </c>
      <c r="M7" t="s">
        <v>176</v>
      </c>
    </row>
    <row r="8" spans="6:16" x14ac:dyDescent="0.3">
      <c r="F8" s="1" t="s">
        <v>102</v>
      </c>
      <c r="G8" s="1"/>
      <c r="H8" s="1">
        <f>+H6*H7</f>
        <v>208</v>
      </c>
      <c r="M8" s="1" t="s">
        <v>102</v>
      </c>
      <c r="N8" s="1"/>
      <c r="O8" s="1">
        <v>37</v>
      </c>
    </row>
    <row r="9" spans="6:16" x14ac:dyDescent="0.3">
      <c r="F9" t="s">
        <v>177</v>
      </c>
      <c r="H9">
        <v>12</v>
      </c>
      <c r="I9" t="s">
        <v>178</v>
      </c>
      <c r="M9" t="s">
        <v>177</v>
      </c>
      <c r="O9">
        <v>12</v>
      </c>
      <c r="P9" t="s">
        <v>178</v>
      </c>
    </row>
    <row r="11" spans="6:16" x14ac:dyDescent="0.3">
      <c r="F11" t="s">
        <v>179</v>
      </c>
      <c r="G11" t="s">
        <v>180</v>
      </c>
      <c r="H11" s="1">
        <f>12/365</f>
        <v>3.287671232876712E-2</v>
      </c>
      <c r="I11">
        <f>+H11*365</f>
        <v>11.999999999999998</v>
      </c>
      <c r="M11" t="s">
        <v>179</v>
      </c>
      <c r="N11" t="s">
        <v>180</v>
      </c>
      <c r="O11" s="1">
        <f>12/365</f>
        <v>3.287671232876712E-2</v>
      </c>
      <c r="P11">
        <f>+O11*365</f>
        <v>11.999999999999998</v>
      </c>
    </row>
    <row r="13" spans="6:16" x14ac:dyDescent="0.3">
      <c r="F13" s="1" t="s">
        <v>181</v>
      </c>
      <c r="G13" t="s">
        <v>182</v>
      </c>
      <c r="H13" s="1">
        <f>+H8*H11</f>
        <v>6.8383561643835611</v>
      </c>
      <c r="M13" s="1" t="s">
        <v>181</v>
      </c>
      <c r="N13" t="s">
        <v>185</v>
      </c>
      <c r="O13" s="1">
        <f>+O8*O11</f>
        <v>1.2164383561643834</v>
      </c>
    </row>
    <row r="14" spans="6:16" x14ac:dyDescent="0.3">
      <c r="F14" s="1"/>
      <c r="H14" s="1"/>
      <c r="M14" s="1"/>
      <c r="O14" s="1"/>
    </row>
    <row r="15" spans="6:16" x14ac:dyDescent="0.3">
      <c r="F15" s="1"/>
      <c r="H15" s="1"/>
      <c r="M15" s="1"/>
      <c r="O15" s="1"/>
    </row>
    <row r="16" spans="6:16" x14ac:dyDescent="0.3">
      <c r="F16" s="1"/>
      <c r="H16" s="1"/>
    </row>
    <row r="17" spans="5:16" x14ac:dyDescent="0.3">
      <c r="F17" s="1"/>
      <c r="H17" s="1"/>
    </row>
    <row r="18" spans="5:16" x14ac:dyDescent="0.3">
      <c r="F18" s="1"/>
      <c r="H18" s="1"/>
    </row>
    <row r="22" spans="5:16" x14ac:dyDescent="0.3">
      <c r="E22" s="1" t="s">
        <v>145</v>
      </c>
    </row>
    <row r="24" spans="5:16" x14ac:dyDescent="0.3">
      <c r="E24" t="s">
        <v>146</v>
      </c>
    </row>
    <row r="26" spans="5:16" x14ac:dyDescent="0.3">
      <c r="E26" t="s">
        <v>147</v>
      </c>
      <c r="G26">
        <v>52</v>
      </c>
    </row>
    <row r="27" spans="5:16" x14ac:dyDescent="0.3">
      <c r="E27" t="s">
        <v>148</v>
      </c>
      <c r="G27">
        <v>4</v>
      </c>
    </row>
    <row r="28" spans="5:16" x14ac:dyDescent="0.3">
      <c r="E28" t="s">
        <v>149</v>
      </c>
      <c r="G28" s="4">
        <f>+G26*G27</f>
        <v>208</v>
      </c>
    </row>
    <row r="30" spans="5:16" x14ac:dyDescent="0.3">
      <c r="E30" t="s">
        <v>150</v>
      </c>
      <c r="G30" s="6" t="s">
        <v>151</v>
      </c>
      <c r="H30" s="6"/>
      <c r="I30">
        <v>6</v>
      </c>
      <c r="J30" s="1">
        <f>+I30/I31</f>
        <v>1.643835616438356E-2</v>
      </c>
      <c r="L30" t="s">
        <v>152</v>
      </c>
      <c r="M30" t="s">
        <v>153</v>
      </c>
      <c r="N30" t="s">
        <v>154</v>
      </c>
      <c r="O30" t="s">
        <v>155</v>
      </c>
      <c r="P30" t="s">
        <v>151</v>
      </c>
    </row>
    <row r="31" spans="5:16" x14ac:dyDescent="0.3">
      <c r="G31" t="s">
        <v>156</v>
      </c>
      <c r="I31">
        <v>365</v>
      </c>
      <c r="L31">
        <v>365</v>
      </c>
      <c r="N31">
        <f>+J30</f>
        <v>1.643835616438356E-2</v>
      </c>
      <c r="P31">
        <f>+L31*N31</f>
        <v>5.9999999999999991</v>
      </c>
    </row>
    <row r="33" spans="5:16" x14ac:dyDescent="0.3">
      <c r="L33" s="4">
        <f>+G28</f>
        <v>208</v>
      </c>
      <c r="N33">
        <f>+N31</f>
        <v>1.643835616438356E-2</v>
      </c>
      <c r="P33" s="1">
        <f>+L33*N33</f>
        <v>3.4191780821917805</v>
      </c>
    </row>
    <row r="35" spans="5:16" x14ac:dyDescent="0.3">
      <c r="E35" s="1" t="s">
        <v>157</v>
      </c>
    </row>
    <row r="37" spans="5:16" x14ac:dyDescent="0.3">
      <c r="E37" t="s">
        <v>151</v>
      </c>
      <c r="G37">
        <v>10</v>
      </c>
    </row>
    <row r="38" spans="5:16" x14ac:dyDescent="0.3">
      <c r="E38" t="s">
        <v>158</v>
      </c>
      <c r="G38">
        <v>5</v>
      </c>
      <c r="H38" t="s">
        <v>159</v>
      </c>
    </row>
    <row r="39" spans="5:16" x14ac:dyDescent="0.3">
      <c r="E39" t="s">
        <v>160</v>
      </c>
      <c r="G39" t="s">
        <v>161</v>
      </c>
    </row>
    <row r="40" spans="5:16" x14ac:dyDescent="0.3">
      <c r="E40" t="s">
        <v>24</v>
      </c>
      <c r="G40">
        <v>300</v>
      </c>
    </row>
    <row r="41" spans="5:16" x14ac:dyDescent="0.3">
      <c r="M41" t="s">
        <v>157</v>
      </c>
    </row>
    <row r="42" spans="5:16" x14ac:dyDescent="0.3">
      <c r="F42" t="s">
        <v>151</v>
      </c>
      <c r="G42">
        <v>10</v>
      </c>
      <c r="H42" s="7" t="s">
        <v>153</v>
      </c>
      <c r="I42">
        <v>300</v>
      </c>
      <c r="J42">
        <f>+G42*I42</f>
        <v>3000</v>
      </c>
      <c r="K42" s="7" t="s">
        <v>153</v>
      </c>
      <c r="L42" s="8">
        <v>0.25</v>
      </c>
      <c r="M42">
        <f>+J42*L42</f>
        <v>750</v>
      </c>
      <c r="N42" s="9" t="s">
        <v>162</v>
      </c>
    </row>
    <row r="43" spans="5:16" x14ac:dyDescent="0.3">
      <c r="F43" t="s">
        <v>163</v>
      </c>
      <c r="G43">
        <v>4</v>
      </c>
      <c r="H43" s="7" t="s">
        <v>153</v>
      </c>
      <c r="I43">
        <v>300</v>
      </c>
      <c r="J43">
        <f>+G43*I43</f>
        <v>1200</v>
      </c>
    </row>
    <row r="44" spans="5:16" x14ac:dyDescent="0.3">
      <c r="J44">
        <f>SUM(J42:J43)</f>
        <v>4200</v>
      </c>
    </row>
    <row r="46" spans="5:16" x14ac:dyDescent="0.3">
      <c r="J46">
        <f>+J44*0.25</f>
        <v>1050</v>
      </c>
      <c r="K46" t="s">
        <v>164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8D59-9D3D-4666-A835-B02368FA68C0}">
  <dimension ref="D5:O16"/>
  <sheetViews>
    <sheetView workbookViewId="0">
      <selection activeCell="O16" sqref="O16"/>
    </sheetView>
  </sheetViews>
  <sheetFormatPr baseColWidth="10" defaultRowHeight="14.4" x14ac:dyDescent="0.3"/>
  <cols>
    <col min="11" max="11" width="20.6640625" customWidth="1"/>
  </cols>
  <sheetData>
    <row r="5" spans="4:15" x14ac:dyDescent="0.3">
      <c r="D5" s="1" t="s">
        <v>165</v>
      </c>
      <c r="E5" s="1"/>
      <c r="F5" s="1"/>
      <c r="G5" s="1"/>
      <c r="H5" s="1"/>
      <c r="I5" s="1" t="s">
        <v>166</v>
      </c>
    </row>
    <row r="7" spans="4:15" x14ac:dyDescent="0.3">
      <c r="D7" t="s">
        <v>206</v>
      </c>
    </row>
    <row r="9" spans="4:15" x14ac:dyDescent="0.3">
      <c r="E9" t="s">
        <v>167</v>
      </c>
      <c r="H9" s="6" t="s">
        <v>168</v>
      </c>
      <c r="I9" s="6"/>
      <c r="K9" s="6">
        <v>15</v>
      </c>
      <c r="L9">
        <f>+K9/K10</f>
        <v>4.1095890410958902E-2</v>
      </c>
    </row>
    <row r="10" spans="4:15" x14ac:dyDescent="0.3">
      <c r="H10" t="s">
        <v>156</v>
      </c>
      <c r="K10">
        <v>365</v>
      </c>
    </row>
    <row r="12" spans="4:15" x14ac:dyDescent="0.3">
      <c r="E12" t="s">
        <v>152</v>
      </c>
      <c r="G12" s="7" t="s">
        <v>153</v>
      </c>
      <c r="H12" t="s">
        <v>169</v>
      </c>
      <c r="J12" t="s">
        <v>155</v>
      </c>
      <c r="K12" t="s">
        <v>170</v>
      </c>
      <c r="L12" s="7" t="s">
        <v>153</v>
      </c>
      <c r="M12" t="s">
        <v>24</v>
      </c>
      <c r="N12" t="s">
        <v>171</v>
      </c>
      <c r="O12" t="s">
        <v>172</v>
      </c>
    </row>
    <row r="14" spans="4:15" x14ac:dyDescent="0.3">
      <c r="D14">
        <v>1</v>
      </c>
      <c r="E14" s="1">
        <v>365</v>
      </c>
      <c r="G14" s="7" t="s">
        <v>153</v>
      </c>
      <c r="H14">
        <f>+L9</f>
        <v>4.1095890410958902E-2</v>
      </c>
      <c r="K14">
        <f>+E14*H14</f>
        <v>15</v>
      </c>
      <c r="L14" s="7" t="s">
        <v>153</v>
      </c>
      <c r="M14">
        <v>300</v>
      </c>
      <c r="O14" s="1">
        <f>+M14*K14</f>
        <v>4500</v>
      </c>
    </row>
    <row r="16" spans="4:15" x14ac:dyDescent="0.3">
      <c r="D16">
        <v>2</v>
      </c>
      <c r="E16" s="1">
        <v>250</v>
      </c>
      <c r="G16" s="7" t="s">
        <v>153</v>
      </c>
      <c r="H16">
        <f>+H14</f>
        <v>4.1095890410958902E-2</v>
      </c>
      <c r="K16">
        <f>+E16*H16</f>
        <v>10.273972602739725</v>
      </c>
      <c r="L16" s="7" t="s">
        <v>153</v>
      </c>
      <c r="M16">
        <v>300</v>
      </c>
      <c r="O16" s="22">
        <f>+M16*K16</f>
        <v>3082.1917808219177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8D610-F984-4700-AD2F-CBBFD9674E7B}">
  <dimension ref="D4:K20"/>
  <sheetViews>
    <sheetView topLeftCell="A29" workbookViewId="0">
      <selection activeCell="D48" sqref="D48"/>
    </sheetView>
  </sheetViews>
  <sheetFormatPr baseColWidth="10" defaultRowHeight="14.4" x14ac:dyDescent="0.3"/>
  <cols>
    <col min="5" max="5" width="14.44140625" customWidth="1"/>
  </cols>
  <sheetData>
    <row r="4" spans="4:11" x14ac:dyDescent="0.3">
      <c r="D4" t="s">
        <v>207</v>
      </c>
      <c r="F4">
        <v>500</v>
      </c>
    </row>
    <row r="5" spans="4:11" x14ac:dyDescent="0.3">
      <c r="D5" t="s">
        <v>28</v>
      </c>
      <c r="F5">
        <v>8</v>
      </c>
    </row>
    <row r="6" spans="4:11" x14ac:dyDescent="0.3">
      <c r="D6" t="s">
        <v>208</v>
      </c>
      <c r="F6">
        <f>+F4/F5</f>
        <v>62.5</v>
      </c>
    </row>
    <row r="7" spans="4:11" x14ac:dyDescent="0.3">
      <c r="D7" t="s">
        <v>209</v>
      </c>
      <c r="F7">
        <f>+F6*2</f>
        <v>125</v>
      </c>
    </row>
    <row r="8" spans="4:11" x14ac:dyDescent="0.3">
      <c r="D8" t="s">
        <v>210</v>
      </c>
      <c r="F8">
        <f>+F6*3</f>
        <v>187.5</v>
      </c>
    </row>
    <row r="12" spans="4:11" x14ac:dyDescent="0.3">
      <c r="D12" t="s">
        <v>211</v>
      </c>
    </row>
    <row r="14" spans="4:11" x14ac:dyDescent="0.3">
      <c r="D14" t="s">
        <v>212</v>
      </c>
      <c r="F14">
        <v>5</v>
      </c>
      <c r="I14" t="s">
        <v>212</v>
      </c>
      <c r="K14">
        <v>8</v>
      </c>
    </row>
    <row r="15" spans="4:11" x14ac:dyDescent="0.3">
      <c r="D15" t="s">
        <v>209</v>
      </c>
      <c r="F15">
        <f>+F7</f>
        <v>125</v>
      </c>
      <c r="I15" t="s">
        <v>209</v>
      </c>
      <c r="K15">
        <f>+F15</f>
        <v>125</v>
      </c>
    </row>
    <row r="16" spans="4:11" x14ac:dyDescent="0.3">
      <c r="D16" s="1" t="s">
        <v>213</v>
      </c>
      <c r="E16" s="1"/>
      <c r="F16" s="1">
        <f>+F14*F15</f>
        <v>625</v>
      </c>
      <c r="I16" s="1" t="s">
        <v>213</v>
      </c>
      <c r="J16" s="1"/>
      <c r="K16" s="1">
        <f>+K14*K15</f>
        <v>1000</v>
      </c>
    </row>
    <row r="18" spans="4:11" x14ac:dyDescent="0.3">
      <c r="D18" t="s">
        <v>214</v>
      </c>
      <c r="F18">
        <f>+F4</f>
        <v>500</v>
      </c>
      <c r="I18" t="s">
        <v>214</v>
      </c>
      <c r="K18">
        <f>+F18</f>
        <v>500</v>
      </c>
    </row>
    <row r="20" spans="4:11" x14ac:dyDescent="0.3">
      <c r="D20" t="s">
        <v>215</v>
      </c>
      <c r="F20" s="1">
        <f>+F16+F18</f>
        <v>1125</v>
      </c>
      <c r="I20" t="s">
        <v>215</v>
      </c>
      <c r="K20" s="1">
        <f>+K16+K18</f>
        <v>1500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0848-6DCF-4B61-86BB-AFFA85AD7D47}">
  <dimension ref="B2:O30"/>
  <sheetViews>
    <sheetView topLeftCell="A7" zoomScale="115" workbookViewId="0">
      <selection activeCell="F15" sqref="F15"/>
    </sheetView>
  </sheetViews>
  <sheetFormatPr baseColWidth="10" defaultRowHeight="14.4" x14ac:dyDescent="0.3"/>
  <cols>
    <col min="6" max="6" width="15.5546875" customWidth="1"/>
  </cols>
  <sheetData>
    <row r="2" spans="2:15" x14ac:dyDescent="0.3">
      <c r="D2" t="s">
        <v>202</v>
      </c>
      <c r="F2" s="1">
        <v>103.74</v>
      </c>
      <c r="I2" t="s">
        <v>186</v>
      </c>
      <c r="K2" s="24">
        <f>+F2*30.4*12</f>
        <v>37844.351999999999</v>
      </c>
    </row>
    <row r="3" spans="2:15" x14ac:dyDescent="0.3">
      <c r="I3" s="2" t="s">
        <v>187</v>
      </c>
      <c r="J3" s="2"/>
      <c r="K3" s="23">
        <f>+K2*7</f>
        <v>264910.46399999998</v>
      </c>
    </row>
    <row r="6" spans="2:15" x14ac:dyDescent="0.3">
      <c r="D6" t="s">
        <v>188</v>
      </c>
      <c r="E6" t="s">
        <v>76</v>
      </c>
      <c r="F6" t="s">
        <v>189</v>
      </c>
      <c r="H6" t="s">
        <v>190</v>
      </c>
      <c r="K6" t="s">
        <v>191</v>
      </c>
    </row>
    <row r="8" spans="2:15" x14ac:dyDescent="0.3">
      <c r="H8" s="20">
        <f>+K3</f>
        <v>264910.46399999998</v>
      </c>
      <c r="I8" s="1" t="s">
        <v>187</v>
      </c>
    </row>
    <row r="10" spans="2:15" x14ac:dyDescent="0.3">
      <c r="B10" t="s">
        <v>216</v>
      </c>
      <c r="C10" s="1">
        <v>1</v>
      </c>
      <c r="D10" s="16">
        <v>200000</v>
      </c>
      <c r="E10" t="s">
        <v>76</v>
      </c>
      <c r="F10" s="16">
        <v>60000</v>
      </c>
      <c r="G10" t="s">
        <v>192</v>
      </c>
      <c r="H10" s="18">
        <f>+D10+F10</f>
        <v>260000</v>
      </c>
      <c r="I10" t="s">
        <v>203</v>
      </c>
      <c r="K10" t="s">
        <v>204</v>
      </c>
      <c r="O10" s="1" t="s">
        <v>193</v>
      </c>
    </row>
    <row r="13" spans="2:15" x14ac:dyDescent="0.3">
      <c r="B13" t="s">
        <v>217</v>
      </c>
      <c r="C13" s="1">
        <v>2</v>
      </c>
      <c r="D13" s="16">
        <v>220000</v>
      </c>
      <c r="E13" t="s">
        <v>76</v>
      </c>
      <c r="F13" s="18">
        <v>60000</v>
      </c>
      <c r="G13" t="s">
        <v>194</v>
      </c>
      <c r="H13" s="18">
        <f>+D13+F13</f>
        <v>280000</v>
      </c>
      <c r="I13" t="s">
        <v>205</v>
      </c>
      <c r="M13" t="s">
        <v>195</v>
      </c>
    </row>
    <row r="15" spans="2:15" x14ac:dyDescent="0.3">
      <c r="D15" s="16">
        <f>+D13</f>
        <v>220000</v>
      </c>
      <c r="E15" t="s">
        <v>76</v>
      </c>
      <c r="F15" s="25">
        <f>+K2</f>
        <v>37844.351999999999</v>
      </c>
      <c r="G15" t="s">
        <v>196</v>
      </c>
      <c r="H15" s="21">
        <f>+D15+F15</f>
        <v>257844.35200000001</v>
      </c>
      <c r="I15" t="s">
        <v>197</v>
      </c>
      <c r="J15" s="21">
        <f>+K3</f>
        <v>264910.46399999998</v>
      </c>
      <c r="K15" s="21">
        <f>+J15-H15</f>
        <v>7066.1119999999646</v>
      </c>
    </row>
    <row r="16" spans="2:15" x14ac:dyDescent="0.3">
      <c r="F16" s="21">
        <f>+K15</f>
        <v>7066.1119999999646</v>
      </c>
    </row>
    <row r="17" spans="2:9" x14ac:dyDescent="0.3">
      <c r="C17" s="1">
        <v>3</v>
      </c>
      <c r="D17" s="16">
        <v>220000</v>
      </c>
      <c r="F17" s="20">
        <f>SUM(F15:F16)</f>
        <v>44910.463999999964</v>
      </c>
      <c r="G17" t="s">
        <v>196</v>
      </c>
      <c r="H17" s="20">
        <f>+D17+F17</f>
        <v>264910.46399999998</v>
      </c>
      <c r="I17" t="s">
        <v>198</v>
      </c>
    </row>
    <row r="18" spans="2:9" x14ac:dyDescent="0.3">
      <c r="F18" s="4">
        <f>+F13/12</f>
        <v>5000</v>
      </c>
      <c r="G18" s="4">
        <f>+F17/12</f>
        <v>3742.5386666666636</v>
      </c>
      <c r="H18" s="4">
        <f>+F18-G18</f>
        <v>1257.4613333333364</v>
      </c>
    </row>
    <row r="20" spans="2:9" x14ac:dyDescent="0.3">
      <c r="D20" t="s">
        <v>199</v>
      </c>
      <c r="F20" s="16">
        <f>+F13</f>
        <v>60000</v>
      </c>
    </row>
    <row r="21" spans="2:9" x14ac:dyDescent="0.3">
      <c r="E21" t="s">
        <v>200</v>
      </c>
      <c r="F21" s="21">
        <f>+F17</f>
        <v>44910.463999999964</v>
      </c>
    </row>
    <row r="22" spans="2:9" x14ac:dyDescent="0.3">
      <c r="E22" t="s">
        <v>201</v>
      </c>
      <c r="F22" s="21">
        <f>+F20-F21</f>
        <v>15089.536000000036</v>
      </c>
      <c r="G22" t="s">
        <v>218</v>
      </c>
    </row>
    <row r="25" spans="2:9" x14ac:dyDescent="0.3">
      <c r="B25" t="s">
        <v>223</v>
      </c>
      <c r="C25">
        <v>4</v>
      </c>
      <c r="D25" s="16">
        <v>240000</v>
      </c>
      <c r="E25" t="s">
        <v>220</v>
      </c>
      <c r="F25" s="16">
        <v>60000</v>
      </c>
      <c r="G25" t="s">
        <v>219</v>
      </c>
      <c r="H25" s="16">
        <v>300000</v>
      </c>
      <c r="I25" t="s">
        <v>221</v>
      </c>
    </row>
    <row r="26" spans="2:9" x14ac:dyDescent="0.3">
      <c r="D26" s="16">
        <v>240000</v>
      </c>
      <c r="E26" t="s">
        <v>220</v>
      </c>
      <c r="F26" s="21">
        <f>+F15</f>
        <v>37844.351999999999</v>
      </c>
      <c r="G26" t="s">
        <v>219</v>
      </c>
      <c r="H26" s="26">
        <f>+D26+F26</f>
        <v>277844.35200000001</v>
      </c>
      <c r="I26" t="s">
        <v>222</v>
      </c>
    </row>
    <row r="28" spans="2:9" x14ac:dyDescent="0.3">
      <c r="D28" t="s">
        <v>199</v>
      </c>
      <c r="F28" s="16">
        <f>+F25</f>
        <v>60000</v>
      </c>
    </row>
    <row r="29" spans="2:9" x14ac:dyDescent="0.3">
      <c r="E29" t="s">
        <v>200</v>
      </c>
      <c r="F29" s="21">
        <f>+F26</f>
        <v>37844.351999999999</v>
      </c>
    </row>
    <row r="30" spans="2:9" x14ac:dyDescent="0.3">
      <c r="E30" t="s">
        <v>201</v>
      </c>
      <c r="F30" s="21">
        <f>+F28-F29</f>
        <v>22155.648000000001</v>
      </c>
      <c r="G30" t="s">
        <v>218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3434-A18B-4AEB-8A13-DF2B228D82B1}">
  <dimension ref="A2:S67"/>
  <sheetViews>
    <sheetView topLeftCell="B29" workbookViewId="0">
      <selection activeCell="M37" sqref="M37"/>
    </sheetView>
  </sheetViews>
  <sheetFormatPr baseColWidth="10" defaultRowHeight="14.4" x14ac:dyDescent="0.3"/>
  <sheetData>
    <row r="2" spans="3:13" x14ac:dyDescent="0.3">
      <c r="G2" s="1" t="s">
        <v>236</v>
      </c>
      <c r="I2" s="1" t="s">
        <v>237</v>
      </c>
      <c r="J2" s="1"/>
      <c r="K2" s="1"/>
    </row>
    <row r="4" spans="3:13" x14ac:dyDescent="0.3">
      <c r="G4" s="4" t="s">
        <v>226</v>
      </c>
      <c r="H4" s="4"/>
      <c r="I4" s="4" t="s">
        <v>228</v>
      </c>
    </row>
    <row r="5" spans="3:13" x14ac:dyDescent="0.3">
      <c r="G5" s="4" t="s">
        <v>227</v>
      </c>
      <c r="H5" s="4"/>
      <c r="I5" s="4" t="s">
        <v>227</v>
      </c>
    </row>
    <row r="6" spans="3:13" x14ac:dyDescent="0.3">
      <c r="C6" t="s">
        <v>224</v>
      </c>
      <c r="G6" s="1" t="s">
        <v>233</v>
      </c>
      <c r="I6" s="1" t="s">
        <v>230</v>
      </c>
    </row>
    <row r="7" spans="3:13" x14ac:dyDescent="0.3">
      <c r="G7" s="1"/>
      <c r="I7" s="1"/>
    </row>
    <row r="8" spans="3:13" x14ac:dyDescent="0.3">
      <c r="G8" s="1"/>
      <c r="I8" s="1"/>
    </row>
    <row r="9" spans="3:13" x14ac:dyDescent="0.3">
      <c r="G9" s="1"/>
      <c r="I9" s="1"/>
    </row>
    <row r="11" spans="3:13" x14ac:dyDescent="0.3">
      <c r="C11" t="s">
        <v>225</v>
      </c>
      <c r="G11" s="1" t="s">
        <v>231</v>
      </c>
      <c r="I11" s="1" t="s">
        <v>230</v>
      </c>
      <c r="K11" t="s">
        <v>234</v>
      </c>
    </row>
    <row r="12" spans="3:13" x14ac:dyDescent="0.3">
      <c r="G12" t="s">
        <v>232</v>
      </c>
      <c r="K12" t="s">
        <v>235</v>
      </c>
    </row>
    <row r="15" spans="3:13" x14ac:dyDescent="0.3">
      <c r="M15" s="1" t="s">
        <v>239</v>
      </c>
    </row>
    <row r="16" spans="3:13" x14ac:dyDescent="0.3">
      <c r="C16" s="1" t="s">
        <v>238</v>
      </c>
      <c r="D16" s="1"/>
      <c r="E16" s="1"/>
      <c r="G16" t="s">
        <v>9</v>
      </c>
      <c r="H16" t="s">
        <v>53</v>
      </c>
      <c r="I16" t="s">
        <v>54</v>
      </c>
      <c r="J16" t="s">
        <v>55</v>
      </c>
      <c r="K16" t="s">
        <v>56</v>
      </c>
      <c r="L16" t="s">
        <v>57</v>
      </c>
      <c r="M16" t="s">
        <v>58</v>
      </c>
    </row>
    <row r="17" spans="3:17" x14ac:dyDescent="0.3">
      <c r="C17" t="s">
        <v>243</v>
      </c>
      <c r="G17">
        <v>5</v>
      </c>
      <c r="H17">
        <v>2</v>
      </c>
      <c r="I17">
        <v>3</v>
      </c>
      <c r="J17">
        <v>6</v>
      </c>
      <c r="L17">
        <v>8</v>
      </c>
      <c r="M17">
        <v>8</v>
      </c>
      <c r="O17" t="s">
        <v>244</v>
      </c>
    </row>
    <row r="18" spans="3:17" x14ac:dyDescent="0.3">
      <c r="C18" s="1" t="s">
        <v>240</v>
      </c>
      <c r="D18" s="1"/>
      <c r="G18" s="1">
        <v>3</v>
      </c>
      <c r="H18" s="1">
        <v>2</v>
      </c>
      <c r="I18" s="1">
        <v>3</v>
      </c>
      <c r="O18" t="s">
        <v>245</v>
      </c>
      <c r="Q18" t="s">
        <v>237</v>
      </c>
    </row>
    <row r="19" spans="3:17" x14ac:dyDescent="0.3">
      <c r="C19" t="s">
        <v>230</v>
      </c>
      <c r="O19" t="s">
        <v>246</v>
      </c>
      <c r="Q19" t="s">
        <v>247</v>
      </c>
    </row>
    <row r="20" spans="3:17" x14ac:dyDescent="0.3">
      <c r="C20" t="s">
        <v>229</v>
      </c>
      <c r="G20" s="27">
        <v>3</v>
      </c>
      <c r="H20" s="27">
        <v>2</v>
      </c>
      <c r="I20" s="27">
        <v>3</v>
      </c>
      <c r="M20" s="27">
        <v>8</v>
      </c>
    </row>
    <row r="21" spans="3:17" x14ac:dyDescent="0.3">
      <c r="G21" s="27"/>
      <c r="H21" s="27"/>
      <c r="I21" s="27"/>
      <c r="M21" s="27"/>
    </row>
    <row r="22" spans="3:17" x14ac:dyDescent="0.3">
      <c r="G22" s="27"/>
      <c r="H22" s="27"/>
      <c r="I22" s="27"/>
      <c r="M22" s="27"/>
    </row>
    <row r="23" spans="3:17" x14ac:dyDescent="0.3">
      <c r="G23" s="27"/>
      <c r="H23" s="27"/>
      <c r="I23" s="27"/>
      <c r="M23" s="27"/>
    </row>
    <row r="24" spans="3:17" x14ac:dyDescent="0.3">
      <c r="G24" s="27"/>
      <c r="H24" s="27"/>
      <c r="I24" s="27"/>
      <c r="M24" s="27"/>
    </row>
    <row r="26" spans="3:17" x14ac:dyDescent="0.3">
      <c r="C26" s="1" t="s">
        <v>18</v>
      </c>
      <c r="D26" s="1"/>
      <c r="G26" s="1">
        <v>2</v>
      </c>
      <c r="H26" s="1"/>
      <c r="I26" s="1"/>
      <c r="J26" s="1">
        <v>6</v>
      </c>
      <c r="L26">
        <v>8</v>
      </c>
    </row>
    <row r="27" spans="3:17" x14ac:dyDescent="0.3">
      <c r="C27" s="1" t="s">
        <v>230</v>
      </c>
      <c r="G27" s="28">
        <v>2</v>
      </c>
      <c r="H27" s="28"/>
      <c r="I27" s="28"/>
      <c r="J27" s="28">
        <v>6</v>
      </c>
      <c r="K27" s="28"/>
      <c r="L27" s="28">
        <v>8</v>
      </c>
      <c r="M27" s="28"/>
    </row>
    <row r="28" spans="3:17" x14ac:dyDescent="0.3">
      <c r="C28" t="s">
        <v>229</v>
      </c>
    </row>
    <row r="33" spans="1:18" x14ac:dyDescent="0.3">
      <c r="A33" t="s">
        <v>254</v>
      </c>
      <c r="M33" s="1" t="s">
        <v>239</v>
      </c>
    </row>
    <row r="34" spans="1:18" x14ac:dyDescent="0.3">
      <c r="A34" t="s">
        <v>24</v>
      </c>
      <c r="B34">
        <v>500</v>
      </c>
      <c r="C34" s="1" t="s">
        <v>241</v>
      </c>
      <c r="D34" s="1"/>
      <c r="E34" s="1"/>
      <c r="G34" t="s">
        <v>9</v>
      </c>
      <c r="H34" t="s">
        <v>53</v>
      </c>
      <c r="I34" t="s">
        <v>54</v>
      </c>
      <c r="J34" t="s">
        <v>55</v>
      </c>
      <c r="K34" t="s">
        <v>56</v>
      </c>
      <c r="L34" t="s">
        <v>57</v>
      </c>
      <c r="M34" t="s">
        <v>58</v>
      </c>
    </row>
    <row r="35" spans="1:18" x14ac:dyDescent="0.3">
      <c r="A35" t="s">
        <v>248</v>
      </c>
      <c r="B35" t="s">
        <v>249</v>
      </c>
      <c r="C35" t="s">
        <v>243</v>
      </c>
      <c r="G35">
        <v>5</v>
      </c>
      <c r="H35">
        <v>2</v>
      </c>
      <c r="I35">
        <v>3</v>
      </c>
      <c r="J35">
        <v>6</v>
      </c>
      <c r="L35">
        <v>8</v>
      </c>
      <c r="M35">
        <v>8</v>
      </c>
    </row>
    <row r="36" spans="1:18" x14ac:dyDescent="0.3">
      <c r="A36" t="s">
        <v>250</v>
      </c>
      <c r="B36">
        <v>8</v>
      </c>
      <c r="C36" s="1" t="s">
        <v>240</v>
      </c>
      <c r="D36" s="1"/>
      <c r="G36" s="1">
        <v>3</v>
      </c>
      <c r="H36" s="1">
        <v>2</v>
      </c>
      <c r="I36" s="1">
        <v>3</v>
      </c>
    </row>
    <row r="37" spans="1:18" x14ac:dyDescent="0.3">
      <c r="A37" t="s">
        <v>251</v>
      </c>
      <c r="B37">
        <f>+B34/B36</f>
        <v>62.5</v>
      </c>
      <c r="C37" t="s">
        <v>230</v>
      </c>
      <c r="G37" s="28">
        <v>1.5</v>
      </c>
      <c r="H37" s="28">
        <v>1</v>
      </c>
      <c r="I37" s="28">
        <v>1.5</v>
      </c>
      <c r="M37" s="28">
        <v>4</v>
      </c>
      <c r="N37" t="s">
        <v>242</v>
      </c>
    </row>
    <row r="38" spans="1:18" x14ac:dyDescent="0.3">
      <c r="A38" s="1" t="s">
        <v>252</v>
      </c>
      <c r="B38" s="1">
        <f>+B37*2</f>
        <v>125</v>
      </c>
      <c r="C38" t="s">
        <v>229</v>
      </c>
      <c r="G38" s="27">
        <v>1.5</v>
      </c>
      <c r="H38" s="27">
        <v>1</v>
      </c>
      <c r="I38" s="27">
        <v>1.5</v>
      </c>
      <c r="M38" s="27">
        <v>4</v>
      </c>
    </row>
    <row r="39" spans="1:18" x14ac:dyDescent="0.3">
      <c r="A39" s="1" t="s">
        <v>253</v>
      </c>
      <c r="B39" s="1">
        <f>+B37*3</f>
        <v>187.5</v>
      </c>
      <c r="C39" t="s">
        <v>59</v>
      </c>
      <c r="G39" s="1">
        <f>+G36</f>
        <v>3</v>
      </c>
      <c r="H39">
        <f>+H36</f>
        <v>2</v>
      </c>
      <c r="I39">
        <f>+I36</f>
        <v>3</v>
      </c>
      <c r="M39">
        <f>+M35</f>
        <v>8</v>
      </c>
    </row>
    <row r="40" spans="1:18" x14ac:dyDescent="0.3">
      <c r="C40" t="s">
        <v>257</v>
      </c>
      <c r="G40">
        <f>+G39*B38</f>
        <v>375</v>
      </c>
      <c r="H40">
        <f>+H39*B38</f>
        <v>250</v>
      </c>
      <c r="I40">
        <f>+I39*B38</f>
        <v>375</v>
      </c>
      <c r="M40">
        <f>+M39*B38</f>
        <v>1000</v>
      </c>
    </row>
    <row r="41" spans="1:18" x14ac:dyDescent="0.3">
      <c r="C41" t="s">
        <v>256</v>
      </c>
      <c r="G41">
        <f>+G40/2</f>
        <v>187.5</v>
      </c>
      <c r="H41">
        <f t="shared" ref="H41:I41" si="0">+H40/2</f>
        <v>125</v>
      </c>
      <c r="I41">
        <f t="shared" si="0"/>
        <v>187.5</v>
      </c>
      <c r="N41" t="s">
        <v>230</v>
      </c>
      <c r="O41">
        <f>SUM(G41:N41)</f>
        <v>500</v>
      </c>
    </row>
    <row r="42" spans="1:18" x14ac:dyDescent="0.3">
      <c r="C42" t="s">
        <v>255</v>
      </c>
      <c r="G42">
        <f>+G41</f>
        <v>187.5</v>
      </c>
      <c r="H42">
        <f t="shared" ref="H42:I42" si="1">+H41</f>
        <v>125</v>
      </c>
      <c r="I42">
        <f t="shared" si="1"/>
        <v>187.5</v>
      </c>
      <c r="N42" s="29" t="s">
        <v>229</v>
      </c>
      <c r="O42" s="29">
        <f>SUM(G42:N42)</f>
        <v>500</v>
      </c>
      <c r="P42" t="s">
        <v>260</v>
      </c>
      <c r="Q42">
        <f>103.74*5</f>
        <v>518.69999999999993</v>
      </c>
      <c r="R42" t="s">
        <v>261</v>
      </c>
    </row>
    <row r="45" spans="1:18" x14ac:dyDescent="0.3">
      <c r="C45" s="1" t="s">
        <v>18</v>
      </c>
      <c r="D45" s="1"/>
      <c r="G45" s="1">
        <v>2</v>
      </c>
      <c r="H45" s="1"/>
      <c r="I45" s="1"/>
      <c r="J45" s="1">
        <v>6</v>
      </c>
      <c r="L45">
        <v>8</v>
      </c>
    </row>
    <row r="46" spans="1:18" x14ac:dyDescent="0.3">
      <c r="C46" s="1" t="s">
        <v>230</v>
      </c>
      <c r="G46" s="28">
        <v>2</v>
      </c>
      <c r="H46" s="28"/>
      <c r="I46" s="28"/>
      <c r="J46" s="28">
        <v>6</v>
      </c>
      <c r="K46" s="28"/>
      <c r="L46" s="28">
        <v>8</v>
      </c>
      <c r="M46" s="28"/>
    </row>
    <row r="47" spans="1:18" x14ac:dyDescent="0.3">
      <c r="C47" t="s">
        <v>229</v>
      </c>
    </row>
    <row r="48" spans="1:18" x14ac:dyDescent="0.3">
      <c r="C48" t="s">
        <v>21</v>
      </c>
      <c r="G48">
        <f>+G45</f>
        <v>2</v>
      </c>
      <c r="J48">
        <f>+J45</f>
        <v>6</v>
      </c>
      <c r="L48">
        <f>+L45</f>
        <v>8</v>
      </c>
    </row>
    <row r="49" spans="3:19" x14ac:dyDescent="0.3">
      <c r="C49" t="s">
        <v>258</v>
      </c>
      <c r="G49">
        <f>+G48*B39</f>
        <v>375</v>
      </c>
      <c r="J49">
        <f>+J48*B39</f>
        <v>1125</v>
      </c>
      <c r="L49">
        <f>+L48*B39</f>
        <v>1500</v>
      </c>
    </row>
    <row r="50" spans="3:19" x14ac:dyDescent="0.3">
      <c r="C50" t="s">
        <v>259</v>
      </c>
      <c r="G50">
        <f>+G49</f>
        <v>375</v>
      </c>
      <c r="J50">
        <f>+J49</f>
        <v>1125</v>
      </c>
      <c r="L50">
        <f>+L49</f>
        <v>1500</v>
      </c>
      <c r="N50" t="s">
        <v>230</v>
      </c>
      <c r="O50">
        <f>SUM(G50:N50)</f>
        <v>3000</v>
      </c>
    </row>
    <row r="53" spans="3:19" x14ac:dyDescent="0.3">
      <c r="N53" t="s">
        <v>262</v>
      </c>
    </row>
    <row r="55" spans="3:19" x14ac:dyDescent="0.3">
      <c r="N55" t="s">
        <v>263</v>
      </c>
      <c r="P55">
        <f>+M40</f>
        <v>1000</v>
      </c>
    </row>
    <row r="56" spans="3:19" x14ac:dyDescent="0.3">
      <c r="N56" t="s">
        <v>240</v>
      </c>
      <c r="P56">
        <f>+P55</f>
        <v>1000</v>
      </c>
    </row>
    <row r="57" spans="3:19" x14ac:dyDescent="0.3">
      <c r="N57" t="s">
        <v>264</v>
      </c>
      <c r="P57">
        <v>500</v>
      </c>
    </row>
    <row r="58" spans="3:19" x14ac:dyDescent="0.3">
      <c r="N58" s="29" t="s">
        <v>231</v>
      </c>
      <c r="O58" s="29"/>
      <c r="P58" s="29">
        <v>500</v>
      </c>
      <c r="Q58" t="s">
        <v>260</v>
      </c>
      <c r="R58">
        <f>103.74*5</f>
        <v>518.69999999999993</v>
      </c>
      <c r="S58" t="s">
        <v>261</v>
      </c>
    </row>
    <row r="61" spans="3:19" x14ac:dyDescent="0.3">
      <c r="N61" t="s">
        <v>265</v>
      </c>
    </row>
    <row r="62" spans="3:19" x14ac:dyDescent="0.3">
      <c r="O62" t="s">
        <v>266</v>
      </c>
      <c r="P62">
        <f>+O42</f>
        <v>500</v>
      </c>
    </row>
    <row r="63" spans="3:19" x14ac:dyDescent="0.3">
      <c r="O63" t="s">
        <v>239</v>
      </c>
      <c r="P63">
        <f>+P58</f>
        <v>500</v>
      </c>
    </row>
    <row r="64" spans="3:19" x14ac:dyDescent="0.3">
      <c r="P64">
        <f>SUM(P62:P63)</f>
        <v>1000</v>
      </c>
    </row>
    <row r="66" spans="13:16" x14ac:dyDescent="0.3">
      <c r="M66" t="s">
        <v>267</v>
      </c>
      <c r="P66" s="1">
        <f>+R58</f>
        <v>518.69999999999993</v>
      </c>
    </row>
    <row r="67" spans="13:16" x14ac:dyDescent="0.3">
      <c r="N67" t="s">
        <v>268</v>
      </c>
      <c r="P67">
        <f>+P64-P66</f>
        <v>481.30000000000007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jornadas</vt:lpstr>
      <vt:lpstr>TIEMPO EXTRA</vt:lpstr>
      <vt:lpstr>dias de descanso</vt:lpstr>
      <vt:lpstr>cálculo anual</vt:lpstr>
      <vt:lpstr>VACACIONES</vt:lpstr>
      <vt:lpstr>AGUINALDO</vt:lpstr>
      <vt:lpstr>TIEMPO EXTRA DOBLE</vt:lpstr>
      <vt:lpstr>LIMITES PREV SOC</vt:lpstr>
      <vt:lpstr>TIEMPO EXTRA GRAVADO Y EXENTO</vt:lpstr>
      <vt:lpstr>Hoja1</vt:lpstr>
      <vt:lpstr>CALCULO ISR TRABAJDOR DEL MINIM</vt:lpstr>
      <vt:lpstr>Hoja3</vt:lpstr>
      <vt:lpstr>ART 174 RISR</vt:lpstr>
      <vt:lpstr>FINIQUITOS Y LIQUIDACIONES</vt:lpstr>
      <vt:lpstr>DED INV</vt:lpstr>
      <vt:lpstr>Hoja2</vt:lpstr>
      <vt:lpstr>SBC SEMANA REDUCIDA</vt:lpstr>
      <vt:lpstr>SBC</vt:lpstr>
      <vt:lpstr>EJERCICIOS RESUELTOS SBC</vt:lpstr>
      <vt:lpstr>FACTOR Y CALCULOS IMSS</vt:lpstr>
      <vt:lpstr>Hoja3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 CONT</dc:creator>
  <cp:lastModifiedBy>ARAN CONT</cp:lastModifiedBy>
  <cp:lastPrinted>2022-06-18T15:56:23Z</cp:lastPrinted>
  <dcterms:created xsi:type="dcterms:W3CDTF">2022-05-14T15:10:44Z</dcterms:created>
  <dcterms:modified xsi:type="dcterms:W3CDTF">2023-03-15T01:00:32Z</dcterms:modified>
</cp:coreProperties>
</file>