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b7a013967654ae6b/Desktop/Data _Analysis_Modul-01/"/>
    </mc:Choice>
  </mc:AlternateContent>
  <xr:revisionPtr revIDLastSave="1" documentId="8_{B7A8A231-01AC-43AA-8748-D5E415F2DA5C}" xr6:coauthVersionLast="47" xr6:coauthVersionMax="47" xr10:uidLastSave="{03D515EC-1798-4ABF-B930-ECDF7FBFD19B}"/>
  <bookViews>
    <workbookView xWindow="2850" yWindow="2850" windowWidth="15375" windowHeight="7785" tabRatio="676" firstSheet="2" activeTab="7" xr2:uid="{96C421F5-8E75-4F7C-9B10-E7B488978189}"/>
  </bookViews>
  <sheets>
    <sheet name="Cell Formatting-Copy, Cut, Pst" sheetId="2" r:id="rId1"/>
    <sheet name="Add_Del_Col_Row" sheetId="4" r:id="rId2"/>
    <sheet name="Absolute vs Related" sheetId="12" r:id="rId3"/>
    <sheet name="PERSONAL FINANCE" sheetId="8" r:id="rId4"/>
    <sheet name="Flash Fill " sheetId="13" r:id="rId5"/>
    <sheet name="Autofill" sheetId="11" r:id="rId6"/>
    <sheet name="Auto fil" sheetId="17" r:id="rId7"/>
    <sheet name="Conditional - Formatting" sheetId="14" r:id="rId8"/>
    <sheet name="- Use List" sheetId="16" state="hidden" r:id="rId9"/>
  </sheets>
  <externalReferences>
    <externalReference r:id="rId10"/>
    <externalReference r:id="rId11"/>
  </externalReferences>
  <definedNames>
    <definedName name="_xlnm._FilterDatabase" localSheetId="4" hidden="1">'Flash Fill '!$C$20:$C$33</definedName>
    <definedName name="LastCol" localSheetId="7">COUNTA('[1]PERSONAL FINANCE'!$2:$2)+1</definedName>
    <definedName name="LastCol">COUNTA('PERSONAL FINANCE'!$2:$2)+1</definedName>
    <definedName name="PrintArea_SET" localSheetId="7">OFFSET('[1]PERSONAL FINANCE'!#REF!,,,MATCH(REPT("z",255),'[1]PERSONAL FINANCE'!$B:$B),'Conditional - Formatting'!LastCol)</definedName>
    <definedName name="PrintArea_SET">OFFSET('PERSONAL FINANCE'!#REF!,,,MATCH(REPT("z",255),'PERSONAL FINANCE'!$B:$B),LastCol)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4" i="14" l="1"/>
  <c r="B69" i="13"/>
  <c r="B56" i="13"/>
  <c r="B57" i="13"/>
  <c r="B55" i="13"/>
  <c r="B49" i="13"/>
  <c r="B50" i="13"/>
  <c r="B48" i="13"/>
  <c r="C42" i="13"/>
  <c r="C43" i="13"/>
  <c r="C41" i="13"/>
  <c r="G19" i="12"/>
  <c r="G20" i="12"/>
  <c r="G21" i="12"/>
  <c r="G22" i="12"/>
  <c r="G23" i="12"/>
  <c r="G24" i="12"/>
  <c r="G25" i="12"/>
  <c r="G26" i="12"/>
  <c r="G27" i="12"/>
  <c r="G28" i="12"/>
  <c r="G29" i="12"/>
  <c r="H29" i="12" s="1"/>
  <c r="G30" i="12"/>
  <c r="G31" i="12"/>
  <c r="G32" i="12"/>
  <c r="G33" i="12"/>
  <c r="H33" i="12"/>
  <c r="F20" i="12"/>
  <c r="F21" i="12"/>
  <c r="F22" i="12"/>
  <c r="F23" i="12"/>
  <c r="F24" i="12"/>
  <c r="F25" i="12"/>
  <c r="F26" i="12"/>
  <c r="F27" i="12"/>
  <c r="F28" i="12"/>
  <c r="F29" i="12"/>
  <c r="F30" i="12"/>
  <c r="F31" i="12"/>
  <c r="F32" i="12"/>
  <c r="F33" i="12"/>
  <c r="F19" i="12"/>
  <c r="G12" i="12"/>
  <c r="G13" i="12"/>
  <c r="G11" i="12"/>
  <c r="F14" i="12"/>
  <c r="F12" i="12"/>
  <c r="F13" i="12"/>
  <c r="F11" i="12"/>
  <c r="M19" i="14"/>
  <c r="M18" i="14"/>
  <c r="H26" i="12"/>
  <c r="H20" i="12"/>
  <c r="H24" i="12"/>
  <c r="H32" i="12"/>
  <c r="I25" i="14"/>
  <c r="I24" i="14"/>
  <c r="I23" i="14"/>
  <c r="J23" i="14" s="1"/>
  <c r="I22" i="14"/>
  <c r="J22" i="14" s="1"/>
  <c r="I21" i="14"/>
  <c r="J21" i="14" s="1"/>
  <c r="I20" i="14"/>
  <c r="J20" i="14" s="1"/>
  <c r="I19" i="14"/>
  <c r="J19" i="14" s="1"/>
  <c r="I18" i="14"/>
  <c r="J18" i="14" s="1"/>
  <c r="I17" i="14"/>
  <c r="J17" i="14" s="1"/>
  <c r="I16" i="14"/>
  <c r="J16" i="14" s="1"/>
  <c r="I12" i="14"/>
  <c r="J12" i="14" s="1"/>
  <c r="I11" i="14"/>
  <c r="J11" i="14" s="1"/>
  <c r="I10" i="14"/>
  <c r="J10" i="14" s="1"/>
  <c r="I9" i="14"/>
  <c r="J9" i="14" s="1"/>
  <c r="I8" i="14"/>
  <c r="J8" i="14" s="1"/>
  <c r="I7" i="14"/>
  <c r="J7" i="14" s="1"/>
  <c r="I6" i="14"/>
  <c r="J6" i="14" s="1"/>
  <c r="I5" i="14"/>
  <c r="J5" i="14" s="1"/>
  <c r="I4" i="14"/>
  <c r="J4" i="14" s="1"/>
  <c r="I3" i="14"/>
  <c r="J3" i="14" s="1"/>
  <c r="B70" i="13"/>
  <c r="B63" i="13"/>
  <c r="B62" i="13"/>
  <c r="E4" i="13"/>
  <c r="F4" i="13"/>
  <c r="G4" i="13"/>
  <c r="E5" i="13"/>
  <c r="F5" i="13"/>
  <c r="G5" i="13"/>
  <c r="E6" i="13"/>
  <c r="F6" i="13"/>
  <c r="G6" i="13"/>
  <c r="E7" i="13"/>
  <c r="F7" i="13"/>
  <c r="G7" i="13"/>
  <c r="E8" i="13"/>
  <c r="F8" i="13"/>
  <c r="G8" i="13"/>
  <c r="E9" i="13"/>
  <c r="F9" i="13"/>
  <c r="G9" i="13"/>
  <c r="E10" i="13"/>
  <c r="F10" i="13"/>
  <c r="G10" i="13"/>
  <c r="E11" i="13"/>
  <c r="F11" i="13"/>
  <c r="G11" i="13"/>
  <c r="E12" i="13"/>
  <c r="F12" i="13"/>
  <c r="G12" i="13"/>
  <c r="E13" i="13"/>
  <c r="F13" i="13"/>
  <c r="G13" i="13"/>
  <c r="E14" i="13"/>
  <c r="F14" i="13"/>
  <c r="G14" i="13"/>
  <c r="E15" i="13"/>
  <c r="F15" i="13"/>
  <c r="G15" i="13"/>
  <c r="E16" i="13"/>
  <c r="F16" i="13"/>
  <c r="G16" i="13"/>
  <c r="H25" i="12" l="1"/>
  <c r="H21" i="12"/>
  <c r="B20" i="16"/>
  <c r="H28" i="12"/>
  <c r="H30" i="12"/>
  <c r="H22" i="12"/>
  <c r="H23" i="12"/>
  <c r="H31" i="12"/>
  <c r="H27" i="12"/>
  <c r="H19" i="12"/>
  <c r="F5" i="12"/>
  <c r="F6" i="12"/>
  <c r="F4" i="12"/>
  <c r="N86" i="8"/>
  <c r="N89" i="8" s="1"/>
  <c r="N90" i="8" s="1"/>
  <c r="M86" i="8"/>
  <c r="L86" i="8"/>
  <c r="L89" i="8" s="1"/>
  <c r="K86" i="8"/>
  <c r="K89" i="8" s="1"/>
  <c r="J86" i="8"/>
  <c r="J89" i="8" s="1"/>
  <c r="J90" i="8" s="1"/>
  <c r="I86" i="8"/>
  <c r="H86" i="8"/>
  <c r="H89" i="8" s="1"/>
  <c r="G86" i="8"/>
  <c r="G89" i="8" s="1"/>
  <c r="F86" i="8"/>
  <c r="F89" i="8" s="1"/>
  <c r="F90" i="8" s="1"/>
  <c r="E86" i="8"/>
  <c r="D86" i="8"/>
  <c r="D89" i="8" s="1"/>
  <c r="C86" i="8"/>
  <c r="O85" i="8"/>
  <c r="O84" i="8"/>
  <c r="N81" i="8"/>
  <c r="M81" i="8"/>
  <c r="M89" i="8" s="1"/>
  <c r="L81" i="8"/>
  <c r="K81" i="8"/>
  <c r="J81" i="8"/>
  <c r="I81" i="8"/>
  <c r="I89" i="8" s="1"/>
  <c r="H81" i="8"/>
  <c r="G81" i="8"/>
  <c r="F81" i="8"/>
  <c r="E81" i="8"/>
  <c r="E89" i="8" s="1"/>
  <c r="D81" i="8"/>
  <c r="C81" i="8"/>
  <c r="O80" i="8"/>
  <c r="O79" i="8"/>
  <c r="O78" i="8"/>
  <c r="O77" i="8"/>
  <c r="O81" i="8" s="1"/>
  <c r="N74" i="8"/>
  <c r="M74" i="8"/>
  <c r="L74" i="8"/>
  <c r="K74" i="8"/>
  <c r="J74" i="8"/>
  <c r="I74" i="8"/>
  <c r="H74" i="8"/>
  <c r="G74" i="8"/>
  <c r="F74" i="8"/>
  <c r="E74" i="8"/>
  <c r="D74" i="8"/>
  <c r="C74" i="8"/>
  <c r="O73" i="8"/>
  <c r="O72" i="8"/>
  <c r="O71" i="8"/>
  <c r="O70" i="8"/>
  <c r="O74" i="8" s="1"/>
  <c r="N67" i="8"/>
  <c r="M67" i="8"/>
  <c r="L67" i="8"/>
  <c r="K67" i="8"/>
  <c r="J67" i="8"/>
  <c r="I67" i="8"/>
  <c r="H67" i="8"/>
  <c r="G67" i="8"/>
  <c r="F67" i="8"/>
  <c r="E67" i="8"/>
  <c r="D67" i="8"/>
  <c r="C67" i="8"/>
  <c r="O66" i="8"/>
  <c r="O65" i="8"/>
  <c r="O64" i="8"/>
  <c r="O63" i="8"/>
  <c r="O67" i="8" s="1"/>
  <c r="O62" i="8"/>
  <c r="N59" i="8"/>
  <c r="M59" i="8"/>
  <c r="L59" i="8"/>
  <c r="K59" i="8"/>
  <c r="J59" i="8"/>
  <c r="I59" i="8"/>
  <c r="H59" i="8"/>
  <c r="G59" i="8"/>
  <c r="F59" i="8"/>
  <c r="E59" i="8"/>
  <c r="D59" i="8"/>
  <c r="C59" i="8"/>
  <c r="O58" i="8"/>
  <c r="O57" i="8"/>
  <c r="O59" i="8" s="1"/>
  <c r="N54" i="8"/>
  <c r="M54" i="8"/>
  <c r="L54" i="8"/>
  <c r="K54" i="8"/>
  <c r="J54" i="8"/>
  <c r="I54" i="8"/>
  <c r="H54" i="8"/>
  <c r="G54" i="8"/>
  <c r="F54" i="8"/>
  <c r="E54" i="8"/>
  <c r="D54" i="8"/>
  <c r="C54" i="8"/>
  <c r="O53" i="8"/>
  <c r="O52" i="8"/>
  <c r="O51" i="8"/>
  <c r="O50" i="8"/>
  <c r="O49" i="8"/>
  <c r="O54" i="8" s="1"/>
  <c r="N46" i="8"/>
  <c r="M46" i="8"/>
  <c r="L46" i="8"/>
  <c r="K46" i="8"/>
  <c r="J46" i="8"/>
  <c r="I46" i="8"/>
  <c r="H46" i="8"/>
  <c r="G46" i="8"/>
  <c r="F46" i="8"/>
  <c r="E46" i="8"/>
  <c r="D46" i="8"/>
  <c r="C46" i="8"/>
  <c r="O45" i="8"/>
  <c r="O44" i="8"/>
  <c r="O43" i="8"/>
  <c r="O42" i="8"/>
  <c r="O41" i="8"/>
  <c r="O46" i="8" s="1"/>
  <c r="O40" i="8"/>
  <c r="N37" i="8"/>
  <c r="M37" i="8"/>
  <c r="L37" i="8"/>
  <c r="K37" i="8"/>
  <c r="J37" i="8"/>
  <c r="I37" i="8"/>
  <c r="H37" i="8"/>
  <c r="G37" i="8"/>
  <c r="F37" i="8"/>
  <c r="E37" i="8"/>
  <c r="D37" i="8"/>
  <c r="C37" i="8"/>
  <c r="O36" i="8"/>
  <c r="O35" i="8"/>
  <c r="O37" i="8" s="1"/>
  <c r="N32" i="8"/>
  <c r="M32" i="8"/>
  <c r="L32" i="8"/>
  <c r="K32" i="8"/>
  <c r="J32" i="8"/>
  <c r="I32" i="8"/>
  <c r="H32" i="8"/>
  <c r="G32" i="8"/>
  <c r="F32" i="8"/>
  <c r="E32" i="8"/>
  <c r="D32" i="8"/>
  <c r="C32" i="8"/>
  <c r="O31" i="8"/>
  <c r="O30" i="8"/>
  <c r="O29" i="8"/>
  <c r="O28" i="8"/>
  <c r="O27" i="8"/>
  <c r="O26" i="8"/>
  <c r="O32" i="8" s="1"/>
  <c r="N23" i="8"/>
  <c r="M23" i="8"/>
  <c r="L23" i="8"/>
  <c r="K23" i="8"/>
  <c r="J23" i="8"/>
  <c r="I23" i="8"/>
  <c r="H23" i="8"/>
  <c r="G23" i="8"/>
  <c r="F23" i="8"/>
  <c r="E23" i="8"/>
  <c r="D23" i="8"/>
  <c r="C23" i="8"/>
  <c r="O22" i="8"/>
  <c r="O21" i="8"/>
  <c r="O20" i="8"/>
  <c r="O19" i="8"/>
  <c r="O23" i="8" s="1"/>
  <c r="N16" i="8"/>
  <c r="M16" i="8"/>
  <c r="L16" i="8"/>
  <c r="K16" i="8"/>
  <c r="J16" i="8"/>
  <c r="I16" i="8"/>
  <c r="H16" i="8"/>
  <c r="G16" i="8"/>
  <c r="F16" i="8"/>
  <c r="E16" i="8"/>
  <c r="D16" i="8"/>
  <c r="C16" i="8"/>
  <c r="O15" i="8"/>
  <c r="O14" i="8"/>
  <c r="O13" i="8"/>
  <c r="O12" i="8"/>
  <c r="O11" i="8"/>
  <c r="O16" i="8" s="1"/>
  <c r="N7" i="8"/>
  <c r="M7" i="8"/>
  <c r="L7" i="8"/>
  <c r="K7" i="8"/>
  <c r="J7" i="8"/>
  <c r="I7" i="8"/>
  <c r="H7" i="8"/>
  <c r="G7" i="8"/>
  <c r="F7" i="8"/>
  <c r="E7" i="8"/>
  <c r="D7" i="8"/>
  <c r="C7" i="8"/>
  <c r="O6" i="8"/>
  <c r="O5" i="8"/>
  <c r="O4" i="8"/>
  <c r="E90" i="8" l="1"/>
  <c r="I90" i="8"/>
  <c r="M90" i="8"/>
  <c r="G90" i="8"/>
  <c r="K90" i="8"/>
  <c r="D90" i="8"/>
  <c r="H90" i="8"/>
  <c r="L90" i="8"/>
  <c r="O7" i="8"/>
  <c r="O86" i="8"/>
  <c r="O89" i="8" s="1"/>
  <c r="O90" i="8" s="1"/>
  <c r="C89" i="8"/>
  <c r="C90" i="8" s="1"/>
  <c r="F7" i="12"/>
  <c r="G6" i="12" l="1"/>
  <c r="G5" i="12"/>
  <c r="G4" i="12"/>
  <c r="I12" i="4" l="1"/>
  <c r="J12" i="4" s="1"/>
  <c r="I11" i="4"/>
  <c r="J11" i="4" s="1"/>
  <c r="I10" i="4"/>
  <c r="J10" i="4" s="1"/>
  <c r="I9" i="4"/>
  <c r="J9" i="4" s="1"/>
  <c r="I8" i="4"/>
  <c r="J8" i="4" s="1"/>
  <c r="I7" i="4"/>
  <c r="J7" i="4" s="1"/>
  <c r="I6" i="4"/>
  <c r="J6" i="4" s="1"/>
  <c r="I5" i="4"/>
  <c r="J5" i="4" s="1"/>
  <c r="I4" i="4"/>
  <c r="J4" i="4" s="1"/>
  <c r="I3" i="4"/>
  <c r="I12" i="2"/>
  <c r="J12" i="2" s="1"/>
  <c r="I11" i="2"/>
  <c r="J11" i="2" s="1"/>
  <c r="J10" i="2"/>
  <c r="I10" i="2"/>
  <c r="I9" i="2"/>
  <c r="J9" i="2" s="1"/>
  <c r="I8" i="2"/>
  <c r="J8" i="2" s="1"/>
  <c r="I7" i="2"/>
  <c r="J7" i="2" s="1"/>
  <c r="I6" i="2"/>
  <c r="J6" i="2" s="1"/>
  <c r="I5" i="2"/>
  <c r="J5" i="2" s="1"/>
  <c r="I4" i="2"/>
  <c r="J4" i="2" s="1"/>
  <c r="I3" i="2"/>
  <c r="J3" i="2" s="1"/>
  <c r="J3" i="4" l="1"/>
  <c r="I13" i="4"/>
</calcChain>
</file>

<file path=xl/sharedStrings.xml><?xml version="1.0" encoding="utf-8"?>
<sst xmlns="http://schemas.openxmlformats.org/spreadsheetml/2006/main" count="710" uniqueCount="310">
  <si>
    <t>Sl #</t>
  </si>
  <si>
    <t>Target</t>
  </si>
  <si>
    <t>Q1</t>
  </si>
  <si>
    <t>Q2</t>
  </si>
  <si>
    <t>Q3</t>
  </si>
  <si>
    <t>Q4</t>
  </si>
  <si>
    <t>TTL_Sales</t>
  </si>
  <si>
    <t>% Achieved</t>
  </si>
  <si>
    <t>ZONE</t>
  </si>
  <si>
    <t>A</t>
  </si>
  <si>
    <t>B</t>
  </si>
  <si>
    <t>C</t>
  </si>
  <si>
    <t>D</t>
  </si>
  <si>
    <t>E</t>
  </si>
  <si>
    <t>F</t>
  </si>
  <si>
    <t>G</t>
  </si>
  <si>
    <t>H</t>
  </si>
  <si>
    <t>I</t>
  </si>
  <si>
    <t>J</t>
  </si>
  <si>
    <t xml:space="preserve"> </t>
  </si>
  <si>
    <t>Insert Column/Row</t>
  </si>
  <si>
    <t>CTRL+SHIFT+</t>
  </si>
  <si>
    <t>Delete Column/Row</t>
  </si>
  <si>
    <t>CTRL-</t>
  </si>
  <si>
    <t>Undo</t>
  </si>
  <si>
    <t>CTRL+Z</t>
  </si>
  <si>
    <t>Redo</t>
  </si>
  <si>
    <t>CTRY+Y</t>
  </si>
  <si>
    <t>Related</t>
  </si>
  <si>
    <t>Absolute</t>
  </si>
  <si>
    <t>Employee Name</t>
  </si>
  <si>
    <t>Department</t>
  </si>
  <si>
    <t>Years</t>
  </si>
  <si>
    <t>Salary</t>
  </si>
  <si>
    <t>Bonus</t>
  </si>
  <si>
    <t>Salary with Bonus</t>
  </si>
  <si>
    <t>Increment</t>
  </si>
  <si>
    <t>New Salary</t>
  </si>
  <si>
    <t>Yusuf Uddin</t>
  </si>
  <si>
    <t>Sales</t>
  </si>
  <si>
    <t>Shyamol Chandra Sarkar</t>
  </si>
  <si>
    <t>Md. Aynul Islam</t>
  </si>
  <si>
    <t>Administration</t>
  </si>
  <si>
    <t>Md.Moshiur Rahman</t>
  </si>
  <si>
    <t>ADC</t>
  </si>
  <si>
    <t>Md. Roknuzzaman</t>
  </si>
  <si>
    <t>Md. Kaosar</t>
  </si>
  <si>
    <t>Marketing</t>
  </si>
  <si>
    <t>Belal Hossain</t>
  </si>
  <si>
    <t>Training</t>
  </si>
  <si>
    <t>Md. Imamul Haque</t>
  </si>
  <si>
    <t>Md. Toslim Uddin</t>
  </si>
  <si>
    <t>Md. Bulbul Hosen</t>
  </si>
  <si>
    <t>Md. Jakirul Islam Rahat</t>
  </si>
  <si>
    <t>Md. Jahidul Islam</t>
  </si>
  <si>
    <t>Md. Moudud Hossen</t>
  </si>
  <si>
    <t>Md. Kabir Hossain</t>
  </si>
  <si>
    <t>Md. Manhagul Haque</t>
  </si>
  <si>
    <t>Self(Personal)-finance</t>
  </si>
  <si>
    <t>REVENUE</t>
  </si>
  <si>
    <t>INCOME</t>
  </si>
  <si>
    <t>JAN</t>
  </si>
  <si>
    <t>FEB</t>
  </si>
  <si>
    <t>MAR</t>
  </si>
  <si>
    <t>APR</t>
  </si>
  <si>
    <t>MAY</t>
  </si>
  <si>
    <t>JUN</t>
  </si>
  <si>
    <t>JUL</t>
  </si>
  <si>
    <t>AUG</t>
  </si>
  <si>
    <t>SEP</t>
  </si>
  <si>
    <t>OCT</t>
  </si>
  <si>
    <t>NOV</t>
  </si>
  <si>
    <t>DEC</t>
  </si>
  <si>
    <t>YEAR</t>
  </si>
  <si>
    <t>SPARKLINE</t>
  </si>
  <si>
    <t>Eid Bonus</t>
  </si>
  <si>
    <t>Miscellaneous</t>
  </si>
  <si>
    <t>Total</t>
  </si>
  <si>
    <t>EXPENSES</t>
  </si>
  <si>
    <t>HOME</t>
  </si>
  <si>
    <t>House Rent</t>
  </si>
  <si>
    <t>Internet</t>
  </si>
  <si>
    <t>Electricity</t>
  </si>
  <si>
    <t>GAS</t>
  </si>
  <si>
    <t>Service Charge</t>
  </si>
  <si>
    <t>DAILY LIVING</t>
  </si>
  <si>
    <t xml:space="preserve">Groceries </t>
  </si>
  <si>
    <t>Child care</t>
  </si>
  <si>
    <t>Dry cleaning</t>
  </si>
  <si>
    <t>Breakfast</t>
  </si>
  <si>
    <t>TRANSPORTATION</t>
  </si>
  <si>
    <t>Gas/fuel</t>
  </si>
  <si>
    <t>Insurance</t>
  </si>
  <si>
    <t>Repairs Maintenance</t>
  </si>
  <si>
    <t>Car wash/detailing services</t>
  </si>
  <si>
    <t>Parking/Tole</t>
  </si>
  <si>
    <t>Public transportation</t>
  </si>
  <si>
    <t>ENTERTAINMENT</t>
  </si>
  <si>
    <t>Cable TV</t>
  </si>
  <si>
    <t>Concerts/clubs</t>
  </si>
  <si>
    <t>HEALTH</t>
  </si>
  <si>
    <t>Medicine</t>
  </si>
  <si>
    <t>Investigation/Test</t>
  </si>
  <si>
    <t>Doctor's Fees</t>
  </si>
  <si>
    <t>Life insurance</t>
  </si>
  <si>
    <t>Others</t>
  </si>
  <si>
    <t>VACATIONS</t>
  </si>
  <si>
    <t>Plane fare</t>
  </si>
  <si>
    <t>Accommodations</t>
  </si>
  <si>
    <t>Food</t>
  </si>
  <si>
    <t>Souvenirs</t>
  </si>
  <si>
    <t>Rental car</t>
  </si>
  <si>
    <t>RECREATION</t>
  </si>
  <si>
    <t>Gym fees</t>
  </si>
  <si>
    <t>Sports equipment</t>
  </si>
  <si>
    <t>DUES/SUBSCRIPTION</t>
  </si>
  <si>
    <t>Magazines</t>
  </si>
  <si>
    <t>Newspapers</t>
  </si>
  <si>
    <t>Internet connection</t>
  </si>
  <si>
    <t>Religious organizations</t>
  </si>
  <si>
    <t>PERSONAL</t>
  </si>
  <si>
    <t>Clothing</t>
  </si>
  <si>
    <t>Gifts</t>
  </si>
  <si>
    <t>Salon/barber</t>
  </si>
  <si>
    <t>Books</t>
  </si>
  <si>
    <t>FINANCIAL OBLIGATIONS</t>
  </si>
  <si>
    <t>Long-term savings</t>
  </si>
  <si>
    <t>Credit card payments</t>
  </si>
  <si>
    <t>Income tax (additional)</t>
  </si>
  <si>
    <t>Other obligations</t>
  </si>
  <si>
    <t>MISC PAYMENTS</t>
  </si>
  <si>
    <t>TOTALS</t>
  </si>
  <si>
    <t>Total expenses</t>
  </si>
  <si>
    <t>Short/Saving</t>
  </si>
  <si>
    <t>Full Name</t>
  </si>
  <si>
    <t>Babul</t>
  </si>
  <si>
    <t>Mia</t>
  </si>
  <si>
    <t>Kabir</t>
  </si>
  <si>
    <t>Hossain</t>
  </si>
  <si>
    <t>Aynul Islam</t>
  </si>
  <si>
    <t>Aynul</t>
  </si>
  <si>
    <t>Islam</t>
  </si>
  <si>
    <t>Moshiur Rahman</t>
  </si>
  <si>
    <t>Moshiur</t>
  </si>
  <si>
    <t>Rahman</t>
  </si>
  <si>
    <t>Roknuzzaman Mia</t>
  </si>
  <si>
    <t>Roknuzzaman</t>
  </si>
  <si>
    <t>Kaosar</t>
  </si>
  <si>
    <t>Belal</t>
  </si>
  <si>
    <t>Imamul Haque</t>
  </si>
  <si>
    <t>Imamul</t>
  </si>
  <si>
    <t>Haque</t>
  </si>
  <si>
    <t>Toslim Uddin</t>
  </si>
  <si>
    <t>Toslim</t>
  </si>
  <si>
    <t>Uddin</t>
  </si>
  <si>
    <t>Bulbul Hosen</t>
  </si>
  <si>
    <t>Bulbul</t>
  </si>
  <si>
    <t>Hosen</t>
  </si>
  <si>
    <t>Manhagul Haque</t>
  </si>
  <si>
    <t>Manhagul</t>
  </si>
  <si>
    <t>Jahidul Islam</t>
  </si>
  <si>
    <t>Jahidul</t>
  </si>
  <si>
    <t>Moudud Hossen</t>
  </si>
  <si>
    <t>Moudud</t>
  </si>
  <si>
    <t>Hossen</t>
  </si>
  <si>
    <t>Jan</t>
  </si>
  <si>
    <t>Feb</t>
  </si>
  <si>
    <t>Mar</t>
  </si>
  <si>
    <t>Apr</t>
  </si>
  <si>
    <t>May</t>
  </si>
  <si>
    <t>Jun</t>
  </si>
  <si>
    <t>Jul</t>
  </si>
  <si>
    <t>Aug</t>
  </si>
  <si>
    <t>Sep</t>
  </si>
  <si>
    <t>Oct</t>
  </si>
  <si>
    <t>Nov</t>
  </si>
  <si>
    <t>Sun</t>
  </si>
  <si>
    <t>Mon</t>
  </si>
  <si>
    <t>Tue</t>
  </si>
  <si>
    <t>Wed</t>
  </si>
  <si>
    <t>Thu</t>
  </si>
  <si>
    <t>Fri</t>
  </si>
  <si>
    <t>Sat</t>
  </si>
  <si>
    <t>CTG</t>
  </si>
  <si>
    <t>BSL</t>
  </si>
  <si>
    <t>DHK</t>
  </si>
  <si>
    <t>CML</t>
  </si>
  <si>
    <t>RNG</t>
  </si>
  <si>
    <t>BOG</t>
  </si>
  <si>
    <t>DNJ</t>
  </si>
  <si>
    <t>JSR</t>
  </si>
  <si>
    <t>NAT</t>
  </si>
  <si>
    <t>AREA</t>
  </si>
  <si>
    <t>SRE</t>
  </si>
  <si>
    <t>Product - A</t>
  </si>
  <si>
    <t>Product - B</t>
  </si>
  <si>
    <t>Product - C</t>
  </si>
  <si>
    <t>%</t>
  </si>
  <si>
    <t>Kabir Bakul</t>
  </si>
  <si>
    <t>Bakul</t>
  </si>
  <si>
    <t>Md Babul Mia</t>
  </si>
  <si>
    <t>MD Kaosar Mia</t>
  </si>
  <si>
    <t>MD</t>
  </si>
  <si>
    <t>Md</t>
  </si>
  <si>
    <t>Use &amp; for Any Version</t>
  </si>
  <si>
    <t>Concat (2016 or Later)</t>
  </si>
  <si>
    <t>TextJoin (2016 or Later)</t>
  </si>
  <si>
    <t>F_Name</t>
  </si>
  <si>
    <t>M_Name (CTRL+E)</t>
  </si>
  <si>
    <t>L_Name</t>
  </si>
  <si>
    <t>Flash Fill &amp; TextJoin</t>
  </si>
  <si>
    <t xml:space="preserve">   Other1</t>
  </si>
  <si>
    <t xml:space="preserve">   Other2</t>
  </si>
  <si>
    <t>Other Text Functions</t>
  </si>
  <si>
    <t>Exact</t>
  </si>
  <si>
    <t>Name1</t>
  </si>
  <si>
    <t>Name2</t>
  </si>
  <si>
    <t>Formula</t>
  </si>
  <si>
    <t>Rahim</t>
  </si>
  <si>
    <t>RaHim</t>
  </si>
  <si>
    <t>Rohim</t>
  </si>
  <si>
    <t>Trim</t>
  </si>
  <si>
    <t>Name</t>
  </si>
  <si>
    <t>Rahim    Uddin</t>
  </si>
  <si>
    <t xml:space="preserve">   Rahim    Uddin</t>
  </si>
  <si>
    <t xml:space="preserve">Rahim    Uddin    </t>
  </si>
  <si>
    <t>Upper &amp; Trim</t>
  </si>
  <si>
    <t>rahim    Uddin</t>
  </si>
  <si>
    <t>Rahim    uddin</t>
  </si>
  <si>
    <t>rahim    uddin</t>
  </si>
  <si>
    <t>LOWER &amp; Trim</t>
  </si>
  <si>
    <t>RAHIM    Uddin</t>
  </si>
  <si>
    <t>PROPER &amp; Trim</t>
  </si>
  <si>
    <t>raHim    uddin</t>
  </si>
  <si>
    <t>Babul Akter</t>
  </si>
  <si>
    <t>Akter</t>
  </si>
  <si>
    <t>Rahim Uddin</t>
  </si>
  <si>
    <t>Greater &gt;</t>
  </si>
  <si>
    <t>&lt; Less Then</t>
  </si>
  <si>
    <t>Between</t>
  </si>
  <si>
    <t>70 - 89</t>
  </si>
  <si>
    <t>Cell Reference</t>
  </si>
  <si>
    <t>ALT+=</t>
  </si>
  <si>
    <t>Shortcut for SUM</t>
  </si>
  <si>
    <t>F4</t>
  </si>
  <si>
    <t>Shortcut for Absolute Cell Reference</t>
  </si>
  <si>
    <t>Emp_ID</t>
  </si>
  <si>
    <t>Applicant ID</t>
  </si>
  <si>
    <t>First_Name</t>
  </si>
  <si>
    <t>Last_Name</t>
  </si>
  <si>
    <t>Gender</t>
  </si>
  <si>
    <t>Marital_Status</t>
  </si>
  <si>
    <t>Date_of_Birth</t>
  </si>
  <si>
    <t>Laura</t>
  </si>
  <si>
    <t>Randall</t>
  </si>
  <si>
    <t>Male</t>
  </si>
  <si>
    <t>Married</t>
  </si>
  <si>
    <t>Single</t>
  </si>
  <si>
    <t>Karen</t>
  </si>
  <si>
    <t>Thompson</t>
  </si>
  <si>
    <t>Danielle</t>
  </si>
  <si>
    <t>Moore</t>
  </si>
  <si>
    <t>Divorced</t>
  </si>
  <si>
    <t>Sherri</t>
  </si>
  <si>
    <t>Edwards</t>
  </si>
  <si>
    <t>Christopher</t>
  </si>
  <si>
    <t>Kelly</t>
  </si>
  <si>
    <t>Widowed</t>
  </si>
  <si>
    <t>Michael</t>
  </si>
  <si>
    <t>Franco</t>
  </si>
  <si>
    <t>Russell</t>
  </si>
  <si>
    <t>William</t>
  </si>
  <si>
    <t>Mayer</t>
  </si>
  <si>
    <t>Yolanda</t>
  </si>
  <si>
    <t>Jackson</t>
  </si>
  <si>
    <t>Stephen</t>
  </si>
  <si>
    <t>Campos</t>
  </si>
  <si>
    <t>Robert</t>
  </si>
  <si>
    <t>Thomas</t>
  </si>
  <si>
    <t>Kenneth</t>
  </si>
  <si>
    <t>Robinson</t>
  </si>
  <si>
    <t>Smith</t>
  </si>
  <si>
    <t>Justin</t>
  </si>
  <si>
    <t>Sanford</t>
  </si>
  <si>
    <t>Ronnie</t>
  </si>
  <si>
    <t>Juarez</t>
  </si>
  <si>
    <t>Stephanie</t>
  </si>
  <si>
    <t>Costa</t>
  </si>
  <si>
    <t>Shirley</t>
  </si>
  <si>
    <t>Patton</t>
  </si>
  <si>
    <t>Mamun</t>
  </si>
  <si>
    <t>Ralated</t>
  </si>
  <si>
    <r>
      <t xml:space="preserve">এখানে </t>
    </r>
    <r>
      <rPr>
        <b/>
        <sz val="12"/>
        <color rgb="FFFF0000"/>
        <rFont val="Segoe UI"/>
        <family val="2"/>
      </rPr>
      <t>$j$17</t>
    </r>
    <r>
      <rPr>
        <sz val="11"/>
        <color theme="1"/>
        <rFont val="Segoe UI"/>
        <family val="2"/>
      </rPr>
      <t xml:space="preserve">-এর ডলার ($) চিহ্ন j কলাম এবং 17 সারিকে স্থির করে রেখেছে। ফলে, যখন আমরা এই ফর্মুলাটি নিচের সেলগুলোতে কপি করব, তখন </t>
    </r>
    <r>
      <rPr>
        <b/>
        <sz val="11"/>
        <color rgb="FFFF0000"/>
        <rFont val="Segoe UI"/>
        <family val="2"/>
      </rPr>
      <t>G19</t>
    </r>
    <r>
      <rPr>
        <sz val="11"/>
        <color theme="1"/>
        <rFont val="Segoe UI"/>
        <family val="2"/>
      </rPr>
      <t xml:space="preserve">পরিবর্তিত হয়ে </t>
    </r>
    <r>
      <rPr>
        <b/>
        <sz val="11"/>
        <color rgb="FFFF0000"/>
        <rFont val="Segoe UI"/>
        <family val="2"/>
      </rPr>
      <t>G20, G21</t>
    </r>
    <r>
      <rPr>
        <sz val="11"/>
        <color theme="1"/>
        <rFont val="Segoe UI"/>
        <family val="2"/>
      </rPr>
      <t xml:space="preserve"> ... হবে ঠিকই, কিন্তু ডিসকাউন্ট হারের সেল  </t>
    </r>
    <r>
      <rPr>
        <b/>
        <sz val="12"/>
        <color rgb="FFFF0000"/>
        <rFont val="Segoe UI"/>
        <family val="2"/>
      </rPr>
      <t>$j$17</t>
    </r>
    <r>
      <rPr>
        <sz val="11"/>
        <color theme="1"/>
        <rFont val="Segoe UI"/>
        <family val="2"/>
      </rPr>
      <t xml:space="preserve"> অপরিবর্তিত থাকবে।</t>
    </r>
  </si>
  <si>
    <t>jan</t>
  </si>
  <si>
    <t>feb</t>
  </si>
  <si>
    <t>mar</t>
  </si>
  <si>
    <t>apr</t>
  </si>
  <si>
    <t>may</t>
  </si>
  <si>
    <t>jun</t>
  </si>
  <si>
    <t>jul</t>
  </si>
  <si>
    <t>aug</t>
  </si>
  <si>
    <t>sep</t>
  </si>
  <si>
    <t>oct</t>
  </si>
  <si>
    <t>nov</t>
  </si>
  <si>
    <t>dec</t>
  </si>
  <si>
    <t>sat</t>
  </si>
  <si>
    <t>sun</t>
  </si>
  <si>
    <t>mon</t>
  </si>
  <si>
    <t>tue</t>
  </si>
  <si>
    <t>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</si>
</sst>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44" formatCode="_(&quot;$&quot;* #,##0.00_);_(&quot;$&quot;* \(#,##0.00\);_(&quot;$&quot;* &quot;-&quot;??_);_(@_)"/>
    <numFmt numFmtId="43" formatCode="_(* #,##0.00_);_(* \(#,##0.00\);_(* &quot;-&quot;??_);_(@_)"/>
    <numFmt numFmtId="164" formatCode="&quot;£&quot;#,##0"/>
    <numFmt numFmtId="165" formatCode="&quot;£&quot;#,##0.00"/>
    <numFmt numFmtId="166" formatCode="0.0%"/>
    <numFmt numFmtId="167" formatCode="_([$BDT]\ * #,##0_);_([$BDT]\ * \(#,##0\);_([$BDT]\ * &quot;-&quot;??_);_(@_)"/>
    <numFmt numFmtId="168" formatCode="[$BDT]\ #,##0_);\([$BDT]\ #,##0\)"/>
    <numFmt numFmtId="169" formatCode="&quot;$&quot;#,##0.00"/>
    <numFmt numFmtId="170" formatCode="[$BDT]\ #,##0"/>
    <numFmt numFmtId="171" formatCode="[$BDT]\ #,##0_);[Red]\([$BDT]\ #,##0\)"/>
    <numFmt numFmtId="172" formatCode="&quot;$&quot;#,##0._);[Red]\(&quot;$&quot;#,##0\)"/>
    <numFmt numFmtId="173" formatCode="_(* #,##0_);_(* \(#,##0\);_(* &quot;-&quot;??_);_(@_)"/>
  </numFmts>
  <fonts count="39">
    <font>
      <sz val="20"/>
      <color theme="1"/>
      <name val="Aptos Narrow"/>
      <family val="2"/>
      <scheme val="minor"/>
    </font>
    <font>
      <sz val="20"/>
      <color theme="1"/>
      <name val="Aptos Narrow"/>
      <family val="2"/>
      <scheme val="minor"/>
    </font>
    <font>
      <sz val="10"/>
      <name val="Aptos Narrow"/>
      <family val="2"/>
      <scheme val="minor"/>
    </font>
    <font>
      <b/>
      <sz val="16"/>
      <color theme="1"/>
      <name val="Aptos Narrow"/>
      <family val="2"/>
      <scheme val="minor"/>
    </font>
    <font>
      <sz val="16"/>
      <color theme="1"/>
      <name val="Aptos Narrow"/>
      <family val="2"/>
      <scheme val="minor"/>
    </font>
    <font>
      <sz val="10"/>
      <color rgb="FF000000"/>
      <name val="Arial"/>
      <family val="2"/>
    </font>
    <font>
      <sz val="11"/>
      <color theme="1"/>
      <name val="Aptos Narrow"/>
      <family val="2"/>
      <scheme val="minor"/>
    </font>
    <font>
      <sz val="11"/>
      <color theme="1"/>
      <name val="Segoe UI"/>
      <family val="2"/>
    </font>
    <font>
      <b/>
      <sz val="11"/>
      <name val="Segoe UI"/>
      <family val="2"/>
    </font>
    <font>
      <b/>
      <sz val="11"/>
      <color theme="0"/>
      <name val="Segoe UI"/>
      <family val="2"/>
    </font>
    <font>
      <b/>
      <sz val="12"/>
      <color theme="0"/>
      <name val="Segoe UI"/>
      <family val="2"/>
    </font>
    <font>
      <b/>
      <sz val="11"/>
      <color theme="1"/>
      <name val="Segoe UI"/>
      <family val="2"/>
    </font>
    <font>
      <sz val="11"/>
      <color theme="0"/>
      <name val="Segoe UI"/>
      <family val="2"/>
    </font>
    <font>
      <sz val="10"/>
      <color theme="1" tint="0.14993743705557422"/>
      <name val="Aptos Narrow"/>
      <family val="2"/>
      <scheme val="minor"/>
    </font>
    <font>
      <sz val="12"/>
      <color theme="1" tint="0.14993743705557422"/>
      <name val="Aptos Narrow"/>
      <family val="2"/>
      <scheme val="minor"/>
    </font>
    <font>
      <sz val="14"/>
      <color theme="1" tint="0.14993743705557422"/>
      <name val="Aptos Display"/>
      <family val="2"/>
      <scheme val="major"/>
    </font>
    <font>
      <sz val="11"/>
      <color theme="1" tint="0.14993743705557422"/>
      <name val="Aptos Display"/>
      <family val="2"/>
      <scheme val="major"/>
    </font>
    <font>
      <sz val="14"/>
      <color theme="0"/>
      <name val="Aptos Display"/>
      <family val="2"/>
      <scheme val="major"/>
    </font>
    <font>
      <sz val="11"/>
      <color theme="1" tint="0.14993743705557422"/>
      <name val="Aptos Narrow"/>
      <family val="2"/>
      <scheme val="minor"/>
    </font>
    <font>
      <sz val="14"/>
      <name val="Aptos Display"/>
      <family val="2"/>
      <scheme val="major"/>
    </font>
    <font>
      <b/>
      <sz val="11"/>
      <color theme="1" tint="0.14993743705557422"/>
      <name val="Aptos Narrow"/>
      <family val="2"/>
      <scheme val="minor"/>
    </font>
    <font>
      <b/>
      <sz val="10"/>
      <color theme="1" tint="0.14993743705557422"/>
      <name val="Aptos Narrow"/>
      <family val="2"/>
      <scheme val="minor"/>
    </font>
    <font>
      <sz val="18"/>
      <color theme="1" tint="0.14993743705557422"/>
      <name val="Aptos Display"/>
      <family val="2"/>
      <scheme val="major"/>
    </font>
    <font>
      <b/>
      <sz val="10"/>
      <color theme="1" tint="0.14990691854609822"/>
      <name val="Aptos Display"/>
      <family val="2"/>
      <scheme val="major"/>
    </font>
    <font>
      <sz val="11"/>
      <color theme="0"/>
      <name val="Aptos Narrow"/>
      <family val="2"/>
      <scheme val="minor"/>
    </font>
    <font>
      <sz val="11"/>
      <color theme="1"/>
      <name val="Arial"/>
      <family val="2"/>
    </font>
    <font>
      <u/>
      <sz val="11"/>
      <color theme="10"/>
      <name val="Arial"/>
      <family val="2"/>
    </font>
    <font>
      <b/>
      <sz val="16"/>
      <color theme="1" tint="0.14993743705557422"/>
      <name val="Aptos Narrow"/>
      <family val="2"/>
      <scheme val="minor"/>
    </font>
    <font>
      <b/>
      <sz val="20"/>
      <color theme="1"/>
      <name val="Aptos Narrow"/>
      <family val="2"/>
      <scheme val="minor"/>
    </font>
    <font>
      <b/>
      <sz val="22"/>
      <color theme="1"/>
      <name val="Aptos Narrow"/>
      <family val="2"/>
      <scheme val="minor"/>
    </font>
    <font>
      <sz val="14"/>
      <color theme="1"/>
      <name val="Arial"/>
      <family val="2"/>
    </font>
    <font>
      <b/>
      <sz val="12"/>
      <color theme="1"/>
      <name val="Arial"/>
      <family val="2"/>
    </font>
    <font>
      <b/>
      <sz val="20"/>
      <color theme="0"/>
      <name val="Aptos Narrow"/>
      <family val="2"/>
      <scheme val="minor"/>
    </font>
    <font>
      <sz val="20"/>
      <color theme="0"/>
      <name val="Aptos Narrow"/>
      <family val="2"/>
      <scheme val="minor"/>
    </font>
    <font>
      <b/>
      <sz val="14"/>
      <color theme="1"/>
      <name val="Arial"/>
      <family val="2"/>
    </font>
    <font>
      <sz val="20"/>
      <color rgb="FFFF0000"/>
      <name val="Aptos Narrow"/>
      <family val="2"/>
      <scheme val="minor"/>
    </font>
    <font>
      <sz val="16"/>
      <color rgb="FFFF0000"/>
      <name val="Aptos Narrow"/>
      <family val="2"/>
      <scheme val="minor"/>
    </font>
    <font>
      <b/>
      <sz val="11"/>
      <color rgb="FFFF0000"/>
      <name val="Segoe UI"/>
      <family val="2"/>
    </font>
    <font>
      <b/>
      <sz val="12"/>
      <color rgb="FFFF0000"/>
      <name val="Segoe UI"/>
      <family val="2"/>
    </font>
  </fonts>
  <fills count="2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2060"/>
        <bgColor indexed="64"/>
      </patternFill>
    </fill>
    <fill>
      <patternFill patternType="solid">
        <fgColor theme="8" tint="-0.249977111117893"/>
        <bgColor indexed="64"/>
      </patternFill>
    </fill>
    <fill>
      <patternFill patternType="solid">
        <fgColor theme="1"/>
        <bgColor indexed="64"/>
      </patternFill>
    </fill>
    <fill>
      <patternFill patternType="solid">
        <fgColor rgb="FFF7F7F7"/>
        <bgColor indexed="64"/>
      </patternFill>
    </fill>
    <fill>
      <patternFill patternType="solid">
        <fgColor theme="5" tint="0.59999389629810485"/>
        <bgColor indexed="64"/>
      </patternFill>
    </fill>
    <fill>
      <patternFill patternType="solid">
        <fgColor theme="4"/>
        <bgColor indexed="64"/>
      </patternFill>
    </fill>
    <fill>
      <patternFill patternType="solid">
        <fgColor theme="0" tint="-0.249977111117893"/>
        <bgColor indexed="64"/>
      </patternFill>
    </fill>
    <fill>
      <patternFill patternType="solid">
        <fgColor theme="0"/>
        <bgColor auto="1"/>
      </patternFill>
    </fill>
    <fill>
      <patternFill patternType="solid">
        <fgColor theme="3"/>
        <bgColor indexed="64"/>
      </patternFill>
    </fill>
    <fill>
      <patternFill patternType="solid">
        <fgColor rgb="FF004C4B"/>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59999389629810485"/>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medium">
        <color theme="5" tint="-0.499984740745262"/>
      </left>
      <right style="thin">
        <color theme="4"/>
      </right>
      <top style="medium">
        <color theme="5" tint="-0.499984740745262"/>
      </top>
      <bottom style="thin">
        <color theme="4"/>
      </bottom>
      <diagonal/>
    </border>
    <border>
      <left style="thin">
        <color theme="4"/>
      </left>
      <right style="thin">
        <color theme="4"/>
      </right>
      <top style="medium">
        <color theme="5" tint="-0.499984740745262"/>
      </top>
      <bottom style="thin">
        <color theme="4"/>
      </bottom>
      <diagonal/>
    </border>
    <border>
      <left style="dashed">
        <color auto="1"/>
      </left>
      <right style="dashed">
        <color auto="1"/>
      </right>
      <top/>
      <bottom style="dashed">
        <color auto="1"/>
      </bottom>
      <diagonal/>
    </border>
    <border>
      <left style="dashed">
        <color auto="1"/>
      </left>
      <right style="dashed">
        <color auto="1"/>
      </right>
      <top style="dashed">
        <color auto="1"/>
      </top>
      <bottom style="dashed">
        <color auto="1"/>
      </bottom>
      <diagonal/>
    </border>
    <border>
      <left/>
      <right/>
      <top/>
      <bottom style="medium">
        <color theme="4" tint="-0.24994659260841701"/>
      </bottom>
      <diagonal/>
    </border>
    <border>
      <left style="thin">
        <color theme="3" tint="0.249977111117893"/>
      </left>
      <right style="thin">
        <color theme="3" tint="0.249977111117893"/>
      </right>
      <top style="thin">
        <color theme="3" tint="0.249977111117893"/>
      </top>
      <bottom style="thin">
        <color theme="3" tint="0.249977111117893"/>
      </bottom>
      <diagonal/>
    </border>
    <border>
      <left style="medium">
        <color theme="3" tint="0.249977111117893"/>
      </left>
      <right style="thin">
        <color theme="3" tint="0.249977111117893"/>
      </right>
      <top style="medium">
        <color theme="3" tint="0.249977111117893"/>
      </top>
      <bottom style="thin">
        <color theme="3" tint="0.249977111117893"/>
      </bottom>
      <diagonal/>
    </border>
    <border>
      <left style="thin">
        <color theme="3" tint="0.249977111117893"/>
      </left>
      <right style="thin">
        <color theme="3" tint="0.249977111117893"/>
      </right>
      <top style="medium">
        <color theme="3" tint="0.249977111117893"/>
      </top>
      <bottom style="thin">
        <color theme="3" tint="0.249977111117893"/>
      </bottom>
      <diagonal/>
    </border>
    <border>
      <left style="medium">
        <color theme="3" tint="0.249977111117893"/>
      </left>
      <right style="thin">
        <color theme="3" tint="0.249977111117893"/>
      </right>
      <top style="thin">
        <color theme="3" tint="0.249977111117893"/>
      </top>
      <bottom style="thin">
        <color theme="3" tint="0.249977111117893"/>
      </bottom>
      <diagonal/>
    </border>
    <border>
      <left style="thin">
        <color theme="3" tint="0.249977111117893"/>
      </left>
      <right style="medium">
        <color theme="3" tint="0.249977111117893"/>
      </right>
      <top style="thin">
        <color theme="3" tint="0.249977111117893"/>
      </top>
      <bottom style="thin">
        <color theme="3" tint="0.249977111117893"/>
      </bottom>
      <diagonal/>
    </border>
    <border>
      <left style="medium">
        <color theme="3" tint="0.249977111117893"/>
      </left>
      <right style="thin">
        <color theme="3" tint="0.249977111117893"/>
      </right>
      <top style="thin">
        <color theme="3" tint="0.249977111117893"/>
      </top>
      <bottom style="medium">
        <color theme="3" tint="0.249977111117893"/>
      </bottom>
      <diagonal/>
    </border>
    <border>
      <left style="thin">
        <color theme="3" tint="0.249977111117893"/>
      </left>
      <right style="thin">
        <color theme="3" tint="0.249977111117893"/>
      </right>
      <top style="thin">
        <color theme="3" tint="0.249977111117893"/>
      </top>
      <bottom style="medium">
        <color theme="3" tint="0.249977111117893"/>
      </bottom>
      <diagonal/>
    </border>
    <border>
      <left style="thin">
        <color theme="3" tint="0.249977111117893"/>
      </left>
      <right style="medium">
        <color theme="3" tint="0.249977111117893"/>
      </right>
      <top style="thin">
        <color theme="3" tint="0.249977111117893"/>
      </top>
      <bottom style="medium">
        <color theme="3" tint="0.249977111117893"/>
      </bottom>
      <diagonal/>
    </border>
    <border>
      <left style="thin">
        <color theme="3" tint="0.249977111117893"/>
      </left>
      <right style="thin">
        <color theme="3" tint="0.249977111117893"/>
      </right>
      <top/>
      <bottom style="thin">
        <color theme="3" tint="0.249977111117893"/>
      </bottom>
      <diagonal/>
    </border>
    <border>
      <left style="thin">
        <color theme="3" tint="0.249977111117893"/>
      </left>
      <right style="medium">
        <color theme="3" tint="0.249977111117893"/>
      </right>
      <top/>
      <bottom style="thin">
        <color theme="3" tint="0.249977111117893"/>
      </bottom>
      <diagonal/>
    </border>
    <border>
      <left/>
      <right/>
      <top/>
      <bottom style="medium">
        <color theme="3" tint="0.249977111117893"/>
      </bottom>
      <diagonal/>
    </border>
    <border>
      <left style="thin">
        <color theme="3" tint="0.249977111117893"/>
      </left>
      <right style="thin">
        <color theme="3" tint="0.249977111117893"/>
      </right>
      <top style="thin">
        <color theme="3" tint="0.249977111117893"/>
      </top>
      <bottom/>
      <diagonal/>
    </border>
    <border>
      <left style="medium">
        <color indexed="64"/>
      </left>
      <right style="thin">
        <color theme="3" tint="0.249977111117893"/>
      </right>
      <top style="medium">
        <color indexed="64"/>
      </top>
      <bottom style="thin">
        <color theme="3" tint="0.249977111117893"/>
      </bottom>
      <diagonal/>
    </border>
    <border>
      <left style="thin">
        <color theme="3" tint="0.249977111117893"/>
      </left>
      <right style="thin">
        <color theme="3" tint="0.249977111117893"/>
      </right>
      <top style="medium">
        <color indexed="64"/>
      </top>
      <bottom style="thin">
        <color theme="3" tint="0.249977111117893"/>
      </bottom>
      <diagonal/>
    </border>
    <border>
      <left style="thin">
        <color theme="3" tint="0.249977111117893"/>
      </left>
      <right style="medium">
        <color indexed="64"/>
      </right>
      <top style="medium">
        <color indexed="64"/>
      </top>
      <bottom style="thin">
        <color theme="3" tint="0.249977111117893"/>
      </bottom>
      <diagonal/>
    </border>
    <border>
      <left style="medium">
        <color indexed="64"/>
      </left>
      <right style="thin">
        <color theme="3" tint="0.249977111117893"/>
      </right>
      <top style="thin">
        <color theme="3" tint="0.249977111117893"/>
      </top>
      <bottom style="thin">
        <color theme="3" tint="0.249977111117893"/>
      </bottom>
      <diagonal/>
    </border>
    <border>
      <left style="thin">
        <color theme="3" tint="0.249977111117893"/>
      </left>
      <right style="medium">
        <color indexed="64"/>
      </right>
      <top style="thin">
        <color theme="3" tint="0.249977111117893"/>
      </top>
      <bottom style="thin">
        <color theme="3" tint="0.249977111117893"/>
      </bottom>
      <diagonal/>
    </border>
    <border>
      <left style="medium">
        <color indexed="64"/>
      </left>
      <right style="thin">
        <color theme="3" tint="0.249977111117893"/>
      </right>
      <top style="thin">
        <color theme="3" tint="0.249977111117893"/>
      </top>
      <bottom style="medium">
        <color indexed="64"/>
      </bottom>
      <diagonal/>
    </border>
    <border>
      <left style="thin">
        <color theme="3" tint="0.249977111117893"/>
      </left>
      <right style="thin">
        <color theme="3" tint="0.249977111117893"/>
      </right>
      <top style="thin">
        <color theme="3" tint="0.249977111117893"/>
      </top>
      <bottom style="medium">
        <color indexed="64"/>
      </bottom>
      <diagonal/>
    </border>
    <border>
      <left style="thin">
        <color theme="3" tint="0.249977111117893"/>
      </left>
      <right style="medium">
        <color indexed="64"/>
      </right>
      <top style="thin">
        <color theme="3" tint="0.249977111117893"/>
      </top>
      <bottom style="medium">
        <color indexed="6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style="thin">
        <color theme="4" tint="0.39997558519241921"/>
      </bottom>
      <diagonal/>
    </border>
    <border>
      <left style="thin">
        <color theme="4" tint="0.39997558519241921"/>
      </left>
      <right/>
      <top style="double">
        <color theme="4"/>
      </top>
      <bottom style="thin">
        <color theme="4" tint="0.39997558519241921"/>
      </bottom>
      <diagonal/>
    </border>
    <border>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right style="thin">
        <color indexed="64"/>
      </right>
      <top/>
      <bottom/>
      <diagonal/>
    </border>
  </borders>
  <cellStyleXfs count="10">
    <xf numFmtId="0" fontId="0" fillId="0" borderId="0"/>
    <xf numFmtId="9" fontId="1" fillId="0" borderId="0" applyFont="0" applyFill="0" applyBorder="0" applyAlignment="0" applyProtection="0"/>
    <xf numFmtId="0" fontId="6" fillId="0" borderId="0"/>
    <xf numFmtId="44" fontId="6" fillId="0" borderId="0" applyFont="0" applyFill="0" applyBorder="0" applyAlignment="0" applyProtection="0"/>
    <xf numFmtId="0" fontId="13" fillId="7" borderId="0">
      <alignment vertical="center"/>
    </xf>
    <xf numFmtId="0" fontId="16" fillId="0" borderId="15" applyNumberFormat="0" applyFill="0" applyProtection="0">
      <alignment vertical="center"/>
    </xf>
    <xf numFmtId="0" fontId="23" fillId="11" borderId="0" applyNumberFormat="0" applyProtection="0">
      <alignment horizontal="left" vertical="center" indent="1"/>
    </xf>
    <xf numFmtId="0" fontId="25" fillId="0" borderId="0"/>
    <xf numFmtId="0" fontId="26" fillId="0" borderId="0" applyNumberFormat="0" applyFill="0" applyBorder="0" applyAlignment="0" applyProtection="0"/>
    <xf numFmtId="43" fontId="1" fillId="0" borderId="0" applyFont="0" applyFill="0" applyBorder="0" applyAlignment="0" applyProtection="0"/>
  </cellStyleXfs>
  <cellXfs count="132">
    <xf numFmtId="0" fontId="0" fillId="0" borderId="0" xfId="0"/>
    <xf numFmtId="0" fontId="0" fillId="0" borderId="0" xfId="0"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4" fillId="0" borderId="5" xfId="0" applyFont="1" applyBorder="1" applyAlignment="1">
      <alignment horizontal="center" vertical="center"/>
    </xf>
    <xf numFmtId="0" fontId="4" fillId="0" borderId="1" xfId="0" applyFont="1" applyBorder="1" applyAlignment="1">
      <alignment horizontal="center" vertical="center"/>
    </xf>
    <xf numFmtId="9" fontId="4" fillId="0" borderId="6" xfId="1"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9" fontId="4" fillId="0" borderId="9" xfId="1" applyFont="1" applyBorder="1" applyAlignment="1">
      <alignment horizontal="center" vertical="center"/>
    </xf>
    <xf numFmtId="0" fontId="4" fillId="3" borderId="0" xfId="0" applyFont="1" applyFill="1" applyAlignment="1">
      <alignment horizontal="center" vertical="center"/>
    </xf>
    <xf numFmtId="9" fontId="4" fillId="3" borderId="0" xfId="1" applyFont="1" applyFill="1" applyBorder="1" applyAlignment="1">
      <alignment horizontal="center" vertical="center"/>
    </xf>
    <xf numFmtId="0" fontId="5" fillId="0" borderId="0" xfId="0" applyFont="1"/>
    <xf numFmtId="0" fontId="7" fillId="0" borderId="0" xfId="2" applyFont="1"/>
    <xf numFmtId="164" fontId="9" fillId="4" borderId="0" xfId="2" applyNumberFormat="1" applyFont="1" applyFill="1" applyAlignment="1">
      <alignment horizontal="center" vertical="center"/>
    </xf>
    <xf numFmtId="165" fontId="7" fillId="0" borderId="0" xfId="2" applyNumberFormat="1" applyFont="1"/>
    <xf numFmtId="0" fontId="10" fillId="5" borderId="1" xfId="2" applyFont="1" applyFill="1" applyBorder="1" applyAlignment="1">
      <alignment horizontal="center" vertical="center"/>
    </xf>
    <xf numFmtId="164" fontId="10" fillId="5" borderId="1" xfId="2" applyNumberFormat="1" applyFont="1" applyFill="1" applyBorder="1" applyAlignment="1">
      <alignment horizontal="center" vertical="center"/>
    </xf>
    <xf numFmtId="164" fontId="10" fillId="5" borderId="1" xfId="2" applyNumberFormat="1" applyFont="1" applyFill="1" applyBorder="1" applyAlignment="1">
      <alignment horizontal="center" vertical="center" wrapText="1"/>
    </xf>
    <xf numFmtId="165" fontId="10" fillId="5" borderId="1" xfId="2" applyNumberFormat="1" applyFont="1" applyFill="1" applyBorder="1" applyAlignment="1">
      <alignment horizontal="center" vertical="center"/>
    </xf>
    <xf numFmtId="166" fontId="10" fillId="6" borderId="12" xfId="2" applyNumberFormat="1" applyFont="1" applyFill="1" applyBorder="1" applyAlignment="1">
      <alignment horizontal="center" vertical="center"/>
    </xf>
    <xf numFmtId="0" fontId="7" fillId="0" borderId="13" xfId="2" applyFont="1" applyBorder="1" applyAlignment="1">
      <alignment horizontal="center" vertical="center"/>
    </xf>
    <xf numFmtId="167" fontId="7" fillId="2" borderId="13" xfId="3" applyNumberFormat="1" applyFont="1" applyFill="1" applyBorder="1"/>
    <xf numFmtId="167" fontId="11" fillId="2" borderId="13" xfId="3" applyNumberFormat="1" applyFont="1" applyFill="1" applyBorder="1"/>
    <xf numFmtId="0" fontId="7" fillId="0" borderId="14" xfId="2" applyFont="1" applyBorder="1" applyAlignment="1">
      <alignment horizontal="center" vertical="center"/>
    </xf>
    <xf numFmtId="167" fontId="7" fillId="2" borderId="14" xfId="3" applyNumberFormat="1" applyFont="1" applyFill="1" applyBorder="1"/>
    <xf numFmtId="167" fontId="11" fillId="2" borderId="14" xfId="3" applyNumberFormat="1" applyFont="1" applyFill="1" applyBorder="1"/>
    <xf numFmtId="0" fontId="13" fillId="8" borderId="0" xfId="4" applyFill="1" applyAlignment="1"/>
    <xf numFmtId="0" fontId="14" fillId="8" borderId="0" xfId="4" applyFont="1" applyFill="1">
      <alignment vertical="center"/>
    </xf>
    <xf numFmtId="0" fontId="13" fillId="8" borderId="0" xfId="4" applyFill="1" applyAlignment="1">
      <alignment horizontal="right" vertical="center"/>
    </xf>
    <xf numFmtId="0" fontId="13" fillId="8" borderId="0" xfId="4" applyFill="1">
      <alignment vertical="center"/>
    </xf>
    <xf numFmtId="0" fontId="13" fillId="0" borderId="0" xfId="4" applyFill="1">
      <alignment vertical="center"/>
    </xf>
    <xf numFmtId="0" fontId="15" fillId="8" borderId="0" xfId="4" applyFont="1" applyFill="1" applyAlignment="1"/>
    <xf numFmtId="0" fontId="17" fillId="9" borderId="0" xfId="5" applyFont="1" applyFill="1" applyBorder="1" applyAlignment="1">
      <alignment horizontal="left" vertical="center" indent="1"/>
    </xf>
    <xf numFmtId="0" fontId="17" fillId="9" borderId="0" xfId="5" applyFont="1" applyFill="1" applyBorder="1" applyAlignment="1">
      <alignment horizontal="right" vertical="center" indent="1"/>
    </xf>
    <xf numFmtId="0" fontId="17" fillId="9" borderId="0" xfId="5" applyFont="1" applyFill="1" applyBorder="1" applyAlignment="1">
      <alignment horizontal="right" vertical="center"/>
    </xf>
    <xf numFmtId="0" fontId="15" fillId="0" borderId="0" xfId="4" applyFont="1" applyFill="1">
      <alignment vertical="center"/>
    </xf>
    <xf numFmtId="0" fontId="18" fillId="8" borderId="0" xfId="4" applyFont="1" applyFill="1" applyAlignment="1"/>
    <xf numFmtId="0" fontId="19" fillId="7" borderId="0" xfId="4" applyFont="1" applyAlignment="1">
      <alignment horizontal="left" vertical="center" indent="1"/>
    </xf>
    <xf numFmtId="0" fontId="19" fillId="7" borderId="0" xfId="4" applyFont="1" applyAlignment="1">
      <alignment horizontal="right" vertical="center" indent="1"/>
    </xf>
    <xf numFmtId="0" fontId="19" fillId="7" borderId="0" xfId="4" applyFont="1">
      <alignment vertical="center"/>
    </xf>
    <xf numFmtId="0" fontId="18" fillId="0" borderId="0" xfId="4" applyFont="1" applyFill="1">
      <alignment vertical="center"/>
    </xf>
    <xf numFmtId="0" fontId="18" fillId="7" borderId="0" xfId="4" applyFont="1" applyAlignment="1">
      <alignment horizontal="left" vertical="center" indent="1"/>
    </xf>
    <xf numFmtId="168" fontId="13" fillId="7" borderId="0" xfId="4" applyNumberFormat="1" applyAlignment="1">
      <alignment horizontal="right" vertical="center" indent="1"/>
    </xf>
    <xf numFmtId="169" fontId="18" fillId="7" borderId="0" xfId="4" applyNumberFormat="1" applyFont="1" applyAlignment="1">
      <alignment horizontal="right" vertical="center"/>
    </xf>
    <xf numFmtId="0" fontId="20" fillId="7" borderId="0" xfId="4" applyFont="1" applyAlignment="1">
      <alignment horizontal="left" vertical="center" indent="1"/>
    </xf>
    <xf numFmtId="170" fontId="21" fillId="7" borderId="0" xfId="4" applyNumberFormat="1" applyFont="1" applyAlignment="1">
      <alignment horizontal="right" vertical="center" indent="1"/>
    </xf>
    <xf numFmtId="0" fontId="18" fillId="7" borderId="0" xfId="4" applyFont="1" applyAlignment="1">
      <alignment horizontal="right" vertical="center"/>
    </xf>
    <xf numFmtId="0" fontId="14" fillId="8" borderId="0" xfId="4" applyFont="1" applyFill="1" applyAlignment="1">
      <alignment horizontal="right" vertical="center" indent="1"/>
    </xf>
    <xf numFmtId="0" fontId="22" fillId="8" borderId="0" xfId="4" applyFont="1" applyFill="1" applyAlignment="1"/>
    <xf numFmtId="0" fontId="22" fillId="0" borderId="0" xfId="4" applyFont="1" applyFill="1">
      <alignment vertical="center"/>
    </xf>
    <xf numFmtId="0" fontId="18" fillId="8" borderId="0" xfId="4" applyFont="1" applyFill="1">
      <alignment vertical="center"/>
    </xf>
    <xf numFmtId="0" fontId="18" fillId="10" borderId="0" xfId="4" applyFont="1" applyFill="1" applyAlignment="1">
      <alignment horizontal="left" vertical="center" indent="1"/>
    </xf>
    <xf numFmtId="168" fontId="13" fillId="10" borderId="0" xfId="4" applyNumberFormat="1" applyFill="1" applyAlignment="1">
      <alignment horizontal="right" vertical="center" indent="1"/>
    </xf>
    <xf numFmtId="0" fontId="19" fillId="8" borderId="0" xfId="4" applyFont="1" applyFill="1" applyAlignment="1"/>
    <xf numFmtId="0" fontId="19" fillId="0" borderId="0" xfId="4" applyFont="1" applyFill="1">
      <alignment vertical="center"/>
    </xf>
    <xf numFmtId="0" fontId="18" fillId="8" borderId="0" xfId="4" applyFont="1" applyFill="1" applyAlignment="1">
      <alignment horizontal="right" vertical="center" indent="1"/>
    </xf>
    <xf numFmtId="0" fontId="18" fillId="7" borderId="0" xfId="4" applyFont="1" applyAlignment="1">
      <alignment horizontal="left" vertical="center"/>
    </xf>
    <xf numFmtId="0" fontId="17" fillId="12" borderId="0" xfId="6" applyFont="1" applyFill="1">
      <alignment horizontal="left" vertical="center" indent="1"/>
    </xf>
    <xf numFmtId="0" fontId="17" fillId="9" borderId="0" xfId="6" applyFont="1" applyFill="1" applyAlignment="1">
      <alignment horizontal="right" vertical="center" indent="1"/>
    </xf>
    <xf numFmtId="0" fontId="17" fillId="12" borderId="0" xfId="6" applyFont="1" applyFill="1" applyAlignment="1">
      <alignment horizontal="right" vertical="center" indent="1"/>
    </xf>
    <xf numFmtId="0" fontId="24" fillId="12" borderId="0" xfId="4" applyFont="1" applyFill="1" applyAlignment="1">
      <alignment horizontal="left" vertical="center" indent="1"/>
    </xf>
    <xf numFmtId="170" fontId="24" fillId="9" borderId="0" xfId="4" applyNumberFormat="1" applyFont="1" applyFill="1" applyAlignment="1">
      <alignment horizontal="right" vertical="center" indent="1"/>
    </xf>
    <xf numFmtId="170" fontId="24" fillId="12" borderId="0" xfId="4" applyNumberFormat="1" applyFont="1" applyFill="1" applyAlignment="1">
      <alignment horizontal="right" vertical="center" indent="1"/>
    </xf>
    <xf numFmtId="169" fontId="24" fillId="12" borderId="0" xfId="4" applyNumberFormat="1" applyFont="1" applyFill="1" applyAlignment="1">
      <alignment horizontal="right" vertical="center"/>
    </xf>
    <xf numFmtId="171" fontId="24" fillId="9" borderId="0" xfId="4" applyNumberFormat="1" applyFont="1" applyFill="1" applyAlignment="1">
      <alignment horizontal="right" vertical="center" indent="1"/>
    </xf>
    <xf numFmtId="171" fontId="24" fillId="13" borderId="0" xfId="4" applyNumberFormat="1" applyFont="1" applyFill="1" applyAlignment="1">
      <alignment horizontal="right" vertical="center" indent="1"/>
    </xf>
    <xf numFmtId="171" fontId="24" fillId="2" borderId="0" xfId="4" applyNumberFormat="1" applyFont="1" applyFill="1" applyAlignment="1">
      <alignment horizontal="right" vertical="center" indent="1"/>
    </xf>
    <xf numFmtId="172" fontId="24" fillId="12" borderId="0" xfId="4" applyNumberFormat="1" applyFont="1" applyFill="1" applyAlignment="1">
      <alignment horizontal="right" vertical="center" indent="1"/>
    </xf>
    <xf numFmtId="0" fontId="25" fillId="0" borderId="0" xfId="7"/>
    <xf numFmtId="0" fontId="27" fillId="8" borderId="0" xfId="4" applyFont="1" applyFill="1">
      <alignment vertical="center"/>
    </xf>
    <xf numFmtId="0" fontId="3" fillId="0" borderId="1" xfId="0" applyFont="1" applyBorder="1" applyAlignment="1">
      <alignment horizontal="center" vertical="center"/>
    </xf>
    <xf numFmtId="0" fontId="3" fillId="0" borderId="8" xfId="0" applyFont="1" applyBorder="1" applyAlignment="1">
      <alignment horizontal="center" vertical="center"/>
    </xf>
    <xf numFmtId="0" fontId="0" fillId="0" borderId="16" xfId="0" applyBorder="1" applyAlignment="1">
      <alignment horizontal="center" vertical="center"/>
    </xf>
    <xf numFmtId="0" fontId="0" fillId="0" borderId="17" xfId="0" applyBorder="1"/>
    <xf numFmtId="0" fontId="0" fillId="0" borderId="21" xfId="0" applyBorder="1"/>
    <xf numFmtId="0" fontId="28" fillId="0" borderId="18" xfId="0" applyFont="1" applyBorder="1" applyAlignment="1">
      <alignment horizontal="center" vertical="center"/>
    </xf>
    <xf numFmtId="0" fontId="28" fillId="0" borderId="19" xfId="0" applyFont="1" applyBorder="1"/>
    <xf numFmtId="0" fontId="28" fillId="2" borderId="16" xfId="0" applyFont="1" applyFill="1" applyBorder="1" applyAlignment="1">
      <alignment horizontal="center"/>
    </xf>
    <xf numFmtId="0" fontId="28" fillId="2" borderId="24" xfId="0" applyFont="1" applyFill="1" applyBorder="1" applyAlignment="1">
      <alignment horizontal="center" vertical="center"/>
    </xf>
    <xf numFmtId="0" fontId="28" fillId="15" borderId="16" xfId="0" applyFont="1" applyFill="1" applyBorder="1" applyAlignment="1">
      <alignment horizontal="center"/>
    </xf>
    <xf numFmtId="0" fontId="28" fillId="15" borderId="25" xfId="0" applyFont="1" applyFill="1" applyBorder="1" applyAlignment="1">
      <alignment horizontal="center" vertical="center"/>
    </xf>
    <xf numFmtId="9" fontId="0" fillId="15" borderId="20" xfId="1" applyFont="1" applyFill="1" applyBorder="1" applyAlignment="1">
      <alignment horizontal="center" vertical="center"/>
    </xf>
    <xf numFmtId="0" fontId="0" fillId="0" borderId="22" xfId="0" applyBorder="1" applyAlignment="1">
      <alignment horizontal="center" vertical="center"/>
    </xf>
    <xf numFmtId="0" fontId="0" fillId="15" borderId="23" xfId="0" applyFill="1" applyBorder="1" applyAlignment="1">
      <alignment horizontal="center" vertical="center"/>
    </xf>
    <xf numFmtId="0" fontId="29" fillId="0" borderId="0" xfId="0" applyFont="1"/>
    <xf numFmtId="0" fontId="3" fillId="3" borderId="0" xfId="0" applyFont="1" applyFill="1" applyAlignment="1">
      <alignment horizontal="center" vertical="center"/>
    </xf>
    <xf numFmtId="0" fontId="30" fillId="0" borderId="0" xfId="7" applyFont="1"/>
    <xf numFmtId="0" fontId="31" fillId="14" borderId="16" xfId="7" applyFont="1" applyFill="1" applyBorder="1" applyAlignment="1">
      <alignment horizontal="center" vertical="center"/>
    </xf>
    <xf numFmtId="0" fontId="10" fillId="6" borderId="11" xfId="2" applyFont="1" applyFill="1" applyBorder="1" applyAlignment="1">
      <alignment horizontal="center" vertical="center"/>
    </xf>
    <xf numFmtId="168" fontId="12" fillId="6" borderId="13" xfId="3" applyNumberFormat="1" applyFont="1" applyFill="1" applyBorder="1"/>
    <xf numFmtId="168" fontId="11" fillId="2" borderId="13" xfId="3" applyNumberFormat="1" applyFont="1" applyFill="1" applyBorder="1"/>
    <xf numFmtId="0" fontId="32" fillId="16" borderId="0" xfId="0" applyFont="1" applyFill="1"/>
    <xf numFmtId="0" fontId="33" fillId="17" borderId="0" xfId="0" applyFont="1" applyFill="1"/>
    <xf numFmtId="0" fontId="0" fillId="18" borderId="0" xfId="0" applyFill="1"/>
    <xf numFmtId="14" fontId="0" fillId="0" borderId="0" xfId="0" applyNumberFormat="1" applyAlignment="1">
      <alignment horizontal="center" vertical="center"/>
    </xf>
    <xf numFmtId="0" fontId="0" fillId="0" borderId="26" xfId="0" applyBorder="1" applyAlignment="1">
      <alignment horizontal="center" vertical="center"/>
    </xf>
    <xf numFmtId="0" fontId="28" fillId="2" borderId="27" xfId="0" applyFont="1" applyFill="1" applyBorder="1" applyAlignment="1">
      <alignment horizontal="center"/>
    </xf>
    <xf numFmtId="0" fontId="28" fillId="15" borderId="27" xfId="0" applyFont="1" applyFill="1" applyBorder="1" applyAlignment="1">
      <alignment horizontal="center"/>
    </xf>
    <xf numFmtId="0" fontId="0" fillId="0" borderId="28" xfId="0" applyBorder="1"/>
    <xf numFmtId="0" fontId="28" fillId="0" borderId="29" xfId="0" applyFont="1" applyBorder="1" applyAlignment="1">
      <alignment horizontal="center" vertical="center"/>
    </xf>
    <xf numFmtId="0" fontId="28" fillId="2" borderId="29" xfId="0" applyFont="1" applyFill="1" applyBorder="1" applyAlignment="1">
      <alignment horizontal="center" vertical="center"/>
    </xf>
    <xf numFmtId="0" fontId="28" fillId="15" borderId="30" xfId="0" applyFont="1" applyFill="1" applyBorder="1" applyAlignment="1">
      <alignment horizontal="center" vertical="center"/>
    </xf>
    <xf numFmtId="0" fontId="28" fillId="0" borderId="31" xfId="0" applyFont="1" applyBorder="1"/>
    <xf numFmtId="0" fontId="0" fillId="0" borderId="33" xfId="0" applyBorder="1"/>
    <xf numFmtId="0" fontId="0" fillId="0" borderId="34" xfId="0" applyBorder="1" applyAlignment="1">
      <alignment horizontal="center" vertical="center"/>
    </xf>
    <xf numFmtId="0" fontId="0" fillId="15" borderId="35" xfId="0" applyFill="1" applyBorder="1" applyAlignment="1">
      <alignment horizontal="center" vertical="center"/>
    </xf>
    <xf numFmtId="0" fontId="32" fillId="19" borderId="36" xfId="0" applyFont="1" applyFill="1" applyBorder="1"/>
    <xf numFmtId="0" fontId="32" fillId="19" borderId="37" xfId="0" applyFont="1" applyFill="1" applyBorder="1"/>
    <xf numFmtId="0" fontId="32" fillId="19" borderId="38" xfId="0" applyFont="1" applyFill="1" applyBorder="1"/>
    <xf numFmtId="0" fontId="32" fillId="19" borderId="39" xfId="0" applyFont="1" applyFill="1" applyBorder="1"/>
    <xf numFmtId="0" fontId="0" fillId="20" borderId="36" xfId="0" applyFill="1" applyBorder="1"/>
    <xf numFmtId="0" fontId="0" fillId="20" borderId="37" xfId="0" applyFill="1" applyBorder="1"/>
    <xf numFmtId="15" fontId="0" fillId="20" borderId="38" xfId="0" applyNumberFormat="1" applyFill="1" applyBorder="1"/>
    <xf numFmtId="0" fontId="0" fillId="20" borderId="39" xfId="0" applyFill="1" applyBorder="1"/>
    <xf numFmtId="0" fontId="0" fillId="0" borderId="36" xfId="0" applyBorder="1"/>
    <xf numFmtId="0" fontId="0" fillId="0" borderId="37" xfId="0" applyBorder="1"/>
    <xf numFmtId="15" fontId="0" fillId="0" borderId="38" xfId="0" applyNumberFormat="1" applyBorder="1"/>
    <xf numFmtId="0" fontId="28" fillId="0" borderId="40" xfId="0" applyFont="1" applyBorder="1"/>
    <xf numFmtId="0" fontId="28" fillId="0" borderId="41" xfId="0" applyFont="1" applyBorder="1"/>
    <xf numFmtId="15" fontId="28" fillId="0" borderId="42" xfId="0" applyNumberFormat="1" applyFont="1" applyBorder="1"/>
    <xf numFmtId="9" fontId="35" fillId="15" borderId="32" xfId="1" applyFont="1" applyFill="1" applyBorder="1" applyAlignment="1">
      <alignment horizontal="center" vertical="center"/>
    </xf>
    <xf numFmtId="43" fontId="0" fillId="2" borderId="16" xfId="9" applyFont="1" applyFill="1" applyBorder="1" applyAlignment="1">
      <alignment horizontal="center" vertical="center"/>
    </xf>
    <xf numFmtId="173" fontId="0" fillId="2" borderId="16" xfId="9" applyNumberFormat="1" applyFont="1" applyFill="1" applyBorder="1" applyAlignment="1">
      <alignment horizontal="center" vertical="center"/>
    </xf>
    <xf numFmtId="173" fontId="35" fillId="2" borderId="34" xfId="9" applyNumberFormat="1" applyFont="1" applyFill="1" applyBorder="1" applyAlignment="1">
      <alignment horizontal="center" vertical="center"/>
    </xf>
    <xf numFmtId="0" fontId="36" fillId="0" borderId="1" xfId="0" applyFont="1" applyBorder="1" applyAlignment="1">
      <alignment horizontal="center" vertical="center"/>
    </xf>
    <xf numFmtId="0" fontId="4" fillId="2" borderId="1" xfId="0" applyFont="1" applyFill="1" applyBorder="1" applyAlignment="1">
      <alignment horizontal="center" vertical="center"/>
    </xf>
    <xf numFmtId="0" fontId="4" fillId="21" borderId="1" xfId="0" applyFont="1" applyFill="1" applyBorder="1" applyAlignment="1">
      <alignment horizontal="center" vertical="center"/>
    </xf>
    <xf numFmtId="164" fontId="8" fillId="2" borderId="10" xfId="2" applyNumberFormat="1" applyFont="1" applyFill="1" applyBorder="1" applyAlignment="1">
      <alignment horizontal="center" vertical="center"/>
    </xf>
    <xf numFmtId="0" fontId="34" fillId="2" borderId="0" xfId="7" applyFont="1" applyFill="1" applyAlignment="1">
      <alignment horizontal="left"/>
    </xf>
    <xf numFmtId="0" fontId="0" fillId="0" borderId="43" xfId="0" applyBorder="1" applyAlignment="1">
      <alignment horizontal="center" vertical="center"/>
    </xf>
  </cellXfs>
  <cellStyles count="10">
    <cellStyle name="Comma" xfId="9" builtinId="3"/>
    <cellStyle name="Currency 2" xfId="3" xr:uid="{371F7BF5-B368-40B3-A3D9-B3A00BA25BC2}"/>
    <cellStyle name="Heading 2 2" xfId="5" xr:uid="{C8A866A2-A0A5-4B69-8372-3C1C637561B5}"/>
    <cellStyle name="Heading 3 2" xfId="6" xr:uid="{2307A84A-DCD3-4933-A410-0A269C1D35D5}"/>
    <cellStyle name="Hyperlink 2" xfId="8" xr:uid="{6DF0E945-1CBC-4C0B-8C36-445642B7E62A}"/>
    <cellStyle name="Normal" xfId="0" builtinId="0"/>
    <cellStyle name="Normal 2" xfId="2" xr:uid="{6982546A-BC04-414B-8DC3-3DBFA96663E4}"/>
    <cellStyle name="Normal 3" xfId="4" xr:uid="{1230079C-98DF-4F84-93BA-C02BFBB7491F}"/>
    <cellStyle name="Normal 4" xfId="7" xr:uid="{69210C5C-DB6B-4CBE-B1F1-9E7CA4D82AF1}"/>
    <cellStyle name="Percent" xfId="1" builtinId="5"/>
  </cellStyles>
  <dxfs count="437">
    <dxf>
      <fill>
        <patternFill>
          <bgColor rgb="FF002060"/>
        </patternFill>
      </fill>
    </dxf>
    <dxf>
      <fill>
        <patternFill>
          <bgColor rgb="FF92D050"/>
        </patternFill>
      </fill>
    </dxf>
    <dxf>
      <fill>
        <patternFill>
          <bgColor rgb="FFFFFF00"/>
        </patternFill>
      </fill>
    </dxf>
    <dxf>
      <fill>
        <patternFill>
          <bgColor rgb="FF92D050"/>
        </patternFill>
      </fill>
    </dxf>
    <dxf>
      <font>
        <color rgb="FF9C0006"/>
      </font>
      <fill>
        <patternFill>
          <bgColor rgb="FFFFC7CE"/>
        </patternFill>
      </fill>
    </dxf>
    <dxf>
      <fill>
        <patternFill>
          <bgColor rgb="FFFFFF00"/>
        </patternFill>
      </fill>
    </dxf>
    <dxf>
      <fill>
        <patternFill>
          <bgColor rgb="FF0070C0"/>
        </patternFill>
      </fill>
    </dxf>
    <dxf>
      <fill>
        <patternFill>
          <bgColor rgb="FFC00000"/>
        </patternFill>
      </fill>
    </dxf>
    <dxf>
      <font>
        <b/>
        <i val="0"/>
      </font>
      <fill>
        <patternFill>
          <bgColor rgb="FF00B050"/>
        </patternFill>
      </fill>
    </dxf>
    <dxf>
      <fill>
        <gradientFill degree="90">
          <stop position="0">
            <color theme="0"/>
          </stop>
          <stop position="1">
            <color rgb="FFC00000"/>
          </stop>
        </gradientFill>
      </fill>
    </dxf>
    <dxf>
      <fill>
        <gradientFill degree="90">
          <stop position="0">
            <color theme="0"/>
          </stop>
          <stop position="1">
            <color theme="3" tint="0.49803155613879818"/>
          </stop>
        </gradientFill>
      </fill>
    </dxf>
    <dxf>
      <fill>
        <patternFill>
          <bgColor rgb="FFFF0000"/>
        </patternFill>
      </fill>
    </dxf>
    <dxf>
      <fill>
        <patternFill>
          <bgColor rgb="FF92D050"/>
        </patternFill>
      </fill>
    </dxf>
    <dxf>
      <fill>
        <patternFill>
          <bgColor rgb="FFFFFF00"/>
        </patternFill>
      </fill>
    </dxf>
    <dxf>
      <font>
        <strike val="0"/>
        <outline val="0"/>
        <shadow val="0"/>
        <u val="none"/>
        <vertAlign val="baseline"/>
        <sz val="11"/>
        <color theme="0"/>
        <name val="Aptos Narrow"/>
        <family val="2"/>
        <scheme val="minor"/>
      </font>
      <numFmt numFmtId="169" formatCode="&quot;$&quot;#,##0.00"/>
      <fill>
        <patternFill patternType="solid">
          <fgColor indexed="64"/>
          <bgColor theme="3"/>
        </patternFill>
      </fill>
      <alignment horizontal="right" textRotation="0" wrapText="0" indent="0" justifyLastLine="0" shrinkToFit="0" readingOrder="0"/>
    </dxf>
    <dxf>
      <font>
        <strike val="0"/>
        <outline val="0"/>
        <shadow val="0"/>
        <u val="none"/>
        <vertAlign val="baseline"/>
        <sz val="11"/>
        <color theme="0"/>
        <name val="Aptos Narrow"/>
        <family val="2"/>
        <scheme val="minor"/>
      </font>
      <numFmt numFmtId="169" formatCode="&quot;$&quot;#,##0.00"/>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1"/>
        <color theme="0"/>
        <name val="Aptos Narrow"/>
        <family val="2"/>
        <scheme val="minor"/>
      </font>
      <numFmt numFmtId="169" formatCode="&quot;$&quot;#,##0.00"/>
      <fill>
        <patternFill patternType="solid">
          <fgColor indexed="64"/>
          <bgColor theme="3"/>
        </patternFill>
      </fill>
      <alignment horizontal="right" vertical="center" textRotation="0" wrapText="0" indent="1" justifyLastLine="0" shrinkToFit="0" readingOrder="0"/>
    </dxf>
    <dxf>
      <font>
        <strike val="0"/>
        <outline val="0"/>
        <shadow val="0"/>
        <u val="none"/>
        <vertAlign val="baseline"/>
        <sz val="11"/>
        <color theme="0"/>
        <name val="Aptos Narrow"/>
        <family val="2"/>
        <scheme val="minor"/>
      </font>
      <numFmt numFmtId="169" formatCode="&quot;$&quot;#,##0.00"/>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1"/>
        <color theme="0"/>
        <name val="Aptos Narrow"/>
        <family val="2"/>
        <scheme val="minor"/>
      </font>
      <numFmt numFmtId="169" formatCode="&quot;$&quot;#,##0.00"/>
      <fill>
        <patternFill patternType="solid">
          <fgColor indexed="64"/>
          <bgColor theme="3"/>
        </patternFill>
      </fill>
      <alignment horizontal="right" vertical="center" textRotation="0" wrapText="0" indent="1" justifyLastLine="0" shrinkToFit="0" readingOrder="0"/>
    </dxf>
    <dxf>
      <font>
        <strike val="0"/>
        <outline val="0"/>
        <shadow val="0"/>
        <u val="none"/>
        <vertAlign val="baseline"/>
        <sz val="11"/>
        <color theme="0"/>
        <name val="Aptos Narrow"/>
        <family val="2"/>
        <scheme val="minor"/>
      </font>
      <numFmt numFmtId="169" formatCode="&quot;$&quot;#,##0.00"/>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1"/>
        <color theme="0"/>
        <name val="Aptos Narrow"/>
        <family val="2"/>
        <scheme val="minor"/>
      </font>
      <numFmt numFmtId="169" formatCode="&quot;$&quot;#,##0.00"/>
      <fill>
        <patternFill patternType="solid">
          <fgColor indexed="64"/>
          <bgColor theme="3"/>
        </patternFill>
      </fill>
      <alignment horizontal="right" vertical="center" textRotation="0" wrapText="0" indent="1" justifyLastLine="0" shrinkToFit="0" readingOrder="0"/>
    </dxf>
    <dxf>
      <font>
        <strike val="0"/>
        <outline val="0"/>
        <shadow val="0"/>
        <u val="none"/>
        <vertAlign val="baseline"/>
        <sz val="11"/>
        <color theme="0"/>
        <name val="Aptos Narrow"/>
        <family val="2"/>
        <scheme val="minor"/>
      </font>
      <numFmt numFmtId="169" formatCode="&quot;$&quot;#,##0.00"/>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1"/>
        <color theme="0"/>
        <name val="Aptos Narrow"/>
        <family val="2"/>
        <scheme val="minor"/>
      </font>
      <numFmt numFmtId="169" formatCode="&quot;$&quot;#,##0.00"/>
      <fill>
        <patternFill patternType="solid">
          <fgColor indexed="64"/>
          <bgColor theme="3"/>
        </patternFill>
      </fill>
      <alignment horizontal="right" vertical="center" textRotation="0" wrapText="0" indent="1" justifyLastLine="0" shrinkToFit="0" readingOrder="0"/>
    </dxf>
    <dxf>
      <font>
        <strike val="0"/>
        <outline val="0"/>
        <shadow val="0"/>
        <u val="none"/>
        <vertAlign val="baseline"/>
        <sz val="11"/>
        <color theme="0"/>
        <name val="Aptos Narrow"/>
        <family val="2"/>
        <scheme val="minor"/>
      </font>
      <numFmt numFmtId="169" formatCode="&quot;$&quot;#,##0.00"/>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1"/>
        <color theme="0"/>
        <name val="Aptos Narrow"/>
        <family val="2"/>
        <scheme val="minor"/>
      </font>
      <numFmt numFmtId="169" formatCode="&quot;$&quot;#,##0.00"/>
      <fill>
        <patternFill patternType="solid">
          <fgColor indexed="64"/>
          <bgColor theme="3"/>
        </patternFill>
      </fill>
      <alignment horizontal="right" vertical="center" textRotation="0" wrapText="0" indent="1" justifyLastLine="0" shrinkToFit="0" readingOrder="0"/>
    </dxf>
    <dxf>
      <font>
        <strike val="0"/>
        <outline val="0"/>
        <shadow val="0"/>
        <u val="none"/>
        <vertAlign val="baseline"/>
        <sz val="11"/>
        <color theme="0"/>
        <name val="Aptos Narrow"/>
        <family val="2"/>
        <scheme val="minor"/>
      </font>
      <numFmt numFmtId="169" formatCode="&quot;$&quot;#,##0.00"/>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1"/>
        <color theme="0"/>
        <name val="Aptos Narrow"/>
        <family val="2"/>
        <scheme val="minor"/>
      </font>
      <numFmt numFmtId="169" formatCode="&quot;$&quot;#,##0.00"/>
      <fill>
        <patternFill patternType="solid">
          <fgColor indexed="64"/>
          <bgColor theme="3"/>
        </patternFill>
      </fill>
      <alignment horizontal="right" vertical="center" textRotation="0" wrapText="0" indent="1" justifyLastLine="0" shrinkToFit="0" readingOrder="0"/>
    </dxf>
    <dxf>
      <font>
        <strike val="0"/>
        <outline val="0"/>
        <shadow val="0"/>
        <u val="none"/>
        <vertAlign val="baseline"/>
        <sz val="11"/>
        <color theme="0"/>
        <name val="Aptos Narrow"/>
        <family val="2"/>
        <scheme val="minor"/>
      </font>
      <numFmt numFmtId="169" formatCode="&quot;$&quot;#,##0.00"/>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1"/>
        <color theme="0"/>
        <name val="Aptos Narrow"/>
        <family val="2"/>
        <scheme val="minor"/>
      </font>
      <fill>
        <patternFill patternType="solid">
          <fgColor indexed="64"/>
          <bgColor theme="3"/>
        </patternFill>
      </fill>
      <alignment horizontal="left" vertical="center" textRotation="0" wrapText="0" relativeIndent="1" justifyLastLine="0" shrinkToFit="0" readingOrder="0"/>
    </dxf>
    <dxf>
      <font>
        <strike val="0"/>
        <outline val="0"/>
        <shadow val="0"/>
        <u val="none"/>
        <vertAlign val="baseline"/>
        <sz val="11"/>
        <color theme="0"/>
        <name val="Aptos Narrow"/>
        <family val="2"/>
        <scheme val="minor"/>
      </font>
      <fill>
        <patternFill patternType="solid">
          <fgColor indexed="64"/>
          <bgColor theme="1"/>
        </patternFill>
      </fill>
    </dxf>
    <dxf>
      <font>
        <b val="0"/>
        <strike val="0"/>
        <outline val="0"/>
        <shadow val="0"/>
        <u val="none"/>
        <vertAlign val="baseline"/>
        <sz val="14"/>
        <color theme="0"/>
        <name val="Aptos Display"/>
        <family val="2"/>
        <scheme val="major"/>
      </font>
      <fill>
        <patternFill patternType="solid">
          <fgColor indexed="64"/>
          <bgColor theme="1"/>
        </patternFill>
      </fill>
    </dxf>
    <dxf>
      <font>
        <b val="0"/>
        <i val="0"/>
        <strike val="0"/>
        <condense val="0"/>
        <extend val="0"/>
        <outline val="0"/>
        <shadow val="0"/>
        <u val="none"/>
        <vertAlign val="baseline"/>
        <sz val="11"/>
        <color theme="1" tint="0.14993743705557422"/>
        <name val="Aptos Narrow"/>
        <family val="2"/>
        <scheme val="minor"/>
      </font>
      <alignment horizontal="right" vertical="center" textRotation="0" wrapText="0" indent="0" justifyLastLine="0" shrinkToFit="0" readingOrder="0"/>
    </dxf>
    <dxf>
      <font>
        <strike val="0"/>
        <outline val="0"/>
        <shadow val="0"/>
        <u val="none"/>
        <vertAlign val="baseline"/>
        <sz val="11"/>
        <color theme="1" tint="0.14993743705557422"/>
        <name val="Aptos Narrow"/>
        <family val="2"/>
        <scheme val="minor"/>
      </font>
    </dxf>
    <dxf>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Aptos Narrow"/>
        <family val="2"/>
        <scheme val="minor"/>
      </font>
      <alignment horizontal="lef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b val="0"/>
        <i val="0"/>
        <strike val="0"/>
        <condense val="0"/>
        <extend val="0"/>
        <outline val="0"/>
        <shadow val="0"/>
        <u val="none"/>
        <vertAlign val="baseline"/>
        <sz val="14"/>
        <color theme="5" tint="0.39997558519241921"/>
        <name val="Aptos Display"/>
        <family val="2"/>
        <scheme val="major"/>
      </font>
      <fill>
        <patternFill patternType="solid">
          <fgColor indexed="64"/>
          <bgColor rgb="FFF7F7F7"/>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Aptos Narrow"/>
        <family val="2"/>
        <scheme val="minor"/>
      </font>
      <alignment horizontal="right" vertical="center" textRotation="0" wrapText="0" indent="0" justifyLastLine="0" shrinkToFit="0" readingOrder="0"/>
    </dxf>
    <dxf>
      <font>
        <strike val="0"/>
        <outline val="0"/>
        <shadow val="0"/>
        <u val="none"/>
        <vertAlign val="baseline"/>
        <sz val="11"/>
        <color theme="1" tint="0.14993743705557422"/>
        <name val="Aptos Narrow"/>
        <family val="2"/>
        <scheme val="minor"/>
      </font>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Aptos Narrow"/>
        <family val="2"/>
        <scheme val="minor"/>
      </font>
      <alignment horizontal="lef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b val="0"/>
        <i val="0"/>
        <strike val="0"/>
        <condense val="0"/>
        <extend val="0"/>
        <outline val="0"/>
        <shadow val="0"/>
        <u val="none"/>
        <vertAlign val="baseline"/>
        <sz val="14"/>
        <color theme="5" tint="0.39997558519241921"/>
        <name val="Aptos Display"/>
        <family val="2"/>
        <scheme val="major"/>
      </font>
      <fill>
        <patternFill patternType="solid">
          <fgColor indexed="64"/>
          <bgColor rgb="FFF7F7F7"/>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Aptos Narrow"/>
        <family val="2"/>
        <scheme val="minor"/>
      </font>
      <alignment horizontal="right" vertical="center" textRotation="0" wrapText="0" indent="0" justifyLastLine="0" shrinkToFit="0" readingOrder="0"/>
    </dxf>
    <dxf>
      <font>
        <strike val="0"/>
        <outline val="0"/>
        <shadow val="0"/>
        <u val="none"/>
        <vertAlign val="baseline"/>
        <sz val="11"/>
        <color theme="1" tint="0.14993743705557422"/>
        <name val="Aptos Narrow"/>
        <family val="2"/>
        <scheme val="minor"/>
      </font>
    </dxf>
    <dxf>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Aptos Narrow"/>
        <family val="2"/>
        <scheme val="minor"/>
      </font>
      <alignment horizontal="lef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b val="0"/>
        <i val="0"/>
        <strike val="0"/>
        <condense val="0"/>
        <extend val="0"/>
        <outline val="0"/>
        <shadow val="0"/>
        <u val="none"/>
        <vertAlign val="baseline"/>
        <sz val="14"/>
        <color theme="5" tint="0.39997558519241921"/>
        <name val="Aptos Display"/>
        <family val="2"/>
        <scheme val="major"/>
      </font>
      <fill>
        <patternFill patternType="solid">
          <fgColor indexed="64"/>
          <bgColor rgb="FFF7F7F7"/>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Aptos Narrow"/>
        <family val="2"/>
        <scheme val="minor"/>
      </font>
      <alignment horizontal="right" vertical="center" textRotation="0" wrapText="0" indent="0" justifyLastLine="0" shrinkToFit="0" readingOrder="0"/>
    </dxf>
    <dxf>
      <font>
        <strike val="0"/>
        <outline val="0"/>
        <shadow val="0"/>
        <u val="none"/>
        <vertAlign val="baseline"/>
        <sz val="11"/>
        <color theme="1" tint="0.14993743705557422"/>
        <name val="Aptos Narrow"/>
        <family val="2"/>
        <scheme val="minor"/>
      </font>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Aptos Narrow"/>
        <family val="2"/>
        <scheme val="minor"/>
      </font>
      <alignment horizontal="lef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b val="0"/>
        <i val="0"/>
        <strike val="0"/>
        <condense val="0"/>
        <extend val="0"/>
        <outline val="0"/>
        <shadow val="0"/>
        <u val="none"/>
        <vertAlign val="baseline"/>
        <sz val="14"/>
        <color theme="5" tint="0.39997558519241921"/>
        <name val="Aptos Display"/>
        <family val="2"/>
        <scheme val="major"/>
      </font>
      <fill>
        <patternFill patternType="solid">
          <fgColor indexed="64"/>
          <bgColor rgb="FFF7F7F7"/>
        </patternFill>
      </fill>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b val="0"/>
        <i val="0"/>
        <strike val="0"/>
        <condense val="0"/>
        <extend val="0"/>
        <outline val="0"/>
        <shadow val="0"/>
        <u val="none"/>
        <vertAlign val="baseline"/>
        <sz val="14"/>
        <color theme="5" tint="0.39997558519241921"/>
        <name val="Aptos Display"/>
        <family val="2"/>
        <scheme val="major"/>
      </font>
      <fill>
        <patternFill patternType="solid">
          <fgColor indexed="64"/>
          <bgColor rgb="FFF7F7F7"/>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Aptos Narrow"/>
        <family val="2"/>
        <scheme val="minor"/>
      </font>
      <alignment horizontal="right" vertical="center" textRotation="0" wrapText="0" indent="0" justifyLastLine="0" shrinkToFit="0" readingOrder="0"/>
    </dxf>
    <dxf>
      <font>
        <strike val="0"/>
        <outline val="0"/>
        <shadow val="0"/>
        <u val="none"/>
        <vertAlign val="baseline"/>
        <sz val="11"/>
        <color theme="1" tint="0.14993743705557422"/>
        <name val="Aptos Narrow"/>
        <family val="2"/>
        <scheme val="minor"/>
      </font>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Aptos Narrow"/>
        <family val="2"/>
        <scheme val="minor"/>
      </font>
      <alignment horizontal="lef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b val="0"/>
        <i val="0"/>
        <strike val="0"/>
        <condense val="0"/>
        <extend val="0"/>
        <outline val="0"/>
        <shadow val="0"/>
        <u val="none"/>
        <vertAlign val="baseline"/>
        <sz val="14"/>
        <color theme="5" tint="0.39997558519241921"/>
        <name val="Aptos Display"/>
        <family val="2"/>
        <scheme val="major"/>
      </font>
      <fill>
        <patternFill patternType="solid">
          <fgColor indexed="64"/>
          <bgColor rgb="FFF7F7F7"/>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Aptos Narrow"/>
        <family val="2"/>
        <scheme val="minor"/>
      </font>
      <alignment horizontal="right" vertical="center" textRotation="0" wrapText="0" indent="0" justifyLastLine="0" shrinkToFit="0" readingOrder="0"/>
    </dxf>
    <dxf>
      <font>
        <strike val="0"/>
        <outline val="0"/>
        <shadow val="0"/>
        <u val="none"/>
        <vertAlign val="baseline"/>
        <sz val="11"/>
        <color theme="1" tint="0.14993743705557422"/>
        <name val="Aptos Narrow"/>
        <family val="2"/>
        <scheme val="minor"/>
      </font>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Aptos Narrow"/>
        <family val="2"/>
        <scheme val="minor"/>
      </font>
      <alignment horizontal="lef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b val="0"/>
        <i val="0"/>
        <strike val="0"/>
        <condense val="0"/>
        <extend val="0"/>
        <outline val="0"/>
        <shadow val="0"/>
        <u val="none"/>
        <vertAlign val="baseline"/>
        <sz val="14"/>
        <color theme="5" tint="0.39997558519241921"/>
        <name val="Aptos Display"/>
        <family val="2"/>
        <scheme val="major"/>
      </font>
      <fill>
        <patternFill patternType="solid">
          <fgColor indexed="64"/>
          <bgColor rgb="FFF7F7F7"/>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Aptos Narrow"/>
        <family val="2"/>
        <scheme val="minor"/>
      </font>
      <alignment horizontal="right" vertical="center" textRotation="0" wrapText="0" indent="0" justifyLastLine="0" shrinkToFit="0" readingOrder="0"/>
    </dxf>
    <dxf>
      <font>
        <strike val="0"/>
        <outline val="0"/>
        <shadow val="0"/>
        <u val="none"/>
        <vertAlign val="baseline"/>
        <sz val="11"/>
        <color theme="1" tint="0.14993743705557422"/>
        <name val="Aptos Narrow"/>
        <family val="2"/>
        <scheme val="minor"/>
      </font>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Aptos Narrow"/>
        <family val="2"/>
        <scheme val="minor"/>
      </font>
      <alignment horizontal="lef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b val="0"/>
        <i val="0"/>
        <strike val="0"/>
        <condense val="0"/>
        <extend val="0"/>
        <outline val="0"/>
        <shadow val="0"/>
        <u val="none"/>
        <vertAlign val="baseline"/>
        <sz val="14"/>
        <color theme="5" tint="0.39997558519241921"/>
        <name val="Aptos Display"/>
        <family val="2"/>
        <scheme val="major"/>
      </font>
      <fill>
        <patternFill patternType="solid">
          <fgColor indexed="64"/>
          <bgColor rgb="FFF7F7F7"/>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Aptos Narrow"/>
        <family val="2"/>
        <scheme val="minor"/>
      </font>
      <alignment horizontal="right" vertical="center" textRotation="0" wrapText="0" indent="0" justifyLastLine="0" shrinkToFit="0" readingOrder="0"/>
    </dxf>
    <dxf>
      <font>
        <strike val="0"/>
        <outline val="0"/>
        <shadow val="0"/>
        <u val="none"/>
        <vertAlign val="baseline"/>
        <sz val="11"/>
        <color theme="1" tint="0.14993743705557422"/>
        <name val="Aptos Narrow"/>
        <family val="2"/>
        <scheme val="minor"/>
      </font>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Aptos Narrow"/>
        <family val="2"/>
        <scheme val="minor"/>
      </font>
      <alignment horizontal="lef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b val="0"/>
        <i val="0"/>
        <strike val="0"/>
        <condense val="0"/>
        <extend val="0"/>
        <outline val="0"/>
        <shadow val="0"/>
        <u val="none"/>
        <vertAlign val="baseline"/>
        <sz val="14"/>
        <color theme="5" tint="0.39997558519241921"/>
        <name val="Aptos Display"/>
        <family val="2"/>
        <scheme val="major"/>
      </font>
      <fill>
        <patternFill patternType="solid">
          <fgColor indexed="64"/>
          <bgColor rgb="FFF7F7F7"/>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Aptos Narrow"/>
        <family val="2"/>
        <scheme val="minor"/>
      </font>
      <alignment horizontal="right" vertical="center" textRotation="0" wrapText="0" indent="0" justifyLastLine="0" shrinkToFit="0" readingOrder="0"/>
    </dxf>
    <dxf>
      <font>
        <strike val="0"/>
        <outline val="0"/>
        <shadow val="0"/>
        <u val="none"/>
        <vertAlign val="baseline"/>
        <sz val="11"/>
        <color theme="1" tint="0.14993743705557422"/>
        <name val="Aptos Narrow"/>
        <family val="2"/>
        <scheme val="minor"/>
      </font>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Aptos Narrow"/>
        <family val="2"/>
        <scheme val="minor"/>
      </font>
      <alignment horizontal="lef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b val="0"/>
        <i val="0"/>
        <strike val="0"/>
        <condense val="0"/>
        <extend val="0"/>
        <outline val="0"/>
        <shadow val="0"/>
        <u val="none"/>
        <vertAlign val="baseline"/>
        <sz val="14"/>
        <color theme="5" tint="0.39997558519241921"/>
        <name val="Aptos Display"/>
        <family val="2"/>
        <scheme val="major"/>
      </font>
      <fill>
        <patternFill patternType="solid">
          <fgColor indexed="64"/>
          <bgColor rgb="FFF7F7F7"/>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Aptos Narrow"/>
        <family val="2"/>
        <scheme val="minor"/>
      </font>
      <alignment horizontal="right" vertical="center" textRotation="0" wrapText="0" indent="0" justifyLastLine="0" shrinkToFit="0" readingOrder="0"/>
    </dxf>
    <dxf>
      <font>
        <strike val="0"/>
        <outline val="0"/>
        <shadow val="0"/>
        <u val="none"/>
        <vertAlign val="baseline"/>
        <sz val="11"/>
        <color theme="1" tint="0.14993743705557422"/>
        <name val="Aptos Narrow"/>
        <family val="2"/>
        <scheme val="minor"/>
      </font>
    </dxf>
    <dxf>
      <font>
        <b val="0"/>
        <i val="0"/>
        <strike val="0"/>
        <condense val="0"/>
        <extend val="0"/>
        <outline val="0"/>
        <shadow val="0"/>
        <u val="none"/>
        <vertAlign val="baseline"/>
        <sz val="10"/>
        <color theme="1" tint="0.14993743705557422"/>
        <name val="Aptos Narrow"/>
        <family val="2"/>
        <scheme val="minor"/>
      </font>
      <numFmt numFmtId="168" formatCode="[$BDT]\ #,##0_);\([$BDT]\ #,##0\)"/>
      <fill>
        <patternFill patternType="solid">
          <fgColor indexed="64"/>
          <bgColor theme="0" tint="-0.249977111117893"/>
        </patternFill>
      </fill>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fill>
        <patternFill patternType="solid">
          <fgColor indexed="64"/>
          <bgColor theme="0" tint="-0.249977111117893"/>
        </patternFill>
      </fill>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fill>
        <patternFill patternType="solid">
          <fgColor indexed="64"/>
          <bgColor theme="0" tint="-0.249977111117893"/>
        </patternFill>
      </fill>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fill>
        <patternFill patternType="solid">
          <fgColor indexed="64"/>
          <bgColor theme="0" tint="-0.249977111117893"/>
        </patternFill>
      </fill>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fill>
        <patternFill patternType="solid">
          <fgColor indexed="64"/>
          <bgColor theme="0" tint="-0.249977111117893"/>
        </patternFill>
      </fill>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fill>
        <patternFill patternType="solid">
          <fgColor indexed="64"/>
          <bgColor theme="0" tint="-0.249977111117893"/>
        </patternFill>
      </fill>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fill>
        <patternFill patternType="solid">
          <fgColor indexed="64"/>
          <bgColor theme="0" tint="-0.249977111117893"/>
        </patternFill>
      </fill>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fill>
        <patternFill patternType="solid">
          <fgColor indexed="64"/>
          <bgColor theme="0" tint="-0.249977111117893"/>
        </patternFill>
      </fill>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fill>
        <patternFill patternType="solid">
          <fgColor indexed="64"/>
          <bgColor theme="0" tint="-0.249977111117893"/>
        </patternFill>
      </fill>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0"/>
        <color theme="1" tint="0.14993743705557422"/>
        <name val="Aptos Narrow"/>
        <family val="2"/>
        <scheme val="minor"/>
      </font>
      <numFmt numFmtId="168" formatCode="[$BDT]\ #,##0_);\([$BDT]\ #,##0\)"/>
      <fill>
        <patternFill patternType="solid">
          <fgColor indexed="64"/>
          <bgColor theme="0" tint="-0.249977111117893"/>
        </patternFill>
      </fill>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numFmt numFmtId="168" formatCode="[$BDT]\ #,##0_);\([$BDT]\ #,##0\)"/>
      <fill>
        <patternFill patternType="solid">
          <fgColor indexed="64"/>
          <bgColor theme="0" tint="-0.249977111117893"/>
        </patternFill>
      </fill>
      <alignment horizontal="right" vertical="center" textRotation="0" wrapText="0" indent="1" justifyLastLine="0" shrinkToFit="0" readingOrder="0"/>
    </dxf>
    <dxf>
      <font>
        <strike val="0"/>
        <outline val="0"/>
        <shadow val="0"/>
        <u val="none"/>
        <vertAlign val="baseline"/>
        <sz val="11"/>
        <color theme="1" tint="0.14993743705557422"/>
        <name val="Aptos Narrow"/>
        <family val="2"/>
        <scheme val="minor"/>
      </font>
      <numFmt numFmtId="168" formatCode="[$BDT]\ #,##0_);\([$BDT]\ #,##0\)"/>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Aptos Narrow"/>
        <family val="2"/>
        <scheme val="minor"/>
      </font>
      <fill>
        <patternFill patternType="solid">
          <fgColor indexed="64"/>
          <bgColor theme="0" tint="-0.249977111117893"/>
        </patternFill>
      </fill>
      <alignment horizontal="left" vertical="center" textRotation="0" wrapText="0" indent="1" justifyLastLine="0" shrinkToFit="0" readingOrder="0"/>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strike val="0"/>
        <outline val="0"/>
        <shadow val="0"/>
        <u val="none"/>
        <vertAlign val="baseline"/>
        <sz val="11"/>
        <color theme="1" tint="0.14993743705557422"/>
        <name val="Aptos Narrow"/>
        <family val="2"/>
        <scheme val="minor"/>
      </font>
    </dxf>
    <dxf>
      <font>
        <b val="0"/>
        <i val="0"/>
        <strike val="0"/>
        <condense val="0"/>
        <extend val="0"/>
        <outline val="0"/>
        <shadow val="0"/>
        <u val="none"/>
        <vertAlign val="baseline"/>
        <sz val="14"/>
        <color auto="1"/>
        <name val="Aptos Display"/>
        <family val="2"/>
        <scheme val="major"/>
      </font>
      <fill>
        <patternFill patternType="solid">
          <fgColor indexed="64"/>
          <bgColor rgb="FFF7F7F7"/>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Aptos Narrow"/>
        <family val="2"/>
        <scheme val="minor"/>
      </font>
      <alignment horizontal="right" vertical="center" textRotation="0" wrapText="0" indent="0" justifyLastLine="0" shrinkToFit="0" readingOrder="0"/>
    </dxf>
    <dxf>
      <font>
        <strike val="0"/>
        <outline val="0"/>
        <shadow val="0"/>
        <u val="none"/>
        <vertAlign val="baseline"/>
        <sz val="11"/>
      </font>
    </dxf>
    <dxf>
      <font>
        <b/>
        <i val="0"/>
        <strike val="0"/>
        <condense val="0"/>
        <extend val="0"/>
        <outline val="0"/>
        <shadow val="0"/>
        <u val="none"/>
        <vertAlign val="baseline"/>
        <sz val="10"/>
        <color theme="1" tint="0.14993743705557422"/>
        <name val="Aptos Narrow"/>
        <family val="2"/>
        <scheme val="minor"/>
      </font>
      <numFmt numFmtId="170" formatCode="[$BDT]\ #,##0"/>
      <alignment horizontal="right" vertical="center" textRotation="0" wrapText="0" indent="1" justifyLastLine="0" shrinkToFit="0" readingOrder="0"/>
    </dxf>
    <dxf>
      <font>
        <strike val="0"/>
        <outline val="0"/>
        <shadow val="0"/>
        <u val="none"/>
        <vertAlign val="baseline"/>
        <sz val="11"/>
      </font>
      <numFmt numFmtId="168" formatCode="[$BDT]\ #,##0_);\([$BDT]\ #,##0\)"/>
      <alignment horizontal="right" vertical="center" textRotation="0" wrapText="0" indent="1" justifyLastLine="0" shrinkToFit="0" readingOrder="0"/>
    </dxf>
    <dxf>
      <font>
        <b/>
        <i val="0"/>
        <strike val="0"/>
        <condense val="0"/>
        <extend val="0"/>
        <outline val="0"/>
        <shadow val="0"/>
        <u val="none"/>
        <vertAlign val="baseline"/>
        <sz val="10"/>
        <color theme="1" tint="0.14993743705557422"/>
        <name val="Aptos Narrow"/>
        <family val="2"/>
        <scheme val="minor"/>
      </font>
      <numFmt numFmtId="170" formatCode="[$BDT]\ #,##0"/>
      <alignment horizontal="right" vertical="center" textRotation="0" wrapText="0" indent="1" justifyLastLine="0" shrinkToFit="0" readingOrder="0"/>
    </dxf>
    <dxf>
      <font>
        <strike val="0"/>
        <outline val="0"/>
        <shadow val="0"/>
        <u val="none"/>
        <vertAlign val="baseline"/>
        <sz val="11"/>
      </font>
      <numFmt numFmtId="168" formatCode="[$BDT]\ #,##0_);\([$BDT]\ #,##0\)"/>
      <alignment horizontal="right" vertical="center" textRotation="0" wrapText="0" indent="1" justifyLastLine="0" shrinkToFit="0" readingOrder="0"/>
    </dxf>
    <dxf>
      <font>
        <b/>
        <i val="0"/>
        <strike val="0"/>
        <condense val="0"/>
        <extend val="0"/>
        <outline val="0"/>
        <shadow val="0"/>
        <u val="none"/>
        <vertAlign val="baseline"/>
        <sz val="10"/>
        <color theme="1" tint="0.14993743705557422"/>
        <name val="Aptos Narrow"/>
        <family val="2"/>
        <scheme val="minor"/>
      </font>
      <numFmt numFmtId="170" formatCode="[$BDT]\ #,##0"/>
      <alignment horizontal="right" vertical="center" textRotation="0" wrapText="0" indent="1" justifyLastLine="0" shrinkToFit="0" readingOrder="0"/>
    </dxf>
    <dxf>
      <font>
        <strike val="0"/>
        <outline val="0"/>
        <shadow val="0"/>
        <u val="none"/>
        <vertAlign val="baseline"/>
        <sz val="11"/>
      </font>
      <numFmt numFmtId="168" formatCode="[$BDT]\ #,##0_);\([$BDT]\ #,##0\)"/>
      <alignment horizontal="right" vertical="center" textRotation="0" wrapText="0" indent="1" justifyLastLine="0" shrinkToFit="0" readingOrder="0"/>
    </dxf>
    <dxf>
      <font>
        <b/>
        <i val="0"/>
        <strike val="0"/>
        <condense val="0"/>
        <extend val="0"/>
        <outline val="0"/>
        <shadow val="0"/>
        <u val="none"/>
        <vertAlign val="baseline"/>
        <sz val="10"/>
        <color theme="1" tint="0.14993743705557422"/>
        <name val="Aptos Narrow"/>
        <family val="2"/>
        <scheme val="minor"/>
      </font>
      <numFmt numFmtId="170" formatCode="[$BDT]\ #,##0"/>
      <alignment horizontal="right" vertical="center" textRotation="0" wrapText="0" indent="1" justifyLastLine="0" shrinkToFit="0" readingOrder="0"/>
    </dxf>
    <dxf>
      <font>
        <strike val="0"/>
        <outline val="0"/>
        <shadow val="0"/>
        <u val="none"/>
        <vertAlign val="baseline"/>
        <sz val="11"/>
      </font>
      <numFmt numFmtId="168" formatCode="[$BDT]\ #,##0_);\([$BDT]\ #,##0\)"/>
      <alignment horizontal="right" vertical="center" textRotation="0" wrapText="0" indent="1" justifyLastLine="0" shrinkToFit="0" readingOrder="0"/>
    </dxf>
    <dxf>
      <font>
        <b/>
        <i val="0"/>
        <strike val="0"/>
        <condense val="0"/>
        <extend val="0"/>
        <outline val="0"/>
        <shadow val="0"/>
        <u val="none"/>
        <vertAlign val="baseline"/>
        <sz val="10"/>
        <color theme="1" tint="0.14993743705557422"/>
        <name val="Aptos Narrow"/>
        <family val="2"/>
        <scheme val="minor"/>
      </font>
      <numFmt numFmtId="170" formatCode="[$BDT]\ #,##0"/>
      <alignment horizontal="right" vertical="center" textRotation="0" wrapText="0" indent="1" justifyLastLine="0" shrinkToFit="0" readingOrder="0"/>
    </dxf>
    <dxf>
      <font>
        <strike val="0"/>
        <outline val="0"/>
        <shadow val="0"/>
        <u val="none"/>
        <vertAlign val="baseline"/>
        <sz val="11"/>
      </font>
      <numFmt numFmtId="168" formatCode="[$BDT]\ #,##0_);\([$BDT]\ #,##0\)"/>
      <alignment horizontal="right" vertical="center" textRotation="0" wrapText="0" indent="1" justifyLastLine="0" shrinkToFit="0" readingOrder="0"/>
    </dxf>
    <dxf>
      <font>
        <b/>
        <i val="0"/>
        <strike val="0"/>
        <condense val="0"/>
        <extend val="0"/>
        <outline val="0"/>
        <shadow val="0"/>
        <u val="none"/>
        <vertAlign val="baseline"/>
        <sz val="10"/>
        <color theme="1" tint="0.14993743705557422"/>
        <name val="Aptos Narrow"/>
        <family val="2"/>
        <scheme val="minor"/>
      </font>
      <numFmt numFmtId="170" formatCode="[$BDT]\ #,##0"/>
      <alignment horizontal="right" vertical="center" textRotation="0" wrapText="0" indent="1" justifyLastLine="0" shrinkToFit="0" readingOrder="0"/>
    </dxf>
    <dxf>
      <font>
        <strike val="0"/>
        <outline val="0"/>
        <shadow val="0"/>
        <u val="none"/>
        <vertAlign val="baseline"/>
        <sz val="11"/>
      </font>
      <numFmt numFmtId="168" formatCode="[$BDT]\ #,##0_);\([$BDT]\ #,##0\)"/>
      <alignment horizontal="right" vertical="center" textRotation="0" wrapText="0" indent="1" justifyLastLine="0" shrinkToFit="0" readingOrder="0"/>
    </dxf>
    <dxf>
      <font>
        <b/>
        <i val="0"/>
        <strike val="0"/>
        <condense val="0"/>
        <extend val="0"/>
        <outline val="0"/>
        <shadow val="0"/>
        <u val="none"/>
        <vertAlign val="baseline"/>
        <sz val="10"/>
        <color theme="1" tint="0.14993743705557422"/>
        <name val="Aptos Narrow"/>
        <family val="2"/>
        <scheme val="minor"/>
      </font>
      <numFmt numFmtId="170" formatCode="[$BDT]\ #,##0"/>
      <alignment horizontal="right" vertical="center" textRotation="0" wrapText="0" indent="1" justifyLastLine="0" shrinkToFit="0" readingOrder="0"/>
    </dxf>
    <dxf>
      <font>
        <strike val="0"/>
        <outline val="0"/>
        <shadow val="0"/>
        <u val="none"/>
        <vertAlign val="baseline"/>
        <sz val="11"/>
      </font>
      <numFmt numFmtId="168" formatCode="[$BDT]\ #,##0_);\([$BDT]\ #,##0\)"/>
      <alignment horizontal="right" vertical="center" textRotation="0" wrapText="0" indent="1" justifyLastLine="0" shrinkToFit="0" readingOrder="0"/>
    </dxf>
    <dxf>
      <font>
        <b/>
        <i val="0"/>
        <strike val="0"/>
        <condense val="0"/>
        <extend val="0"/>
        <outline val="0"/>
        <shadow val="0"/>
        <u val="none"/>
        <vertAlign val="baseline"/>
        <sz val="10"/>
        <color theme="1" tint="0.14993743705557422"/>
        <name val="Aptos Narrow"/>
        <family val="2"/>
        <scheme val="minor"/>
      </font>
      <numFmt numFmtId="170" formatCode="[$BDT]\ #,##0"/>
      <alignment horizontal="right" vertical="center" textRotation="0" wrapText="0" indent="1" justifyLastLine="0" shrinkToFit="0" readingOrder="0"/>
    </dxf>
    <dxf>
      <font>
        <strike val="0"/>
        <outline val="0"/>
        <shadow val="0"/>
        <u val="none"/>
        <vertAlign val="baseline"/>
        <sz val="11"/>
      </font>
      <numFmt numFmtId="168" formatCode="[$BDT]\ #,##0_);\([$BDT]\ #,##0\)"/>
      <alignment horizontal="right" vertical="center" textRotation="0" wrapText="0" indent="1" justifyLastLine="0" shrinkToFit="0" readingOrder="0"/>
    </dxf>
    <dxf>
      <font>
        <b/>
        <i val="0"/>
        <strike val="0"/>
        <condense val="0"/>
        <extend val="0"/>
        <outline val="0"/>
        <shadow val="0"/>
        <u val="none"/>
        <vertAlign val="baseline"/>
        <sz val="10"/>
        <color theme="1" tint="0.14993743705557422"/>
        <name val="Aptos Narrow"/>
        <family val="2"/>
        <scheme val="minor"/>
      </font>
      <numFmt numFmtId="170" formatCode="[$BDT]\ #,##0"/>
      <alignment horizontal="right" vertical="center" textRotation="0" wrapText="0" indent="1" justifyLastLine="0" shrinkToFit="0" readingOrder="0"/>
    </dxf>
    <dxf>
      <font>
        <strike val="0"/>
        <outline val="0"/>
        <shadow val="0"/>
        <u val="none"/>
        <vertAlign val="baseline"/>
        <sz val="11"/>
      </font>
      <numFmt numFmtId="168" formatCode="[$BDT]\ #,##0_);\([$BDT]\ #,##0\)"/>
      <alignment horizontal="right" vertical="center" textRotation="0" wrapText="0" indent="1" justifyLastLine="0" shrinkToFit="0" readingOrder="0"/>
    </dxf>
    <dxf>
      <font>
        <b/>
        <i val="0"/>
        <strike val="0"/>
        <condense val="0"/>
        <extend val="0"/>
        <outline val="0"/>
        <shadow val="0"/>
        <u val="none"/>
        <vertAlign val="baseline"/>
        <sz val="10"/>
        <color theme="1" tint="0.14993743705557422"/>
        <name val="Aptos Narrow"/>
        <family val="2"/>
        <scheme val="minor"/>
      </font>
      <numFmt numFmtId="170" formatCode="[$BDT]\ #,##0"/>
      <alignment horizontal="right" vertical="center" textRotation="0" wrapText="0" indent="1" justifyLastLine="0" shrinkToFit="0" readingOrder="0"/>
    </dxf>
    <dxf>
      <font>
        <strike val="0"/>
        <outline val="0"/>
        <shadow val="0"/>
        <u val="none"/>
        <vertAlign val="baseline"/>
        <sz val="11"/>
      </font>
      <numFmt numFmtId="168" formatCode="[$BDT]\ #,##0_);\([$BDT]\ #,##0\)"/>
      <alignment horizontal="right" vertical="center" textRotation="0" wrapText="0" indent="1" justifyLastLine="0" shrinkToFit="0" readingOrder="0"/>
    </dxf>
    <dxf>
      <font>
        <b/>
        <i val="0"/>
        <strike val="0"/>
        <condense val="0"/>
        <extend val="0"/>
        <outline val="0"/>
        <shadow val="0"/>
        <u val="none"/>
        <vertAlign val="baseline"/>
        <sz val="10"/>
        <color theme="1" tint="0.14993743705557422"/>
        <name val="Aptos Narrow"/>
        <family val="2"/>
        <scheme val="minor"/>
      </font>
      <numFmt numFmtId="170" formatCode="[$BDT]\ #,##0"/>
      <alignment horizontal="right" vertical="center" textRotation="0" wrapText="0" indent="1" justifyLastLine="0" shrinkToFit="0" readingOrder="0"/>
    </dxf>
    <dxf>
      <font>
        <strike val="0"/>
        <outline val="0"/>
        <shadow val="0"/>
        <u val="none"/>
        <vertAlign val="baseline"/>
        <sz val="11"/>
      </font>
      <numFmt numFmtId="168" formatCode="[$BDT]\ #,##0_);\([$BDT]\ #,##0\)"/>
      <alignment horizontal="right" vertical="center" textRotation="0" wrapText="0" indent="1" justifyLastLine="0" shrinkToFit="0" readingOrder="0"/>
    </dxf>
    <dxf>
      <font>
        <b/>
        <i val="0"/>
        <strike val="0"/>
        <condense val="0"/>
        <extend val="0"/>
        <outline val="0"/>
        <shadow val="0"/>
        <u val="none"/>
        <vertAlign val="baseline"/>
        <sz val="10"/>
        <color theme="1" tint="0.14993743705557422"/>
        <name val="Aptos Narrow"/>
        <family val="2"/>
        <scheme val="minor"/>
      </font>
      <numFmt numFmtId="170" formatCode="[$BDT]\ #,##0"/>
      <alignment horizontal="right" vertical="center" textRotation="0" wrapText="0" indent="1" justifyLastLine="0" shrinkToFit="0" readingOrder="0"/>
    </dxf>
    <dxf>
      <font>
        <strike val="0"/>
        <outline val="0"/>
        <shadow val="0"/>
        <u val="none"/>
        <vertAlign val="baseline"/>
        <sz val="11"/>
      </font>
      <numFmt numFmtId="168" formatCode="[$BDT]\ #,##0_);\([$BDT]\ #,##0\)"/>
      <alignment horizontal="right" vertical="center" textRotation="0" wrapText="0" indent="1" justifyLastLine="0" shrinkToFit="0" readingOrder="0"/>
    </dxf>
    <dxf>
      <font>
        <b/>
        <i val="0"/>
        <strike val="0"/>
        <condense val="0"/>
        <extend val="0"/>
        <outline val="0"/>
        <shadow val="0"/>
        <u val="none"/>
        <vertAlign val="baseline"/>
        <sz val="10"/>
        <color theme="1" tint="0.14993743705557422"/>
        <name val="Aptos Narrow"/>
        <family val="2"/>
        <scheme val="minor"/>
      </font>
      <numFmt numFmtId="170" formatCode="[$BDT]\ #,##0"/>
      <alignment horizontal="right" vertical="center" textRotation="0" wrapText="0" indent="1" justifyLastLine="0" shrinkToFit="0" readingOrder="0"/>
    </dxf>
    <dxf>
      <font>
        <strike val="0"/>
        <outline val="0"/>
        <shadow val="0"/>
        <u val="none"/>
        <vertAlign val="baseline"/>
        <sz val="11"/>
      </font>
    </dxf>
    <dxf>
      <font>
        <b/>
        <i val="0"/>
        <strike val="0"/>
        <condense val="0"/>
        <extend val="0"/>
        <outline val="0"/>
        <shadow val="0"/>
        <u val="none"/>
        <vertAlign val="baseline"/>
        <sz val="11"/>
        <color theme="1" tint="0.14993743705557422"/>
        <name val="Aptos Narrow"/>
        <family val="2"/>
        <scheme val="minor"/>
      </font>
      <alignment horizontal="left" vertical="center" textRotation="0" wrapText="0" indent="1" justifyLastLine="0" shrinkToFit="0" readingOrder="0"/>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b val="0"/>
        <i val="0"/>
        <strike val="0"/>
        <condense val="0"/>
        <extend val="0"/>
        <outline val="0"/>
        <shadow val="0"/>
        <u val="none"/>
        <vertAlign val="baseline"/>
        <sz val="14"/>
        <color auto="1"/>
        <name val="Aptos Display"/>
        <family val="2"/>
        <scheme val="major"/>
      </font>
      <fill>
        <patternFill patternType="solid">
          <fgColor indexed="64"/>
          <bgColor rgb="FFF7F7F7"/>
        </patternFill>
      </fill>
      <alignment horizontal="right" vertical="center" textRotation="0" wrapText="0" indent="1" justifyLastLine="0" shrinkToFit="0" readingOrder="0"/>
    </dxf>
    <dxf>
      <fill>
        <patternFill>
          <bgColor rgb="FFC00000"/>
        </patternFill>
      </fill>
    </dxf>
    <dxf>
      <fill>
        <patternFill>
          <bgColor theme="5" tint="0.79998168889431442"/>
        </patternFill>
      </fill>
    </dxf>
    <dxf>
      <border>
        <left style="thin">
          <color theme="5" tint="0.39994506668294322"/>
        </left>
        <right style="thin">
          <color theme="5" tint="0.39994506668294322"/>
        </right>
        <top style="thin">
          <color theme="5" tint="0.39994506668294322"/>
        </top>
        <bottom style="thin">
          <color theme="5" tint="0.39994506668294322"/>
        </bottom>
        <vertical style="thin">
          <color theme="5" tint="0.39994506668294322"/>
        </vertical>
        <horizontal style="thin">
          <color theme="5" tint="0.39994506668294322"/>
        </horizontal>
      </border>
    </dxf>
    <dxf>
      <border>
        <left style="thin">
          <color theme="5" tint="0.39994506668294322"/>
        </left>
        <right style="thin">
          <color theme="5" tint="0.39994506668294322"/>
        </right>
        <top style="thin">
          <color theme="5" tint="0.39994506668294322"/>
        </top>
        <bottom style="thin">
          <color theme="5" tint="0.39994506668294322"/>
        </bottom>
        <vertical style="thin">
          <color theme="5" tint="0.39994506668294322"/>
        </vertical>
        <horizontal style="thin">
          <color theme="5" tint="0.39994506668294322"/>
        </horizontal>
      </border>
    </dxf>
    <dxf>
      <font>
        <u val="none"/>
        <color theme="1"/>
      </font>
      <fill>
        <patternFill>
          <fgColor theme="5" tint="0.79998168889431442"/>
          <bgColor theme="5" tint="0.79995117038483843"/>
        </patternFill>
      </fill>
    </dxf>
    <dxf>
      <fill>
        <patternFill>
          <bgColor theme="5" tint="0.39994506668294322"/>
        </patternFill>
      </fill>
    </dxf>
    <dxf>
      <border>
        <vertical style="thin">
          <color theme="5" tint="0.39994506668294322"/>
        </vertical>
        <horizontal style="thin">
          <color theme="5" tint="0.39994506668294322"/>
        </horizontal>
      </border>
    </dxf>
    <dxf>
      <fill>
        <patternFill>
          <bgColor theme="5" tint="0.79998168889431442"/>
        </patternFill>
      </fill>
    </dxf>
    <dxf>
      <border>
        <left style="thin">
          <color theme="5" tint="0.39994506668294322"/>
        </left>
        <right style="thin">
          <color theme="5" tint="0.39994506668294322"/>
        </right>
        <top style="thin">
          <color theme="5" tint="0.39994506668294322"/>
        </top>
        <bottom style="thin">
          <color theme="5" tint="0.39994506668294322"/>
        </bottom>
        <vertical style="thin">
          <color theme="5" tint="0.39994506668294322"/>
        </vertical>
        <horizontal style="thin">
          <color theme="5" tint="0.39994506668294322"/>
        </horizontal>
      </border>
    </dxf>
    <dxf>
      <border>
        <left style="thin">
          <color theme="5" tint="0.39994506668294322"/>
        </left>
        <right style="thin">
          <color theme="5" tint="0.39994506668294322"/>
        </right>
        <top style="thin">
          <color theme="5" tint="0.39994506668294322"/>
        </top>
        <bottom style="thin">
          <color theme="5" tint="0.39994506668294322"/>
        </bottom>
        <vertical style="thin">
          <color theme="5" tint="0.39994506668294322"/>
        </vertical>
        <horizontal style="thin">
          <color theme="5" tint="0.39994506668294322"/>
        </horizontal>
      </border>
    </dxf>
    <dxf>
      <font>
        <u val="none"/>
        <color theme="1"/>
      </font>
      <fill>
        <patternFill>
          <fgColor theme="5" tint="0.79998168889431442"/>
          <bgColor theme="5" tint="0.79995117038483843"/>
        </patternFill>
      </fill>
    </dxf>
    <dxf>
      <fill>
        <patternFill>
          <bgColor theme="5" tint="0.39994506668294322"/>
        </patternFill>
      </fill>
    </dxf>
    <dxf>
      <border>
        <vertical style="thin">
          <color theme="5" tint="0.39994506668294322"/>
        </vertical>
        <horizontal style="thin">
          <color theme="5" tint="0.39994506668294322"/>
        </horizontal>
      </border>
    </dxf>
  </dxfs>
  <tableStyles count="2" defaultTableStyle="TableStyleMedium2" defaultPivotStyle="PivotStyleLight16">
    <tableStyle name="Table Style 1" pivot="0" count="6" xr9:uid="{36B499F3-D0CC-4B17-A0CF-9306EF2CB66B}">
      <tableStyleElement type="wholeTable" dxfId="436"/>
      <tableStyleElement type="headerRow" dxfId="435"/>
      <tableStyleElement type="totalRow" dxfId="434"/>
      <tableStyleElement type="firstRowStripe" dxfId="433"/>
      <tableStyleElement type="secondRowStripe" dxfId="432"/>
      <tableStyleElement type="secondColumnStripe" dxfId="431"/>
    </tableStyle>
    <tableStyle name="Table Style 1 2" pivot="0" count="6" xr9:uid="{7D4C8162-BB91-43CC-8CC8-6CBC283C3D7C}">
      <tableStyleElement type="wholeTable" dxfId="430"/>
      <tableStyleElement type="headerRow" dxfId="429"/>
      <tableStyleElement type="totalRow" dxfId="428"/>
      <tableStyleElement type="firstRowStripe" dxfId="427"/>
      <tableStyleElement type="secondRowStripe" dxfId="426"/>
      <tableStyleElement type="secondColumnStripe" dxfId="4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76200</xdr:colOff>
      <xdr:row>32</xdr:row>
      <xdr:rowOff>0</xdr:rowOff>
    </xdr:from>
    <xdr:to>
      <xdr:col>5</xdr:col>
      <xdr:colOff>279400</xdr:colOff>
      <xdr:row>32</xdr:row>
      <xdr:rowOff>203200</xdr:rowOff>
    </xdr:to>
    <xdr:sp macro="[2]!dp_core.gridDP_Click" textlink="">
      <xdr:nvSpPr>
        <xdr:cNvPr id="2" name="Rectangle 1">
          <a:extLst>
            <a:ext uri="{FF2B5EF4-FFF2-40B4-BE49-F238E27FC236}">
              <a16:creationId xmlns:a16="http://schemas.microsoft.com/office/drawing/2014/main" id="{DE9FD878-16BC-47FA-9BA7-685DB1EF6194}"/>
            </a:ext>
          </a:extLst>
        </xdr:cNvPr>
        <xdr:cNvSpPr/>
      </xdr:nvSpPr>
      <xdr:spPr>
        <a:xfrm>
          <a:off x="6105525" y="3590925"/>
          <a:ext cx="203200" cy="203200"/>
        </a:xfrm>
        <a:prstGeom prst="rect">
          <a:avLst/>
        </a:prstGeom>
        <a:blipFill dpi="0" rotWithShape="1">
          <a:blip xmlns:r="http://schemas.openxmlformats.org/officeDocument/2006/relationships" r:embed="rId1"/>
          <a:srcRect/>
          <a:stretch>
            <a:fillRect/>
          </a:stretch>
        </a:blip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LL%20Excell%20Training%20Classes/Excel%20Class%2001%20-%20Feb%2017/May%2008/All%20Working%20Files%20-%20May%2008.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Startup" Target="samradapps_datepicker_221114.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ll Formatting"/>
      <sheetName val="Add_Del_Col_Row"/>
      <sheetName val="Absolute vs Related (Working)"/>
      <sheetName val="Absolute vs Related (Blank)"/>
      <sheetName val="PERSONAL FINANCE"/>
      <sheetName val="Flash Fill (Example)"/>
      <sheetName val="Flash Fill (Blank)"/>
      <sheetName val="Autofill"/>
      <sheetName val="Conditional - Formating"/>
    </sheetNames>
    <sheetDataSet>
      <sheetData sheetId="0"/>
      <sheetData sheetId="1"/>
      <sheetData sheetId="2"/>
      <sheetData sheetId="3"/>
      <sheetData sheetId="4">
        <row r="1">
          <cell r="B1" t="str">
            <v>Self(Personal)-finance</v>
          </cell>
        </row>
        <row r="2">
          <cell r="A2"/>
          <cell r="B2" t="str">
            <v>REVENUE</v>
          </cell>
          <cell r="C2"/>
          <cell r="D2"/>
          <cell r="E2"/>
          <cell r="F2"/>
          <cell r="G2"/>
          <cell r="H2"/>
          <cell r="I2"/>
          <cell r="J2"/>
          <cell r="K2"/>
          <cell r="L2"/>
          <cell r="M2"/>
          <cell r="N2"/>
          <cell r="O2"/>
          <cell r="P2"/>
        </row>
        <row r="3">
          <cell r="B3" t="str">
            <v>INCOME</v>
          </cell>
        </row>
        <row r="4">
          <cell r="B4" t="str">
            <v>Salary</v>
          </cell>
        </row>
        <row r="5">
          <cell r="B5" t="str">
            <v>Eid Bonus</v>
          </cell>
        </row>
        <row r="6">
          <cell r="B6" t="str">
            <v>Miscellaneous</v>
          </cell>
        </row>
        <row r="7">
          <cell r="B7" t="str">
            <v>Total</v>
          </cell>
        </row>
        <row r="8">
          <cell r="B8"/>
        </row>
        <row r="9">
          <cell r="B9" t="str">
            <v>EXPENSES</v>
          </cell>
        </row>
        <row r="10">
          <cell r="B10" t="str">
            <v>HOME</v>
          </cell>
        </row>
        <row r="11">
          <cell r="B11" t="str">
            <v>House Rent</v>
          </cell>
        </row>
        <row r="12">
          <cell r="B12" t="str">
            <v>Internet</v>
          </cell>
        </row>
        <row r="13">
          <cell r="B13" t="str">
            <v>Electricity</v>
          </cell>
        </row>
        <row r="14">
          <cell r="B14" t="str">
            <v>GAS</v>
          </cell>
        </row>
        <row r="15">
          <cell r="B15" t="str">
            <v>Service Charge</v>
          </cell>
        </row>
        <row r="16">
          <cell r="B16" t="str">
            <v>Total</v>
          </cell>
        </row>
        <row r="17">
          <cell r="B17"/>
        </row>
        <row r="18">
          <cell r="B18" t="str">
            <v>DAILY LIVING</v>
          </cell>
        </row>
        <row r="19">
          <cell r="B19" t="str">
            <v xml:space="preserve">Groceries </v>
          </cell>
        </row>
        <row r="20">
          <cell r="B20" t="str">
            <v>Child care</v>
          </cell>
        </row>
        <row r="21">
          <cell r="B21" t="str">
            <v>Dry cleaning</v>
          </cell>
        </row>
        <row r="22">
          <cell r="B22" t="str">
            <v>Breakfast</v>
          </cell>
        </row>
        <row r="23">
          <cell r="B23" t="str">
            <v>Total</v>
          </cell>
        </row>
        <row r="24">
          <cell r="B24"/>
        </row>
        <row r="25">
          <cell r="B25" t="str">
            <v>TRANSPORTATION</v>
          </cell>
        </row>
        <row r="26">
          <cell r="B26" t="str">
            <v>Gas/fuel</v>
          </cell>
        </row>
        <row r="27">
          <cell r="B27" t="str">
            <v>Insurance</v>
          </cell>
        </row>
        <row r="28">
          <cell r="B28" t="str">
            <v>Repairs Maintenance</v>
          </cell>
        </row>
        <row r="29">
          <cell r="B29" t="str">
            <v>Car wash/detailing services</v>
          </cell>
        </row>
        <row r="30">
          <cell r="B30" t="str">
            <v>Parking/Tole</v>
          </cell>
        </row>
        <row r="31">
          <cell r="B31" t="str">
            <v>Public transportation</v>
          </cell>
        </row>
        <row r="32">
          <cell r="B32" t="str">
            <v>Total</v>
          </cell>
        </row>
        <row r="33">
          <cell r="B33"/>
        </row>
        <row r="34">
          <cell r="B34" t="str">
            <v>ENTERTAINMENT</v>
          </cell>
        </row>
        <row r="35">
          <cell r="B35" t="str">
            <v>Cable TV</v>
          </cell>
        </row>
        <row r="36">
          <cell r="B36" t="str">
            <v>Concerts/clubs</v>
          </cell>
        </row>
        <row r="37">
          <cell r="B37" t="str">
            <v>Total</v>
          </cell>
        </row>
        <row r="38">
          <cell r="B38"/>
        </row>
        <row r="39">
          <cell r="B39" t="str">
            <v>HEALTH</v>
          </cell>
        </row>
        <row r="40">
          <cell r="B40" t="str">
            <v>Medicine</v>
          </cell>
        </row>
        <row r="41">
          <cell r="B41" t="str">
            <v>Insurance</v>
          </cell>
        </row>
        <row r="42">
          <cell r="B42" t="str">
            <v>Investigation/Test</v>
          </cell>
        </row>
        <row r="43">
          <cell r="B43" t="str">
            <v>Doctor's Fees</v>
          </cell>
        </row>
        <row r="44">
          <cell r="B44" t="str">
            <v>Life insurance</v>
          </cell>
        </row>
        <row r="45">
          <cell r="B45" t="str">
            <v>Others</v>
          </cell>
        </row>
        <row r="46">
          <cell r="B46" t="str">
            <v>Total</v>
          </cell>
        </row>
        <row r="47">
          <cell r="B47"/>
        </row>
        <row r="48">
          <cell r="B48" t="str">
            <v>VACATIONS</v>
          </cell>
        </row>
        <row r="49">
          <cell r="B49" t="str">
            <v>Plane fare</v>
          </cell>
        </row>
        <row r="50">
          <cell r="B50" t="str">
            <v>Accommodations</v>
          </cell>
        </row>
        <row r="51">
          <cell r="B51" t="str">
            <v>Food</v>
          </cell>
        </row>
        <row r="52">
          <cell r="B52" t="str">
            <v>Souvenirs</v>
          </cell>
        </row>
        <row r="53">
          <cell r="B53" t="str">
            <v>Rental car</v>
          </cell>
        </row>
        <row r="54">
          <cell r="B54" t="str">
            <v>Total</v>
          </cell>
        </row>
        <row r="55">
          <cell r="B55"/>
        </row>
        <row r="56">
          <cell r="B56" t="str">
            <v>RECREATION</v>
          </cell>
        </row>
        <row r="57">
          <cell r="B57" t="str">
            <v>Gym fees</v>
          </cell>
        </row>
        <row r="58">
          <cell r="B58" t="str">
            <v>Sports equipment</v>
          </cell>
        </row>
        <row r="59">
          <cell r="B59" t="str">
            <v>Total</v>
          </cell>
        </row>
        <row r="60">
          <cell r="B60"/>
        </row>
        <row r="61">
          <cell r="B61" t="str">
            <v>DUES/SUBSCRIPTION</v>
          </cell>
        </row>
        <row r="62">
          <cell r="B62" t="str">
            <v>Magazines</v>
          </cell>
        </row>
        <row r="63">
          <cell r="B63" t="str">
            <v>Newspapers</v>
          </cell>
        </row>
        <row r="64">
          <cell r="B64" t="str">
            <v>Internet connection</v>
          </cell>
        </row>
        <row r="65">
          <cell r="B65" t="str">
            <v>Religious organizations</v>
          </cell>
        </row>
        <row r="66">
          <cell r="B66" t="str">
            <v>Others</v>
          </cell>
        </row>
        <row r="67">
          <cell r="B67" t="str">
            <v>Total</v>
          </cell>
        </row>
        <row r="68">
          <cell r="B68"/>
        </row>
        <row r="69">
          <cell r="B69" t="str">
            <v>PERSONAL</v>
          </cell>
        </row>
        <row r="70">
          <cell r="B70" t="str">
            <v>Clothing</v>
          </cell>
        </row>
        <row r="71">
          <cell r="B71" t="str">
            <v>Gifts</v>
          </cell>
        </row>
        <row r="72">
          <cell r="B72" t="str">
            <v>Salon/barber</v>
          </cell>
        </row>
        <row r="73">
          <cell r="B73" t="str">
            <v>Books</v>
          </cell>
        </row>
        <row r="74">
          <cell r="B74" t="str">
            <v>Total</v>
          </cell>
        </row>
        <row r="75">
          <cell r="B75"/>
        </row>
        <row r="76">
          <cell r="B76" t="str">
            <v>FINANCIAL OBLIGATIONS</v>
          </cell>
        </row>
        <row r="77">
          <cell r="B77" t="str">
            <v>Long-term savings</v>
          </cell>
        </row>
        <row r="78">
          <cell r="B78" t="str">
            <v>Credit card payments</v>
          </cell>
        </row>
        <row r="79">
          <cell r="B79" t="str">
            <v>Income tax (additional)</v>
          </cell>
        </row>
        <row r="80">
          <cell r="B80" t="str">
            <v>Other obligations</v>
          </cell>
        </row>
        <row r="81">
          <cell r="B81" t="str">
            <v>Total</v>
          </cell>
        </row>
        <row r="82">
          <cell r="B82"/>
        </row>
        <row r="83">
          <cell r="B83" t="str">
            <v>MISC PAYMENTS</v>
          </cell>
        </row>
        <row r="84">
          <cell r="B84" t="str">
            <v xml:space="preserve">   Other</v>
          </cell>
        </row>
        <row r="85">
          <cell r="B85" t="str">
            <v xml:space="preserve">   Other</v>
          </cell>
        </row>
        <row r="86">
          <cell r="B86" t="str">
            <v>Total</v>
          </cell>
        </row>
        <row r="87">
          <cell r="B87"/>
        </row>
        <row r="88">
          <cell r="B88" t="str">
            <v>TOTALS</v>
          </cell>
        </row>
        <row r="89">
          <cell r="B89" t="str">
            <v>Total expenses</v>
          </cell>
        </row>
        <row r="90">
          <cell r="B90" t="str">
            <v>Short/Saving</v>
          </cell>
        </row>
      </sheetData>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data12345"/>
      <sheetName val="Sheet1"/>
      <sheetName val="samradapps_datepicker_221114"/>
    </sheetNames>
    <definedNames>
      <definedName name="dp_core.gridDP_Click"/>
    </definedNames>
    <sheetDataSet>
      <sheetData sheetId="0"/>
      <sheetData sheetId="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9F3ED5-6E9F-4DC8-9BE5-02D8C1E28261}" name="tblIncome" displayName="tblIncome" ref="B3:P7" totalsRowCount="1" headerRowDxfId="423" dataDxfId="422" totalsRowDxfId="421">
  <tableColumns count="15">
    <tableColumn id="1" xr3:uid="{5A0ACA23-F714-4A9D-BCE3-8EE1263D151E}" name="INCOME" totalsRowLabel="Total" dataDxfId="420" totalsRowDxfId="419"/>
    <tableColumn id="2" xr3:uid="{098C9E7A-0F52-463B-BFD7-98BECDC30613}" name="JAN" totalsRowFunction="sum" dataDxfId="418" totalsRowDxfId="417"/>
    <tableColumn id="3" xr3:uid="{07501219-C915-4C25-93D7-1275B249590F}" name="FEB" totalsRowFunction="custom" dataDxfId="416" totalsRowDxfId="415">
      <totalsRowFormula>SUBTOTAL(109,tblIncome[JAN])</totalsRowFormula>
    </tableColumn>
    <tableColumn id="4" xr3:uid="{6CFC674A-5D8F-4C53-8265-A190F21AD7DD}" name="MAR" totalsRowFunction="custom" dataDxfId="414" totalsRowDxfId="413">
      <totalsRowFormula>SUBTOTAL(109,tblIncome[JAN])</totalsRowFormula>
    </tableColumn>
    <tableColumn id="5" xr3:uid="{A17B137C-D949-443F-B971-7A5B931F77CF}" name="APR" totalsRowFunction="sum" dataDxfId="412" totalsRowDxfId="411"/>
    <tableColumn id="6" xr3:uid="{16B917D8-9D97-49F8-B839-961637AF5646}" name="MAY" totalsRowFunction="sum" dataDxfId="410" totalsRowDxfId="409"/>
    <tableColumn id="7" xr3:uid="{C0C72518-F537-4DFE-8A7A-F62D6267827F}" name="JUN" totalsRowFunction="sum" dataDxfId="408" totalsRowDxfId="407"/>
    <tableColumn id="8" xr3:uid="{44EDFCC0-941B-48EE-AFDE-364DD8151705}" name="JUL" totalsRowFunction="sum" dataDxfId="406" totalsRowDxfId="405"/>
    <tableColumn id="9" xr3:uid="{1964BBAA-1708-4A7E-99C4-2AC6FA6269FB}" name="AUG" totalsRowFunction="sum" dataDxfId="404" totalsRowDxfId="403"/>
    <tableColumn id="10" xr3:uid="{C742DD20-726A-4E40-9AFB-56ED0C0462CE}" name="SEP" totalsRowFunction="sum" dataDxfId="402" totalsRowDxfId="401"/>
    <tableColumn id="11" xr3:uid="{9850E150-BAB4-48C5-A20F-7139BFA97BE8}" name="OCT" totalsRowFunction="sum" dataDxfId="400" totalsRowDxfId="399"/>
    <tableColumn id="12" xr3:uid="{25BAC4D4-582B-43B1-A4A0-6E2F5180A1B0}" name="NOV" totalsRowFunction="sum" dataDxfId="398" totalsRowDxfId="397"/>
    <tableColumn id="13" xr3:uid="{E2C31D4C-BD28-46B0-8747-E6B1C10C8C05}" name="DEC" totalsRowFunction="sum" dataDxfId="396" totalsRowDxfId="395"/>
    <tableColumn id="14" xr3:uid="{E479846C-63AF-4FCF-A513-E99ED04184E5}" name="YEAR" totalsRowFunction="sum" dataDxfId="394" totalsRowDxfId="393">
      <calculatedColumnFormula>SUM(tblIncome[[#This Row],[JAN]:[DEC]])</calculatedColumnFormula>
    </tableColumn>
    <tableColumn id="15" xr3:uid="{E77E6A77-6EB2-421A-8C0B-D882C46C02D5}" name="SPARKLINE" dataDxfId="392" totalsRowDxfId="391"/>
  </tableColumns>
  <tableStyleInfo name="Table Style 1" showFirstColumn="0" showLastColumn="0" showRowStripes="0" showColumnStripes="1"/>
  <extLst>
    <ext xmlns:x14="http://schemas.microsoft.com/office/spreadsheetml/2009/9/main" uri="{504A1905-F514-4f6f-8877-14C23A59335A}">
      <x14:table altText="Income" altTextSummary="Enter your income for the year."/>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6DD33FA-1122-41B7-A290-CE41707917CE}" name="tblPersonal" displayName="tblPersonal" ref="B69:P74" totalsRowCount="1" headerRowDxfId="128" dataDxfId="127" totalsRowDxfId="126">
  <tableColumns count="15">
    <tableColumn id="1" xr3:uid="{D0DD7D11-8DF7-4F07-B900-7369787CE725}" name="PERSONAL" totalsRowLabel="Total" dataDxfId="125" totalsRowDxfId="124" totalsRowCellStyle="Normal 3"/>
    <tableColumn id="2" xr3:uid="{8DD038A9-2330-48EE-A09E-4348D6A927AE}" name="JAN" totalsRowFunction="sum" dataDxfId="123" totalsRowDxfId="122" totalsRowCellStyle="Normal 3"/>
    <tableColumn id="3" xr3:uid="{A6C01DB8-C2D1-42D9-9309-531BDECA9A03}" name="FEB" totalsRowFunction="sum" dataDxfId="121" totalsRowDxfId="120" totalsRowCellStyle="Normal 3"/>
    <tableColumn id="4" xr3:uid="{EABA45FB-A2D2-48A7-B40E-6FC1687C0013}" name="MAR" totalsRowFunction="sum" dataDxfId="119" totalsRowDxfId="118" totalsRowCellStyle="Normal 3"/>
    <tableColumn id="5" xr3:uid="{8932C7D4-D534-45D7-8ED2-F94AA6EF4C8C}" name="APR" totalsRowFunction="sum" dataDxfId="117" totalsRowDxfId="116" totalsRowCellStyle="Normal 3"/>
    <tableColumn id="6" xr3:uid="{A0C3452D-3FDA-4A88-BA9C-FC4FFCE006B3}" name="MAY" totalsRowFunction="sum" dataDxfId="115" totalsRowDxfId="114" totalsRowCellStyle="Normal 3"/>
    <tableColumn id="7" xr3:uid="{0B79DD1D-1CB2-4DC5-838E-55D20FCC049A}" name="JUN" totalsRowFunction="sum" dataDxfId="113" totalsRowDxfId="112" totalsRowCellStyle="Normal 3"/>
    <tableColumn id="8" xr3:uid="{9A8BBCB0-3E33-4F44-991F-1C45E0DABB0D}" name="JUL" totalsRowFunction="sum" dataDxfId="111" totalsRowDxfId="110" totalsRowCellStyle="Normal 3"/>
    <tableColumn id="9" xr3:uid="{AF5694D9-8DB3-428E-96EB-F91EFE8C0524}" name="AUG" totalsRowFunction="sum" dataDxfId="109" totalsRowDxfId="108" totalsRowCellStyle="Normal 3"/>
    <tableColumn id="10" xr3:uid="{0F85B6BA-2217-49A3-BFF4-4F990F87BA7B}" name="SEP" totalsRowFunction="sum" dataDxfId="107" totalsRowDxfId="106" totalsRowCellStyle="Normal 3"/>
    <tableColumn id="11" xr3:uid="{DEDD199A-F731-4F9B-AE71-C29339F68AC5}" name="OCT" totalsRowFunction="sum" dataDxfId="105" totalsRowDxfId="104" totalsRowCellStyle="Normal 3"/>
    <tableColumn id="12" xr3:uid="{772D6668-8300-49DA-B034-9A1BA1602E35}" name="NOV" totalsRowFunction="sum" dataDxfId="103" totalsRowDxfId="102" totalsRowCellStyle="Normal 3"/>
    <tableColumn id="13" xr3:uid="{A8D69DF9-FC42-4DBD-8E7F-F6C1C9B7DCB8}" name="DEC" totalsRowFunction="sum" dataDxfId="101" totalsRowDxfId="100" totalsRowCellStyle="Normal 3"/>
    <tableColumn id="14" xr3:uid="{6126743D-ECE0-4966-8939-480186428506}" name="YEAR" totalsRowFunction="sum" dataDxfId="99" totalsRowDxfId="98" totalsRowCellStyle="Normal 3">
      <calculatedColumnFormula>SUM(tblPersonal[[#This Row],[JAN]:[DEC]])</calculatedColumnFormula>
    </tableColumn>
    <tableColumn id="15" xr3:uid="{C1515109-1CF8-49E0-9525-0197E7806934}" name=" " dataDxfId="97" totalsRowDxfId="96" totalsRowCellStyle="Normal 3"/>
  </tableColumns>
  <tableStyleInfo name="Table Style 1" showFirstColumn="0" showLastColumn="0" showRowStripes="0" showColumnStripes="1"/>
  <extLst>
    <ext xmlns:x14="http://schemas.microsoft.com/office/spreadsheetml/2009/9/main" uri="{504A1905-F514-4f6f-8877-14C23A59335A}">
      <x14:table altText="Personal Expenses" altTextSummary="Enter your personal expenses for the year, separated by month."/>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CBF4CEF-D172-4B4E-8A26-466D70ECCC3B}" name="tblFinancial" displayName="tblFinancial" ref="B76:P81" totalsRowCount="1" headerRowDxfId="95" dataDxfId="94" totalsRowDxfId="93">
  <tableColumns count="15">
    <tableColumn id="1" xr3:uid="{7E9F5175-9442-4438-A26A-A1F4800A4DEC}" name="FINANCIAL OBLIGATIONS" totalsRowLabel="Total" dataDxfId="92" totalsRowDxfId="91"/>
    <tableColumn id="2" xr3:uid="{23E06EAB-D336-4608-BB23-3077544AFC56}" name="JAN" totalsRowFunction="sum" dataDxfId="90" totalsRowDxfId="89"/>
    <tableColumn id="3" xr3:uid="{1C73F816-ECAE-4D86-8895-EE9E67769B9D}" name="FEB" totalsRowFunction="sum" dataDxfId="88" totalsRowDxfId="87"/>
    <tableColumn id="4" xr3:uid="{2EC94AC4-55DD-4D3F-96A4-FC1B4B18A20F}" name="MAR" totalsRowFunction="sum" dataDxfId="86" totalsRowDxfId="85"/>
    <tableColumn id="5" xr3:uid="{EA02D072-6E44-4488-A828-6BC8850CE67B}" name="APR" totalsRowFunction="sum" dataDxfId="84" totalsRowDxfId="83"/>
    <tableColumn id="6" xr3:uid="{8A366F11-DE97-4444-837A-9FF27065B406}" name="MAY" totalsRowFunction="sum" dataDxfId="82" totalsRowDxfId="81"/>
    <tableColumn id="7" xr3:uid="{F5EF5CBF-FF6D-4619-AE20-BA0B4BB68C4C}" name="JUN" totalsRowFunction="sum" dataDxfId="80" totalsRowDxfId="79"/>
    <tableColumn id="8" xr3:uid="{CA9762EB-BAC2-466A-BFDF-4CBF6AB08742}" name="JUL" totalsRowFunction="sum" dataDxfId="78" totalsRowDxfId="77"/>
    <tableColumn id="9" xr3:uid="{97BDB556-F5DB-4263-B7A2-916E3CA4D8B8}" name="AUG" totalsRowFunction="sum" dataDxfId="76" totalsRowDxfId="75"/>
    <tableColumn id="10" xr3:uid="{50677412-EE14-4190-9BFB-EDF9037C9915}" name="SEP" totalsRowFunction="sum" dataDxfId="74" totalsRowDxfId="73"/>
    <tableColumn id="11" xr3:uid="{711594BD-0476-4E27-A7F9-B8ACBED6F0A3}" name="OCT" totalsRowFunction="sum" dataDxfId="72" totalsRowDxfId="71"/>
    <tableColumn id="12" xr3:uid="{DC9C3B8C-A33B-4CA0-A39B-FEC97DF1BE25}" name="NOV" totalsRowFunction="sum" dataDxfId="70" totalsRowDxfId="69"/>
    <tableColumn id="13" xr3:uid="{AF62534D-6E81-4C8E-B57C-4ED429B6C934}" name="DEC" totalsRowFunction="sum" dataDxfId="68" totalsRowDxfId="67"/>
    <tableColumn id="14" xr3:uid="{6797AB5C-2909-4E20-97C6-D9EE31C260FB}" name="YEAR" totalsRowFunction="sum" dataDxfId="66" totalsRowDxfId="65">
      <calculatedColumnFormula>SUM(tblFinancial[[#This Row],[JAN]:[DEC]])</calculatedColumnFormula>
    </tableColumn>
    <tableColumn id="15" xr3:uid="{EBB5FD41-B2D7-49DC-996D-1C653532DC8B}" name=" " dataDxfId="64" totalsRowDxfId="63"/>
  </tableColumns>
  <tableStyleInfo name="Table Style 1" showFirstColumn="0" showLastColumn="0" showRowStripes="0" showColumnStripes="1"/>
  <extLst>
    <ext xmlns:x14="http://schemas.microsoft.com/office/spreadsheetml/2009/9/main" uri="{504A1905-F514-4f6f-8877-14C23A59335A}">
      <x14:table altText="Financial Expenses" altTextSummary="Enter your financial expenses for the year, separated by month."/>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D2429DE-ED1C-4E41-9069-DB67A3D1AADE}" name="tblMisc" displayName="tblMisc" ref="B83:P86" totalsRowCount="1" headerRowDxfId="62" dataDxfId="61" totalsRowDxfId="60">
  <tableColumns count="15">
    <tableColumn id="1" xr3:uid="{907A64DE-D39C-429C-BE5F-322422562220}" name="MISC PAYMENTS" totalsRowLabel="Total" totalsRowDxfId="59" totalsRowCellStyle="Normal 3"/>
    <tableColumn id="2" xr3:uid="{C9ADF10A-94BE-41E9-9104-E158260F52CA}" name="JAN" totalsRowFunction="sum" dataDxfId="58" totalsRowDxfId="57" totalsRowCellStyle="Normal 3"/>
    <tableColumn id="3" xr3:uid="{BCAEE3A8-8086-4C91-8494-F9C0552EE19E}" name="FEB" totalsRowFunction="sum" dataDxfId="56" totalsRowDxfId="55" totalsRowCellStyle="Normal 3"/>
    <tableColumn id="4" xr3:uid="{629128C8-58BB-431B-A245-A54E4531B575}" name="MAR" totalsRowFunction="sum" dataDxfId="54" totalsRowDxfId="53" totalsRowCellStyle="Normal 3"/>
    <tableColumn id="5" xr3:uid="{8603D39C-FAC9-4FA4-A7FF-4E09A01C462B}" name="APR" totalsRowFunction="sum" dataDxfId="52" totalsRowDxfId="51" totalsRowCellStyle="Normal 3"/>
    <tableColumn id="6" xr3:uid="{6D8ECBE5-D090-42E9-BFA2-4A98AAF1A4BC}" name="MAY" totalsRowFunction="sum" dataDxfId="50" totalsRowDxfId="49" totalsRowCellStyle="Normal 3"/>
    <tableColumn id="7" xr3:uid="{B5BF6055-97EE-4E1A-BEDB-51A8CB389529}" name="JUN" totalsRowFunction="sum" dataDxfId="48" totalsRowDxfId="47" totalsRowCellStyle="Normal 3"/>
    <tableColumn id="8" xr3:uid="{9ACBEFC1-F84A-4892-8382-50BB9CB7B5CB}" name="JUL" totalsRowFunction="sum" dataDxfId="46" totalsRowDxfId="45" totalsRowCellStyle="Normal 3"/>
    <tableColumn id="9" xr3:uid="{F9BB358F-D508-4873-9FCF-B18611F4960A}" name="AUG" totalsRowFunction="sum" dataDxfId="44" totalsRowDxfId="43" totalsRowCellStyle="Normal 3"/>
    <tableColumn id="10" xr3:uid="{7482ED12-CAE6-4D10-8288-1B5F86A2708A}" name="SEP" totalsRowFunction="sum" dataDxfId="42" totalsRowDxfId="41" totalsRowCellStyle="Normal 3"/>
    <tableColumn id="11" xr3:uid="{8FE6DE1A-5C16-4990-9DCA-1DA6666BC040}" name="OCT" totalsRowFunction="sum" dataDxfId="40" totalsRowDxfId="39" totalsRowCellStyle="Normal 3"/>
    <tableColumn id="12" xr3:uid="{44B58C46-2FCB-4AE7-88B5-F50D3EC0B315}" name="NOV" totalsRowFunction="sum" dataDxfId="38" totalsRowDxfId="37" totalsRowCellStyle="Normal 3"/>
    <tableColumn id="13" xr3:uid="{122DA875-A914-43D7-8A98-F5FDF7603098}" name="DEC" totalsRowFunction="sum" dataDxfId="36" totalsRowDxfId="35" totalsRowCellStyle="Normal 3"/>
    <tableColumn id="14" xr3:uid="{59D4BDEE-45A6-44B7-8630-CF632CA723EE}" name="YEAR" totalsRowFunction="sum" dataDxfId="34" totalsRowDxfId="33" totalsRowCellStyle="Normal 3">
      <calculatedColumnFormula>SUM(tblMisc[[#This Row],[JAN]:[DEC]])</calculatedColumnFormula>
    </tableColumn>
    <tableColumn id="15" xr3:uid="{3159609C-52C7-4684-8A46-051501B3658E}" name=" " dataDxfId="32" totalsRowDxfId="31" totalsRowCellStyle="Normal 3"/>
  </tableColumns>
  <tableStyleInfo name="Table Style 1" showFirstColumn="0" showLastColumn="0" showRowStripes="0" showColumnStripes="1"/>
  <extLst>
    <ext xmlns:x14="http://schemas.microsoft.com/office/spreadsheetml/2009/9/main" uri="{504A1905-F514-4f6f-8877-14C23A59335A}">
      <x14:table altText="Misc Expenses" altTextSummary="Enter your miscellaneous expenses for the year, separated by month."/>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E9CDE78-58CE-4E7B-8E4F-3F8CB581E8C4}" name="tblTotals" displayName="tblTotals" ref="B88:P90" totalsRowShown="0" headerRowDxfId="30" dataDxfId="29">
  <tableColumns count="15">
    <tableColumn id="1" xr3:uid="{8F2B4435-C371-4F56-84D6-3327D5A2B79D}" name="TOTALS" dataDxfId="28"/>
    <tableColumn id="2" xr3:uid="{6832970F-8C6A-4E69-861F-F691E479B70E}" name="JAN" dataDxfId="27">
      <calculatedColumnFormula>tblIncome[[#Totals],[JAN]]-C88</calculatedColumnFormula>
    </tableColumn>
    <tableColumn id="3" xr3:uid="{B9658A93-5FD8-4646-9AE2-62734D77F728}" name="FEB" dataDxfId="26">
      <calculatedColumnFormula>tblIncome[[#Totals],[FEB]]-D88</calculatedColumnFormula>
    </tableColumn>
    <tableColumn id="4" xr3:uid="{65B915CA-5B0B-414E-BFD5-5008345DA222}" name="MAR" dataDxfId="25">
      <calculatedColumnFormula>tblIncome[[#Totals],[MAR]]-E88</calculatedColumnFormula>
    </tableColumn>
    <tableColumn id="5" xr3:uid="{4E9F5BBA-C1C1-4B64-96CE-180BE2B18753}" name="APR" dataDxfId="24">
      <calculatedColumnFormula>tblIncome[[#Totals],[APR]]-F88</calculatedColumnFormula>
    </tableColumn>
    <tableColumn id="6" xr3:uid="{E712E3D3-9C43-4660-9525-18B962CE2F00}" name="MAY" dataDxfId="23">
      <calculatedColumnFormula>tblIncome[[#Totals],[MAY]]-G88</calculatedColumnFormula>
    </tableColumn>
    <tableColumn id="7" xr3:uid="{5531E1AF-A458-45B4-8689-F9F1B30573F2}" name="JUN" dataDxfId="22">
      <calculatedColumnFormula>tblIncome[[#Totals],[JUN]]-H88</calculatedColumnFormula>
    </tableColumn>
    <tableColumn id="8" xr3:uid="{831DC42A-A244-48B7-A443-E8B77B487D92}" name="JUL" dataDxfId="21">
      <calculatedColumnFormula>tblIncome[[#Totals],[JUL]]-I88</calculatedColumnFormula>
    </tableColumn>
    <tableColumn id="9" xr3:uid="{DC5AF411-1212-411A-BD39-BE0C35DCD863}" name="AUG" dataDxfId="20">
      <calculatedColumnFormula>tblIncome[[#Totals],[AUG]]-J88</calculatedColumnFormula>
    </tableColumn>
    <tableColumn id="10" xr3:uid="{F0E8FE20-067A-4DC8-9CB6-259F21A18C85}" name="SEP" dataDxfId="19">
      <calculatedColumnFormula>tblIncome[[#Totals],[SEP]]-K88</calculatedColumnFormula>
    </tableColumn>
    <tableColumn id="11" xr3:uid="{59E7C513-597E-4891-B82B-9F5FDC113C02}" name="OCT" dataDxfId="18">
      <calculatedColumnFormula>tblIncome[[#Totals],[OCT]]-L88</calculatedColumnFormula>
    </tableColumn>
    <tableColumn id="12" xr3:uid="{389CCC8B-D2B0-4443-9F86-5EA33DAC2747}" name="NOV" dataDxfId="17">
      <calculatedColumnFormula>tblIncome[[#Totals],[NOV]]-M88</calculatedColumnFormula>
    </tableColumn>
    <tableColumn id="13" xr3:uid="{14408B74-3F25-497A-95AF-BB3555209AAF}" name="DEC" dataDxfId="16">
      <calculatedColumnFormula>tblIncome[[#Totals],[DEC]]-N88</calculatedColumnFormula>
    </tableColumn>
    <tableColumn id="14" xr3:uid="{0FCF879B-9B2D-44EC-B26D-65295A4EE669}" name="YEAR" dataDxfId="15">
      <calculatedColumnFormula>tblIncome[[#Totals],[YEAR]]-O88</calculatedColumnFormula>
    </tableColumn>
    <tableColumn id="15" xr3:uid="{FC3A7FAC-1484-4CAE-975C-B8CEB75E19AC}" name=" " dataDxfId="14"/>
  </tableColumns>
  <tableStyleInfo showFirstColumn="1" showLastColumn="0" showRowStripes="0" showColumnStripes="1"/>
  <extLst>
    <ext xmlns:x14="http://schemas.microsoft.com/office/spreadsheetml/2009/9/main" uri="{504A1905-F514-4f6f-8877-14C23A59335A}">
      <x14:table altText="Totals" altTextSummary="View your totals for the year, separated by month."/>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C1B025-998F-41EC-933A-75E3E60D3672}" name="tblHome" displayName="tblHome" ref="B10:P16" totalsRowCount="1" headerRowDxfId="390" dataDxfId="389" totalsRowDxfId="388">
  <tableColumns count="15">
    <tableColumn id="1" xr3:uid="{5D908995-A6BE-4889-9BDF-CE64E9585AA8}" name="HOME" totalsRowLabel="Total" dataDxfId="387" totalsRowDxfId="386"/>
    <tableColumn id="2" xr3:uid="{DE23E6DE-D8DA-4BC9-8345-A96A1C11C543}" name="JAN" totalsRowFunction="sum" dataDxfId="385" totalsRowDxfId="384"/>
    <tableColumn id="3" xr3:uid="{43BBDC08-F1F2-4413-9BC0-42A6BEE23B6D}" name="FEB" totalsRowFunction="sum" dataDxfId="383"/>
    <tableColumn id="4" xr3:uid="{8C84D642-E85B-4392-94A2-DA6A2028F171}" name="MAR" totalsRowFunction="sum" dataDxfId="382"/>
    <tableColumn id="5" xr3:uid="{CE650C00-AA58-401F-8665-8FC319235391}" name="APR" totalsRowFunction="sum" dataDxfId="381" totalsRowDxfId="380"/>
    <tableColumn id="6" xr3:uid="{97A7D2FD-7D16-41F6-A34D-21AE2BEFEFB3}" name="MAY" totalsRowFunction="sum" dataDxfId="379" totalsRowDxfId="378"/>
    <tableColumn id="7" xr3:uid="{40D8D99F-EA9B-4BD2-B3A5-3807A6ACF323}" name="JUN" totalsRowFunction="sum" dataDxfId="377" totalsRowDxfId="376"/>
    <tableColumn id="8" xr3:uid="{8A3CA657-8B1F-4619-B498-DBCA86EBBA4C}" name="JUL" totalsRowFunction="sum" dataDxfId="375" totalsRowDxfId="374"/>
    <tableColumn id="9" xr3:uid="{F26A7486-A1C3-4C27-B560-95A032B707FA}" name="AUG" totalsRowFunction="sum" dataDxfId="373" totalsRowDxfId="372"/>
    <tableColumn id="10" xr3:uid="{524D6805-A90B-4A44-BB45-BD03ADC31F6E}" name="SEP" totalsRowFunction="sum" dataDxfId="371" totalsRowDxfId="370"/>
    <tableColumn id="11" xr3:uid="{5F122815-AE04-400E-A1BA-58CD597927F1}" name="OCT" totalsRowFunction="sum" dataDxfId="369" totalsRowDxfId="368"/>
    <tableColumn id="12" xr3:uid="{A7A79ACA-9CA9-4BF0-97A1-8B5CE7C30AF7}" name="NOV" totalsRowFunction="sum" dataDxfId="367" totalsRowDxfId="366"/>
    <tableColumn id="13" xr3:uid="{07152F09-752A-476D-8886-9A94243C442D}" name="DEC" totalsRowFunction="sum" dataDxfId="365" totalsRowDxfId="364"/>
    <tableColumn id="14" xr3:uid="{A81027A7-8C9B-4F51-8C5E-156A3EFC6C6A}" name="YEAR" totalsRowFunction="sum" dataDxfId="363" totalsRowDxfId="362">
      <calculatedColumnFormula>SUM(tblHome[[#This Row],[JAN]:[DEC]])</calculatedColumnFormula>
    </tableColumn>
    <tableColumn id="15" xr3:uid="{6ECCF767-E892-44CB-A8AE-AEF2FA2B06D9}" name=" " dataDxfId="361" totalsRowDxfId="360"/>
  </tableColumns>
  <tableStyleInfo name="Table Style 1" showFirstColumn="0" showLastColumn="0" showRowStripes="0" showColumnStripes="1"/>
  <extLst>
    <ext xmlns:x14="http://schemas.microsoft.com/office/spreadsheetml/2009/9/main" uri="{504A1905-F514-4f6f-8877-14C23A59335A}">
      <x14:table altText="Home Expenses" altTextSummary="Enter your home expenses for the year, separated by month."/>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FC38FF-AA9B-44B7-B84C-6A8BF4152623}" name="tblDaily" displayName="tblDaily" ref="B18:P23" totalsRowCount="1" headerRowDxfId="359" dataDxfId="358" totalsRowDxfId="357">
  <tableColumns count="15">
    <tableColumn id="1" xr3:uid="{75C018D8-DDB9-45DF-A398-31BC8209ACCD}" name="DAILY LIVING" totalsRowLabel="Total" dataDxfId="356" totalsRowDxfId="355"/>
    <tableColumn id="2" xr3:uid="{B4C8500A-3989-4B6B-8023-056AFF88D9E7}" name="JAN" totalsRowFunction="sum" dataDxfId="354" totalsRowDxfId="353"/>
    <tableColumn id="3" xr3:uid="{FE8FD530-B4B4-432B-AC72-9110228A0C8C}" name="FEB" totalsRowFunction="sum" dataDxfId="352" totalsRowDxfId="351"/>
    <tableColumn id="4" xr3:uid="{95FCEAE0-EF9B-4461-9D6C-A5E6638849C3}" name="MAR" totalsRowFunction="sum" dataDxfId="350" totalsRowDxfId="349"/>
    <tableColumn id="5" xr3:uid="{9CE80C5D-295C-4FF4-8F77-3FE8BBADD9AE}" name="APR" totalsRowFunction="sum" dataDxfId="348" totalsRowDxfId="347"/>
    <tableColumn id="6" xr3:uid="{D0B753C1-AF6C-4837-98A3-6FF79478BD5E}" name="MAY" totalsRowFunction="sum" dataDxfId="346" totalsRowDxfId="345"/>
    <tableColumn id="7" xr3:uid="{5F46B212-5CA8-49FF-986D-712D106C598C}" name="JUN" totalsRowFunction="sum" dataDxfId="344" totalsRowDxfId="343"/>
    <tableColumn id="8" xr3:uid="{6CDF5A50-3093-4E15-AB85-A06402C9350B}" name="JUL" totalsRowFunction="sum" dataDxfId="342" totalsRowDxfId="341"/>
    <tableColumn id="9" xr3:uid="{8111032E-F039-4B4F-A7B7-D86FF5B5A016}" name="AUG" totalsRowFunction="sum" dataDxfId="340" totalsRowDxfId="339"/>
    <tableColumn id="10" xr3:uid="{857C3756-8C1C-4D7E-BA20-AB45F2443EA3}" name="SEP" totalsRowFunction="sum" dataDxfId="338" totalsRowDxfId="337"/>
    <tableColumn id="11" xr3:uid="{F97A8828-3C8C-431E-898B-E4E915FE4C17}" name="OCT" totalsRowFunction="sum" dataDxfId="336" totalsRowDxfId="335"/>
    <tableColumn id="12" xr3:uid="{990D26F0-C18C-4E6D-998E-EAE179A0B5AD}" name="NOV" totalsRowFunction="sum" dataDxfId="334" totalsRowDxfId="333"/>
    <tableColumn id="13" xr3:uid="{A9ECA718-4ADE-4AB3-9E64-BD2F229A3F0A}" name="DEC" totalsRowFunction="sum" dataDxfId="332" totalsRowDxfId="331"/>
    <tableColumn id="14" xr3:uid="{C859B653-0876-4E33-B64D-5B1713F6F481}" name="YEAR" totalsRowFunction="sum" dataDxfId="330" totalsRowDxfId="329">
      <calculatedColumnFormula>SUM(tblDaily[[#This Row],[JAN]:[DEC]])</calculatedColumnFormula>
    </tableColumn>
    <tableColumn id="15" xr3:uid="{858579F2-AD54-4A9E-A1CC-D8610FB7436D}" name=" " dataDxfId="328" totalsRowDxfId="327"/>
  </tableColumns>
  <tableStyleInfo name="Table Style 1" showFirstColumn="0" showLastColumn="0" showRowStripes="0" showColumnStripes="1"/>
  <extLst>
    <ext xmlns:x14="http://schemas.microsoft.com/office/spreadsheetml/2009/9/main" uri="{504A1905-F514-4f6f-8877-14C23A59335A}">
      <x14:table altText="Daily Living Expenses" altTextSummary="Enter your daily living expenses for the year, separated by month."/>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B6789AD-24CF-4D4D-B897-9019E5E0494B}" name="tblTransportation" displayName="tblTransportation" ref="B25:P32" totalsRowCount="1" headerRowDxfId="326" dataDxfId="325" totalsRowDxfId="324">
  <tableColumns count="15">
    <tableColumn id="1" xr3:uid="{33BF6978-9688-49EE-ADA4-8C4207E07EB3}" name="TRANSPORTATION" totalsRowLabel="Total" dataDxfId="323" totalsRowDxfId="322"/>
    <tableColumn id="2" xr3:uid="{76793D8A-3E9D-42B3-B769-9A1685623919}" name="JAN" totalsRowFunction="sum" dataDxfId="321" totalsRowDxfId="320"/>
    <tableColumn id="3" xr3:uid="{EF735E97-F55C-4447-9CC0-9272935A2F9D}" name="FEB" totalsRowFunction="sum" dataDxfId="319" totalsRowDxfId="318"/>
    <tableColumn id="4" xr3:uid="{AF031AAF-2190-408C-A841-5F0322E5B8CB}" name="MAR" totalsRowFunction="sum" dataDxfId="317" totalsRowDxfId="316"/>
    <tableColumn id="5" xr3:uid="{D11440AD-3207-424C-86E1-5DBA45F9BA8F}" name="APR" totalsRowFunction="sum" dataDxfId="315" totalsRowDxfId="314"/>
    <tableColumn id="6" xr3:uid="{BB3EF85A-DE37-4EBE-BDD2-4938A339B80D}" name="MAY" totalsRowFunction="sum" dataDxfId="313" totalsRowDxfId="312"/>
    <tableColumn id="7" xr3:uid="{892B1374-C44A-4E7A-9B84-FF31CAA8C79D}" name="JUN" totalsRowFunction="sum" dataDxfId="311" totalsRowDxfId="310"/>
    <tableColumn id="8" xr3:uid="{73EC4A78-72A5-418A-891E-41E65219FE4B}" name="JUL" totalsRowFunction="sum" dataDxfId="309" totalsRowDxfId="308"/>
    <tableColumn id="9" xr3:uid="{CC57A86D-EB74-487C-8594-99E4DCF0FDE9}" name="AUG" totalsRowFunction="sum" dataDxfId="307" totalsRowDxfId="306"/>
    <tableColumn id="10" xr3:uid="{BB29D6DA-DCC3-496A-B4C7-C5A459ECD3D3}" name="SEP" totalsRowFunction="sum" dataDxfId="305" totalsRowDxfId="304"/>
    <tableColumn id="11" xr3:uid="{632A4EC3-D62E-4CF7-8BDF-261E5D458CB6}" name="OCT" totalsRowFunction="sum" dataDxfId="303" totalsRowDxfId="302"/>
    <tableColumn id="12" xr3:uid="{69BE0992-69B0-44F9-B9D9-EB7DD6E51DCC}" name="NOV" totalsRowFunction="sum" dataDxfId="301" totalsRowDxfId="300"/>
    <tableColumn id="13" xr3:uid="{660BB425-46D7-4F9C-80EF-F7E0AEBC80B5}" name="DEC" totalsRowFunction="sum" dataDxfId="299" totalsRowDxfId="298"/>
    <tableColumn id="14" xr3:uid="{95B117DA-8384-4E32-85B2-6B32D2D86678}" name="YEAR" totalsRowFunction="sum" dataDxfId="297" totalsRowDxfId="296">
      <calculatedColumnFormula>SUM(tblTransportation[[#This Row],[JAN]:[DEC]])</calculatedColumnFormula>
    </tableColumn>
    <tableColumn id="15" xr3:uid="{C054F6CE-4BBC-46D4-9A2E-1FAF23ABAFB8}" name=" " dataDxfId="295" totalsRowDxfId="294"/>
  </tableColumns>
  <tableStyleInfo name="Table Style 1" showFirstColumn="0" showLastColumn="0" showRowStripes="0" showColumnStripes="1"/>
  <extLst>
    <ext xmlns:x14="http://schemas.microsoft.com/office/spreadsheetml/2009/9/main" uri="{504A1905-F514-4f6f-8877-14C23A59335A}">
      <x14:table altText="Transportation expenses" altTextSummary="Enter your transportation expenses for the year, separated by month."/>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279C0D3-5589-4F24-A9C8-75D486315AE8}" name="tblEntertainment" displayName="tblEntertainment" ref="B34:P37" totalsRowCount="1" headerRowDxfId="293" dataDxfId="292" totalsRowDxfId="291">
  <tableColumns count="15">
    <tableColumn id="1" xr3:uid="{95F43A94-70A9-4B30-B81E-B84AA049060A}" name="ENTERTAINMENT" totalsRowLabel="Total" dataDxfId="290" totalsRowDxfId="289"/>
    <tableColumn id="2" xr3:uid="{7A5E7DB4-8A8D-49FE-92EA-2C3AEE6F06D7}" name="JAN" totalsRowFunction="sum" dataDxfId="288" totalsRowDxfId="287"/>
    <tableColumn id="3" xr3:uid="{E1494AD1-7BFA-49F4-80CA-0EA4BF335336}" name="FEB" totalsRowFunction="sum" dataDxfId="286" totalsRowDxfId="285"/>
    <tableColumn id="4" xr3:uid="{53030D5E-928B-48D1-8D5C-7F44DB0CA57E}" name="MAR" totalsRowFunction="sum" dataDxfId="284" totalsRowDxfId="283"/>
    <tableColumn id="5" xr3:uid="{BD21BD32-240F-4AF9-BBAF-AABD93BA5FEA}" name="APR" totalsRowFunction="sum" dataDxfId="282" totalsRowDxfId="281"/>
    <tableColumn id="6" xr3:uid="{47D1022F-58AE-45E2-92DE-FF99F18D672F}" name="MAY" totalsRowFunction="sum" dataDxfId="280" totalsRowDxfId="279"/>
    <tableColumn id="7" xr3:uid="{10065899-35C2-4D82-A3D5-0C5D1952E43A}" name="JUN" totalsRowFunction="sum" dataDxfId="278" totalsRowDxfId="277"/>
    <tableColumn id="8" xr3:uid="{28AC0EE5-22C7-4BA2-B04B-731B11014657}" name="JUL" totalsRowFunction="sum" dataDxfId="276" totalsRowDxfId="275"/>
    <tableColumn id="9" xr3:uid="{6DB68B3D-7077-4949-B14B-F80EF8C74AE8}" name="AUG" totalsRowFunction="sum" dataDxfId="274" totalsRowDxfId="273"/>
    <tableColumn id="10" xr3:uid="{28624BD8-597C-4ADD-8A70-D43DFA5328B3}" name="SEP" totalsRowFunction="sum" dataDxfId="272" totalsRowDxfId="271"/>
    <tableColumn id="11" xr3:uid="{D12C6C5A-C40F-44B4-9E10-1E7D75859C56}" name="OCT" totalsRowFunction="sum" dataDxfId="270" totalsRowDxfId="269"/>
    <tableColumn id="12" xr3:uid="{D934D59C-E8B5-456D-949A-7B9D08C3D9E7}" name="NOV" totalsRowFunction="sum" dataDxfId="268" totalsRowDxfId="267"/>
    <tableColumn id="13" xr3:uid="{8BCBA821-A7DA-487F-951F-9D7D537B7DD0}" name="DEC" totalsRowFunction="sum" dataDxfId="266" totalsRowDxfId="265"/>
    <tableColumn id="14" xr3:uid="{893126B7-CF32-42FE-A9DF-FBFF1A547527}" name="YEAR" totalsRowFunction="sum" dataDxfId="264" totalsRowDxfId="263">
      <calculatedColumnFormula>SUM(tblEntertainment[[#This Row],[JAN]:[DEC]])</calculatedColumnFormula>
    </tableColumn>
    <tableColumn id="15" xr3:uid="{6DCC1698-D462-4839-B72B-0AD3C4FC523F}" name=" " dataDxfId="262" totalsRowDxfId="261"/>
  </tableColumns>
  <tableStyleInfo name="Table Style 1" showFirstColumn="0" showLastColumn="0" showRowStripes="0" showColumnStripes="1"/>
  <extLst>
    <ext xmlns:x14="http://schemas.microsoft.com/office/spreadsheetml/2009/9/main" uri="{504A1905-F514-4f6f-8877-14C23A59335A}">
      <x14:table altText="Entertainment Expenses" altTextSummary="Enter your entertainment expenses for the year, separated by month."/>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7765E1E-A3AC-4E4E-88F6-11CABFB660F0}" name="tblHealth" displayName="tblHealth" ref="B39:P46" totalsRowCount="1" headerRowDxfId="260" dataDxfId="259" totalsRowDxfId="258">
  <tableColumns count="15">
    <tableColumn id="1" xr3:uid="{E986CAFB-63AF-4929-BE93-7E96BF696280}" name="HEALTH" totalsRowLabel="Total" dataDxfId="257" totalsRowDxfId="256"/>
    <tableColumn id="2" xr3:uid="{2DBEF2D5-92DF-4E0A-A7A0-4DED168DDD6B}" name="JAN" totalsRowFunction="sum" dataDxfId="255" totalsRowDxfId="254"/>
    <tableColumn id="3" xr3:uid="{5DB26159-A429-4A65-88CB-AAF8C8C165C0}" name="FEB" totalsRowFunction="sum" dataDxfId="253" totalsRowDxfId="252"/>
    <tableColumn id="4" xr3:uid="{FDC4E03B-9737-4D71-9828-408499E1B2EE}" name="MAR" totalsRowFunction="sum" dataDxfId="251" totalsRowDxfId="250"/>
    <tableColumn id="5" xr3:uid="{C4FCE9FE-E9F6-4875-A562-719B7CDEAF93}" name="APR" totalsRowFunction="sum" dataDxfId="249" totalsRowDxfId="248"/>
    <tableColumn id="6" xr3:uid="{F2B2E1B3-FD66-4150-BF76-DC511F07870F}" name="MAY" totalsRowFunction="sum" dataDxfId="247" totalsRowDxfId="246"/>
    <tableColumn id="7" xr3:uid="{C57F4093-D03E-4F99-A2DC-CA98A0B4884A}" name="JUN" totalsRowFunction="sum" dataDxfId="245" totalsRowDxfId="244"/>
    <tableColumn id="8" xr3:uid="{450A78DF-E577-41E5-9041-4FEE7AD42CF0}" name="JUL" totalsRowFunction="sum" dataDxfId="243" totalsRowDxfId="242"/>
    <tableColumn id="9" xr3:uid="{D96B929C-4257-4BE0-B7D8-962266204D8C}" name="AUG" totalsRowFunction="sum" dataDxfId="241" totalsRowDxfId="240"/>
    <tableColumn id="10" xr3:uid="{1B3A2105-4055-43C9-8451-39513879AE7A}" name="SEP" totalsRowFunction="sum" dataDxfId="239" totalsRowDxfId="238"/>
    <tableColumn id="11" xr3:uid="{CEBF5613-026A-4079-BC28-2972F31F1F35}" name="OCT" totalsRowFunction="sum" dataDxfId="237" totalsRowDxfId="236"/>
    <tableColumn id="12" xr3:uid="{74973AF3-216E-4C51-A6AC-394C3E2C6F14}" name="NOV" totalsRowFunction="sum" dataDxfId="235" totalsRowDxfId="234"/>
    <tableColumn id="13" xr3:uid="{6E8A08D0-B223-470E-B044-A4A847DB1375}" name="DEC" totalsRowFunction="sum" dataDxfId="233" totalsRowDxfId="232"/>
    <tableColumn id="14" xr3:uid="{C7C9167C-ABC4-4EBB-AD0D-4AB5F23C6A55}" name="YEAR" totalsRowFunction="sum" dataDxfId="231" totalsRowDxfId="230">
      <calculatedColumnFormula>SUM(tblHealth[[#This Row],[JAN]:[DEC]])</calculatedColumnFormula>
    </tableColumn>
    <tableColumn id="15" xr3:uid="{0C4B46C3-175B-45DE-8004-D7DD105DA865}" name=" " dataDxfId="229" totalsRowDxfId="228"/>
  </tableColumns>
  <tableStyleInfo name="Table Style 1" showFirstColumn="0" showLastColumn="0" showRowStripes="0" showColumnStripes="1"/>
  <extLst>
    <ext xmlns:x14="http://schemas.microsoft.com/office/spreadsheetml/2009/9/main" uri="{504A1905-F514-4f6f-8877-14C23A59335A}">
      <x14:table altText="Health Expenses" altTextSummary="Enter your health expenses for the year, separated by month."/>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D1E636-6FFE-4CE3-9AF1-488E5B85035A}" name="tblVacations" displayName="tblVacations" ref="B48:P54" totalsRowCount="1" headerRowDxfId="227" dataDxfId="226" totalsRowDxfId="225">
  <tableColumns count="15">
    <tableColumn id="1" xr3:uid="{3F1E517C-2A96-44F4-9907-B14767EEAE50}" name="VACATIONS" totalsRowLabel="Total" dataDxfId="224" totalsRowDxfId="223"/>
    <tableColumn id="2" xr3:uid="{188EBDE7-5C91-4D90-96FE-F297C298E5D3}" name="JAN" totalsRowFunction="sum" dataDxfId="222" totalsRowDxfId="221"/>
    <tableColumn id="3" xr3:uid="{AEE14316-ECE6-4488-AF6A-70C86FB122FA}" name="FEB" totalsRowFunction="sum" dataDxfId="220" totalsRowDxfId="219"/>
    <tableColumn id="4" xr3:uid="{BB896687-E3E0-45C1-BB22-87BC6F8EA930}" name="MAR" totalsRowFunction="sum" dataDxfId="218" totalsRowDxfId="217"/>
    <tableColumn id="5" xr3:uid="{BDA59807-CDBA-4F28-9402-B3E8A0A75A87}" name="APR" totalsRowFunction="sum" dataDxfId="216" totalsRowDxfId="215"/>
    <tableColumn id="6" xr3:uid="{E3CCC295-3A2F-400F-9B25-787B74EF958D}" name="MAY" totalsRowFunction="sum" dataDxfId="214" totalsRowDxfId="213"/>
    <tableColumn id="7" xr3:uid="{3362541D-5726-49A9-B4C8-402E9C63428A}" name="JUN" totalsRowFunction="sum" dataDxfId="212" totalsRowDxfId="211"/>
    <tableColumn id="8" xr3:uid="{46609FEE-36E7-41FC-B8DC-46D2635D7721}" name="JUL" totalsRowFunction="sum" dataDxfId="210" totalsRowDxfId="209"/>
    <tableColumn id="9" xr3:uid="{4930DC27-556C-4CB7-A8B1-A3EA0D7492E2}" name="AUG" totalsRowFunction="sum" dataDxfId="208" totalsRowDxfId="207"/>
    <tableColumn id="10" xr3:uid="{92F589EF-9B9A-4AC5-BBE1-B260150B1F8B}" name="SEP" totalsRowFunction="sum" dataDxfId="206" totalsRowDxfId="205"/>
    <tableColumn id="11" xr3:uid="{79B09267-1085-471B-A746-9993E151B6BE}" name="OCT" totalsRowFunction="sum" dataDxfId="204" totalsRowDxfId="203"/>
    <tableColumn id="12" xr3:uid="{C27A4E0B-4B1C-4C09-9B04-84195A70F932}" name="NOV" totalsRowFunction="sum" dataDxfId="202" totalsRowDxfId="201"/>
    <tableColumn id="13" xr3:uid="{4516F3E3-BD84-4FD9-8853-712628CB63E5}" name="DEC" totalsRowFunction="sum" dataDxfId="200" totalsRowDxfId="199"/>
    <tableColumn id="14" xr3:uid="{EA38ED56-2C13-4CAE-B7E1-1B2483BE582F}" name="YEAR" totalsRowFunction="sum" dataDxfId="198" totalsRowDxfId="197">
      <calculatedColumnFormula>SUM(tblVacations[[#This Row],[JAN]:[DEC]])</calculatedColumnFormula>
    </tableColumn>
    <tableColumn id="15" xr3:uid="{AA990369-E0AE-4C72-93F1-AEB977C8516A}" name=" " dataDxfId="196" totalsRowDxfId="195"/>
  </tableColumns>
  <tableStyleInfo name="Table Style 1" showFirstColumn="0" showLastColumn="0" showRowStripes="0" showColumnStripes="1"/>
  <extLst>
    <ext xmlns:x14="http://schemas.microsoft.com/office/spreadsheetml/2009/9/main" uri="{504A1905-F514-4f6f-8877-14C23A59335A}">
      <x14:table altText="Vacation Expenses" altTextSummary="Enter your vacation expenses for the year, separated by month."/>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9AE391A-B4E9-48E1-AB51-2487C30255E8}" name="tblRecreation" displayName="tblRecreation" ref="B56:P59" totalsRowCount="1" headerRowDxfId="194" dataDxfId="193" totalsRowDxfId="192">
  <tableColumns count="15">
    <tableColumn id="1" xr3:uid="{AE6D84C6-4ACF-4578-967E-9D7934632076}" name="RECREATION" totalsRowLabel="Total" dataDxfId="191" totalsRowDxfId="190"/>
    <tableColumn id="2" xr3:uid="{2EBC05DF-14FE-49C5-8A1E-75A6CDF00914}" name="JAN" totalsRowFunction="sum" dataDxfId="189" totalsRowDxfId="188"/>
    <tableColumn id="3" xr3:uid="{DF70AAF8-24F0-48FD-BA04-6552B1163AB2}" name="FEB" totalsRowFunction="sum" dataDxfId="187" totalsRowDxfId="186"/>
    <tableColumn id="4" xr3:uid="{055471CB-4F47-4C10-8858-CB8C4544D41C}" name="MAR" totalsRowFunction="sum" dataDxfId="185" totalsRowDxfId="184"/>
    <tableColumn id="5" xr3:uid="{CD3939BC-EA51-42C6-8AF1-DFB852B4EFBF}" name="APR" totalsRowFunction="sum" dataDxfId="183" totalsRowDxfId="182"/>
    <tableColumn id="6" xr3:uid="{9CAFC9F0-3F87-42F0-8647-12360F3F66FA}" name="MAY" totalsRowFunction="sum" dataDxfId="181" totalsRowDxfId="180"/>
    <tableColumn id="7" xr3:uid="{10CC4070-E47A-4C6A-92D5-80868CB55740}" name="JUN" totalsRowFunction="sum" dataDxfId="179" totalsRowDxfId="178"/>
    <tableColumn id="8" xr3:uid="{C9A7042B-68F7-49A5-9AC8-2D0E0B914D6B}" name="JUL" totalsRowFunction="sum" dataDxfId="177" totalsRowDxfId="176"/>
    <tableColumn id="9" xr3:uid="{261EB9F9-34F7-4DD2-8B59-E79B811575CD}" name="AUG" totalsRowFunction="sum" dataDxfId="175" totalsRowDxfId="174"/>
    <tableColumn id="10" xr3:uid="{5125BAFD-8474-4481-B0E5-4FE5CCB92F3F}" name="SEP" totalsRowFunction="sum" dataDxfId="173" totalsRowDxfId="172"/>
    <tableColumn id="11" xr3:uid="{352D3005-B571-4D00-B349-6B945FBAF129}" name="OCT" totalsRowFunction="sum" dataDxfId="171" totalsRowDxfId="170"/>
    <tableColumn id="12" xr3:uid="{334C5C40-475B-4690-9867-1DD56C8627FB}" name="NOV" totalsRowFunction="sum" dataDxfId="169" totalsRowDxfId="168"/>
    <tableColumn id="13" xr3:uid="{731E70B6-5798-4267-ABB2-09E7DED49FA6}" name="DEC" totalsRowFunction="sum" dataDxfId="167" totalsRowDxfId="166"/>
    <tableColumn id="14" xr3:uid="{3B645128-37D2-4B05-ABE3-00A70BB58044}" name="YEAR" totalsRowFunction="sum" dataDxfId="165" totalsRowDxfId="164">
      <calculatedColumnFormula>SUM(tblRecreation[[#This Row],[JAN]:[DEC]])</calculatedColumnFormula>
    </tableColumn>
    <tableColumn id="15" xr3:uid="{7C5C2C2E-03B5-4EE5-A6DC-8A6B816CA201}" name=" " dataDxfId="163" totalsRowDxfId="162"/>
  </tableColumns>
  <tableStyleInfo name="Table Style 1" showFirstColumn="0" showLastColumn="0" showRowStripes="0" showColumnStripes="1"/>
  <extLst>
    <ext xmlns:x14="http://schemas.microsoft.com/office/spreadsheetml/2009/9/main" uri="{504A1905-F514-4f6f-8877-14C23A59335A}">
      <x14:table altText="Recreation Expenses" altTextSummary="Enter your recreation expenses for the year, separated by month."/>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5CDC33C-6249-4231-A24E-591BD6CBC5A5}" name="tblDues" displayName="tblDues" ref="B61:P67" totalsRowCount="1" headerRowDxfId="161" dataDxfId="160" totalsRowDxfId="159">
  <tableColumns count="15">
    <tableColumn id="1" xr3:uid="{B2859666-1A78-4022-A117-B5969E072CB5}" name="DUES/SUBSCRIPTION" totalsRowLabel="Total" dataDxfId="158" totalsRowDxfId="157"/>
    <tableColumn id="2" xr3:uid="{04313DE8-BF85-440A-8BBF-DE49CA466778}" name="JAN" totalsRowFunction="sum" dataDxfId="156" totalsRowDxfId="155"/>
    <tableColumn id="3" xr3:uid="{BAC7F40C-C8C4-4C70-A6CD-B3C5195AF0D8}" name="FEB" totalsRowFunction="sum" dataDxfId="154" totalsRowDxfId="153"/>
    <tableColumn id="4" xr3:uid="{789033AA-9088-4BBB-820F-D6359E7C8B26}" name="MAR" totalsRowFunction="sum" dataDxfId="152" totalsRowDxfId="151"/>
    <tableColumn id="5" xr3:uid="{4E0B764B-9455-4371-A63D-0D4F7E149F6E}" name="APR" totalsRowFunction="sum" dataDxfId="150" totalsRowDxfId="149"/>
    <tableColumn id="6" xr3:uid="{76822CA8-6E85-4822-B5EF-45613035C3DC}" name="MAY" totalsRowFunction="sum" dataDxfId="148" totalsRowDxfId="147"/>
    <tableColumn id="7" xr3:uid="{CF1A0EBE-D9A9-4CC9-99DB-53742D170BA5}" name="JUN" totalsRowFunction="sum" dataDxfId="146" totalsRowDxfId="145"/>
    <tableColumn id="8" xr3:uid="{D4698D26-484F-4F9B-AEFD-77CA737008A6}" name="JUL" totalsRowFunction="sum" dataDxfId="144" totalsRowDxfId="143"/>
    <tableColumn id="9" xr3:uid="{33072D87-3076-4FAF-A406-967D46B7E96F}" name="AUG" totalsRowFunction="sum" dataDxfId="142" totalsRowDxfId="141"/>
    <tableColumn id="10" xr3:uid="{1B525403-8161-4B71-81EF-EC656FAFB643}" name="SEP" totalsRowFunction="sum" dataDxfId="140" totalsRowDxfId="139"/>
    <tableColumn id="11" xr3:uid="{B206104D-9123-46D4-8A3E-694DB1C0A748}" name="OCT" totalsRowFunction="sum" dataDxfId="138" totalsRowDxfId="137"/>
    <tableColumn id="12" xr3:uid="{98281AC3-ECE9-4E25-A9FF-D8F70995CFDB}" name="NOV" totalsRowFunction="sum" dataDxfId="136" totalsRowDxfId="135"/>
    <tableColumn id="13" xr3:uid="{75C8569B-8865-4F00-AF40-878553D5F057}" name="DEC" totalsRowFunction="sum" dataDxfId="134" totalsRowDxfId="133"/>
    <tableColumn id="14" xr3:uid="{06A1AF7E-F6C1-4B2E-9D9D-05422271BED5}" name="YEAR" totalsRowFunction="sum" dataDxfId="132" totalsRowDxfId="131">
      <calculatedColumnFormula>SUM(tblDues[[#This Row],[JAN]:[DEC]])</calculatedColumnFormula>
    </tableColumn>
    <tableColumn id="15" xr3:uid="{86AC50E0-F222-43C3-AD9C-96BA43FE0E32}" name=" " dataDxfId="130" totalsRowDxfId="129"/>
  </tableColumns>
  <tableStyleInfo name="Table Style 1" showFirstColumn="0" showLastColumn="0" showRowStripes="0" showColumnStripes="1"/>
  <extLst>
    <ext xmlns:x14="http://schemas.microsoft.com/office/spreadsheetml/2009/9/main" uri="{504A1905-F514-4f6f-8877-14C23A59335A}">
      <x14:table altText="Dues &amp; Subscription Expenses" altTextSummary="Enter your dues &amp; subscription expenses for the year, separated by month."/>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153D7-7110-4FFC-9F27-D5512C80D186}">
  <dimension ref="B2:O12"/>
  <sheetViews>
    <sheetView topLeftCell="I1" workbookViewId="0">
      <selection activeCell="Q12" sqref="Q12"/>
    </sheetView>
  </sheetViews>
  <sheetFormatPr defaultRowHeight="25.5"/>
  <cols>
    <col min="1" max="1" width="2.73046875" customWidth="1"/>
    <col min="2" max="3" width="6.86328125" style="1" customWidth="1"/>
    <col min="5" max="9" width="6.86328125" style="1" customWidth="1"/>
    <col min="10" max="10" width="7.796875" style="1" bestFit="1" customWidth="1"/>
    <col min="11" max="13" width="6.86328125" style="1" customWidth="1"/>
    <col min="14" max="14" width="6.6640625" style="1" customWidth="1"/>
    <col min="15" max="15" width="6.86328125" style="1" customWidth="1"/>
  </cols>
  <sheetData>
    <row r="2" spans="2:15" ht="21" customHeight="1">
      <c r="B2" s="87" t="s">
        <v>0</v>
      </c>
      <c r="C2" s="87" t="s">
        <v>192</v>
      </c>
      <c r="E2" s="87" t="s">
        <v>2</v>
      </c>
      <c r="F2" s="87" t="s">
        <v>3</v>
      </c>
      <c r="G2" s="87" t="s">
        <v>4</v>
      </c>
      <c r="H2" s="87" t="s">
        <v>5</v>
      </c>
      <c r="I2" s="87" t="s">
        <v>6</v>
      </c>
      <c r="J2" s="87" t="s">
        <v>7</v>
      </c>
      <c r="K2" s="87" t="s">
        <v>192</v>
      </c>
      <c r="L2" s="87" t="s">
        <v>2</v>
      </c>
      <c r="M2" s="87" t="s">
        <v>3</v>
      </c>
      <c r="N2" s="87" t="s">
        <v>4</v>
      </c>
      <c r="O2" s="87" t="s">
        <v>1</v>
      </c>
    </row>
    <row r="3" spans="2:15" ht="21" customHeight="1">
      <c r="B3" s="11">
        <v>1</v>
      </c>
      <c r="C3" s="11" t="s">
        <v>185</v>
      </c>
      <c r="E3" s="11">
        <v>93</v>
      </c>
      <c r="F3" s="11">
        <v>98</v>
      </c>
      <c r="G3" s="11">
        <v>82</v>
      </c>
      <c r="H3" s="11">
        <v>79</v>
      </c>
      <c r="I3" s="11">
        <f>E3+F3+G3+H3</f>
        <v>352</v>
      </c>
      <c r="J3" s="12">
        <f t="shared" ref="J3:J12" si="0">I3/O3</f>
        <v>1.1733333333333333</v>
      </c>
      <c r="K3" s="11" t="s">
        <v>185</v>
      </c>
      <c r="L3" s="11">
        <v>93</v>
      </c>
      <c r="M3" s="11">
        <v>98</v>
      </c>
      <c r="N3" s="11">
        <v>82</v>
      </c>
      <c r="O3" s="11">
        <v>300</v>
      </c>
    </row>
    <row r="4" spans="2:15" ht="21" customHeight="1">
      <c r="B4" s="11">
        <v>2</v>
      </c>
      <c r="C4" s="11" t="s">
        <v>183</v>
      </c>
      <c r="E4" s="11">
        <v>96</v>
      </c>
      <c r="F4" s="11">
        <v>97</v>
      </c>
      <c r="G4" s="11">
        <v>64</v>
      </c>
      <c r="H4" s="11">
        <v>80</v>
      </c>
      <c r="I4" s="11">
        <f t="shared" ref="I4:I12" si="1">E4+F4+G4+H4</f>
        <v>337</v>
      </c>
      <c r="J4" s="12">
        <f t="shared" si="0"/>
        <v>1.3480000000000001</v>
      </c>
      <c r="K4" s="11" t="s">
        <v>183</v>
      </c>
      <c r="L4" s="11">
        <v>96</v>
      </c>
      <c r="M4" s="11">
        <v>97</v>
      </c>
      <c r="N4" s="11">
        <v>64</v>
      </c>
      <c r="O4" s="11">
        <v>250</v>
      </c>
    </row>
    <row r="5" spans="2:15" ht="21" customHeight="1">
      <c r="B5" s="11">
        <v>3</v>
      </c>
      <c r="C5" s="11" t="s">
        <v>184</v>
      </c>
      <c r="E5" s="11">
        <v>78</v>
      </c>
      <c r="F5" s="11">
        <v>68</v>
      </c>
      <c r="G5" s="11">
        <v>76</v>
      </c>
      <c r="H5" s="11">
        <v>94</v>
      </c>
      <c r="I5" s="11">
        <f t="shared" si="1"/>
        <v>316</v>
      </c>
      <c r="J5" s="12">
        <f t="shared" si="0"/>
        <v>0.79</v>
      </c>
      <c r="K5" s="11" t="s">
        <v>184</v>
      </c>
      <c r="L5" s="11">
        <v>78</v>
      </c>
      <c r="M5" s="11">
        <v>68</v>
      </c>
      <c r="N5" s="11">
        <v>76</v>
      </c>
      <c r="O5" s="11">
        <v>400</v>
      </c>
    </row>
    <row r="6" spans="2:15" ht="21" customHeight="1">
      <c r="B6" s="11">
        <v>4</v>
      </c>
      <c r="C6" s="11" t="s">
        <v>186</v>
      </c>
      <c r="E6" s="11">
        <v>60</v>
      </c>
      <c r="F6" s="11">
        <v>79</v>
      </c>
      <c r="G6" s="11">
        <v>77</v>
      </c>
      <c r="H6" s="11">
        <v>89</v>
      </c>
      <c r="I6" s="11">
        <f t="shared" si="1"/>
        <v>305</v>
      </c>
      <c r="J6" s="12">
        <f t="shared" si="0"/>
        <v>1.3555555555555556</v>
      </c>
      <c r="K6" s="11" t="s">
        <v>186</v>
      </c>
      <c r="L6" s="11">
        <v>60</v>
      </c>
      <c r="M6" s="11">
        <v>79</v>
      </c>
      <c r="N6" s="11">
        <v>77</v>
      </c>
      <c r="O6" s="11">
        <v>225</v>
      </c>
    </row>
    <row r="7" spans="2:15" ht="21" customHeight="1">
      <c r="B7" s="11">
        <v>5</v>
      </c>
      <c r="C7" s="11" t="s">
        <v>187</v>
      </c>
      <c r="E7" s="11">
        <v>88</v>
      </c>
      <c r="F7" s="11">
        <v>90</v>
      </c>
      <c r="G7" s="11">
        <v>95</v>
      </c>
      <c r="H7" s="11">
        <v>81</v>
      </c>
      <c r="I7" s="11">
        <f t="shared" si="1"/>
        <v>354</v>
      </c>
      <c r="J7" s="12">
        <f t="shared" si="0"/>
        <v>0.84285714285714286</v>
      </c>
      <c r="K7" s="11" t="s">
        <v>187</v>
      </c>
      <c r="L7" s="11">
        <v>88</v>
      </c>
      <c r="M7" s="11">
        <v>90</v>
      </c>
      <c r="N7" s="11">
        <v>95</v>
      </c>
      <c r="O7" s="11">
        <v>420</v>
      </c>
    </row>
    <row r="8" spans="2:15" ht="21" customHeight="1">
      <c r="B8" s="11">
        <v>6</v>
      </c>
      <c r="C8" s="11" t="s">
        <v>188</v>
      </c>
      <c r="E8" s="11">
        <v>82</v>
      </c>
      <c r="F8" s="11">
        <v>64</v>
      </c>
      <c r="G8" s="11">
        <v>63</v>
      </c>
      <c r="H8" s="11">
        <v>72</v>
      </c>
      <c r="I8" s="11">
        <f t="shared" si="1"/>
        <v>281</v>
      </c>
      <c r="J8" s="12">
        <f t="shared" si="0"/>
        <v>1.0407407407407407</v>
      </c>
      <c r="K8" s="11" t="s">
        <v>188</v>
      </c>
      <c r="L8" s="11">
        <v>82</v>
      </c>
      <c r="M8" s="11">
        <v>64</v>
      </c>
      <c r="N8" s="11">
        <v>63</v>
      </c>
      <c r="O8" s="11">
        <v>270</v>
      </c>
    </row>
    <row r="9" spans="2:15" ht="21" customHeight="1">
      <c r="B9" s="11">
        <v>7</v>
      </c>
      <c r="C9" s="11" t="s">
        <v>193</v>
      </c>
      <c r="E9" s="11">
        <v>79</v>
      </c>
      <c r="F9" s="11">
        <v>65</v>
      </c>
      <c r="G9" s="11">
        <v>85</v>
      </c>
      <c r="H9" s="11">
        <v>78</v>
      </c>
      <c r="I9" s="11">
        <f t="shared" si="1"/>
        <v>307</v>
      </c>
      <c r="J9" s="12">
        <f t="shared" si="0"/>
        <v>0.80789473684210522</v>
      </c>
      <c r="K9" s="11" t="s">
        <v>193</v>
      </c>
      <c r="L9" s="11">
        <v>79</v>
      </c>
      <c r="M9" s="11">
        <v>65</v>
      </c>
      <c r="N9" s="11">
        <v>85</v>
      </c>
      <c r="O9" s="11">
        <v>380</v>
      </c>
    </row>
    <row r="10" spans="2:15" ht="21" customHeight="1">
      <c r="B10" s="11">
        <v>8</v>
      </c>
      <c r="C10" s="11" t="s">
        <v>189</v>
      </c>
      <c r="E10" s="11">
        <v>93</v>
      </c>
      <c r="F10" s="11">
        <v>92</v>
      </c>
      <c r="G10" s="11">
        <v>62</v>
      </c>
      <c r="H10" s="11">
        <v>84</v>
      </c>
      <c r="I10" s="11">
        <f t="shared" si="1"/>
        <v>331</v>
      </c>
      <c r="J10" s="12">
        <f t="shared" si="0"/>
        <v>1.034375</v>
      </c>
      <c r="K10" s="11" t="s">
        <v>189</v>
      </c>
      <c r="L10" s="11">
        <v>93</v>
      </c>
      <c r="M10" s="11">
        <v>92</v>
      </c>
      <c r="N10" s="11">
        <v>62</v>
      </c>
      <c r="O10" s="11">
        <v>320</v>
      </c>
    </row>
    <row r="11" spans="2:15" ht="21" customHeight="1">
      <c r="B11" s="11">
        <v>9</v>
      </c>
      <c r="C11" s="11" t="s">
        <v>190</v>
      </c>
      <c r="E11" s="11">
        <v>71</v>
      </c>
      <c r="F11" s="11">
        <v>74</v>
      </c>
      <c r="G11" s="11">
        <v>88</v>
      </c>
      <c r="H11" s="11">
        <v>78</v>
      </c>
      <c r="I11" s="11">
        <f t="shared" si="1"/>
        <v>311</v>
      </c>
      <c r="J11" s="12">
        <f t="shared" si="0"/>
        <v>1.244</v>
      </c>
      <c r="K11" s="11" t="s">
        <v>190</v>
      </c>
      <c r="L11" s="11">
        <v>71</v>
      </c>
      <c r="M11" s="11">
        <v>74</v>
      </c>
      <c r="N11" s="11">
        <v>88</v>
      </c>
      <c r="O11" s="11">
        <v>250</v>
      </c>
    </row>
    <row r="12" spans="2:15" ht="21" customHeight="1">
      <c r="B12" s="11">
        <v>10</v>
      </c>
      <c r="C12" s="11" t="s">
        <v>191</v>
      </c>
      <c r="E12" s="11">
        <v>98</v>
      </c>
      <c r="F12" s="11">
        <v>64</v>
      </c>
      <c r="G12" s="11">
        <v>97</v>
      </c>
      <c r="H12" s="11">
        <v>63</v>
      </c>
      <c r="I12" s="11">
        <f t="shared" si="1"/>
        <v>322</v>
      </c>
      <c r="J12" s="12">
        <f t="shared" si="0"/>
        <v>1.0062500000000001</v>
      </c>
      <c r="K12" s="11" t="s">
        <v>191</v>
      </c>
      <c r="L12" s="11">
        <v>98</v>
      </c>
      <c r="M12" s="11">
        <v>64</v>
      </c>
      <c r="N12" s="11">
        <v>97</v>
      </c>
      <c r="O12" s="11">
        <v>320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95FE-A318-4CC3-B1BC-FD5DCF46D3E0}">
  <dimension ref="B2:N13"/>
  <sheetViews>
    <sheetView topLeftCell="E1" zoomScale="112" zoomScaleNormal="112" workbookViewId="0">
      <selection activeCell="K8" sqref="K8"/>
    </sheetView>
  </sheetViews>
  <sheetFormatPr defaultRowHeight="25.5"/>
  <cols>
    <col min="1" max="1" width="2.73046875" customWidth="1"/>
    <col min="2" max="9" width="6.86328125" style="1" customWidth="1"/>
    <col min="10" max="10" width="7.796875" style="1" bestFit="1" customWidth="1"/>
    <col min="11" max="11" width="7.796875" style="1" customWidth="1"/>
  </cols>
  <sheetData>
    <row r="2" spans="2:14" ht="21" customHeight="1">
      <c r="B2" s="11" t="s">
        <v>0</v>
      </c>
      <c r="C2" s="11" t="s">
        <v>8</v>
      </c>
      <c r="D2" s="11" t="s">
        <v>1</v>
      </c>
      <c r="E2" s="11" t="s">
        <v>2</v>
      </c>
      <c r="F2" s="11" t="s">
        <v>3</v>
      </c>
      <c r="G2" s="11" t="s">
        <v>4</v>
      </c>
      <c r="H2" s="11" t="s">
        <v>5</v>
      </c>
      <c r="I2" s="11" t="s">
        <v>6</v>
      </c>
      <c r="J2" s="11" t="s">
        <v>7</v>
      </c>
      <c r="K2" s="11"/>
      <c r="M2" s="13" t="s">
        <v>20</v>
      </c>
      <c r="N2" s="13" t="s">
        <v>21</v>
      </c>
    </row>
    <row r="3" spans="2:14" ht="21" customHeight="1">
      <c r="B3" s="11">
        <v>1</v>
      </c>
      <c r="C3" s="11" t="s">
        <v>9</v>
      </c>
      <c r="D3" s="11">
        <v>300</v>
      </c>
      <c r="E3" s="11">
        <v>93</v>
      </c>
      <c r="F3" s="11">
        <v>98</v>
      </c>
      <c r="G3" s="11">
        <v>82</v>
      </c>
      <c r="H3" s="11">
        <v>79</v>
      </c>
      <c r="I3" s="11">
        <f t="shared" ref="I3:I12" si="0">E3+F3+G3+H3</f>
        <v>352</v>
      </c>
      <c r="J3" s="12">
        <f t="shared" ref="J3:J12" si="1">I3/D3</f>
        <v>1.1733333333333333</v>
      </c>
      <c r="K3" s="12"/>
      <c r="M3" s="13" t="s">
        <v>22</v>
      </c>
      <c r="N3" s="13" t="s">
        <v>23</v>
      </c>
    </row>
    <row r="4" spans="2:14" ht="21" customHeight="1">
      <c r="B4" s="11">
        <v>2</v>
      </c>
      <c r="C4" s="11" t="s">
        <v>10</v>
      </c>
      <c r="D4" s="11">
        <v>250</v>
      </c>
      <c r="E4" s="11">
        <v>96</v>
      </c>
      <c r="F4" s="11">
        <v>97</v>
      </c>
      <c r="G4" s="11">
        <v>64</v>
      </c>
      <c r="H4" s="11">
        <v>80</v>
      </c>
      <c r="I4" s="11">
        <f t="shared" si="0"/>
        <v>337</v>
      </c>
      <c r="J4" s="12">
        <f t="shared" si="1"/>
        <v>1.3480000000000001</v>
      </c>
      <c r="K4" s="12"/>
    </row>
    <row r="5" spans="2:14" ht="21" customHeight="1">
      <c r="B5" s="11">
        <v>3</v>
      </c>
      <c r="C5" s="11" t="s">
        <v>11</v>
      </c>
      <c r="D5" s="11">
        <v>400</v>
      </c>
      <c r="E5" s="11">
        <v>78</v>
      </c>
      <c r="F5" s="11">
        <v>68</v>
      </c>
      <c r="G5" s="11">
        <v>76</v>
      </c>
      <c r="H5" s="11">
        <v>94</v>
      </c>
      <c r="I5" s="11">
        <f t="shared" si="0"/>
        <v>316</v>
      </c>
      <c r="J5" s="12">
        <f t="shared" si="1"/>
        <v>0.79</v>
      </c>
      <c r="K5" s="12"/>
      <c r="M5" s="13" t="s">
        <v>24</v>
      </c>
      <c r="N5" s="13" t="s">
        <v>25</v>
      </c>
    </row>
    <row r="6" spans="2:14" ht="21" customHeight="1">
      <c r="B6" s="11">
        <v>4</v>
      </c>
      <c r="C6" s="11" t="s">
        <v>12</v>
      </c>
      <c r="D6" s="11">
        <v>225</v>
      </c>
      <c r="E6" s="11">
        <v>60</v>
      </c>
      <c r="F6" s="11">
        <v>79</v>
      </c>
      <c r="G6" s="11">
        <v>77</v>
      </c>
      <c r="H6" s="11">
        <v>89</v>
      </c>
      <c r="I6" s="11">
        <f t="shared" si="0"/>
        <v>305</v>
      </c>
      <c r="J6" s="12">
        <f t="shared" si="1"/>
        <v>1.3555555555555556</v>
      </c>
      <c r="K6" s="12"/>
      <c r="M6" s="13" t="s">
        <v>26</v>
      </c>
      <c r="N6" s="13" t="s">
        <v>27</v>
      </c>
    </row>
    <row r="7" spans="2:14" ht="21" customHeight="1">
      <c r="B7" s="11">
        <v>5</v>
      </c>
      <c r="C7" s="11" t="s">
        <v>13</v>
      </c>
      <c r="D7" s="11">
        <v>420</v>
      </c>
      <c r="E7" s="11">
        <v>88</v>
      </c>
      <c r="F7" s="11">
        <v>90</v>
      </c>
      <c r="G7" s="11">
        <v>95</v>
      </c>
      <c r="H7" s="11">
        <v>81</v>
      </c>
      <c r="I7" s="11">
        <f t="shared" si="0"/>
        <v>354</v>
      </c>
      <c r="J7" s="12">
        <f t="shared" si="1"/>
        <v>0.84285714285714286</v>
      </c>
      <c r="K7" s="12"/>
    </row>
    <row r="8" spans="2:14" ht="21" customHeight="1">
      <c r="B8" s="11">
        <v>6</v>
      </c>
      <c r="C8" s="11" t="s">
        <v>14</v>
      </c>
      <c r="D8" s="11">
        <v>270</v>
      </c>
      <c r="E8" s="11">
        <v>82</v>
      </c>
      <c r="F8" s="11">
        <v>64</v>
      </c>
      <c r="G8" s="11">
        <v>63</v>
      </c>
      <c r="H8" s="11">
        <v>72</v>
      </c>
      <c r="I8" s="11">
        <f t="shared" si="0"/>
        <v>281</v>
      </c>
      <c r="J8" s="12">
        <f t="shared" si="1"/>
        <v>1.0407407407407407</v>
      </c>
      <c r="K8" s="12"/>
    </row>
    <row r="9" spans="2:14" ht="21" customHeight="1">
      <c r="B9" s="11">
        <v>7</v>
      </c>
      <c r="C9" s="11" t="s">
        <v>15</v>
      </c>
      <c r="D9" s="11">
        <v>380</v>
      </c>
      <c r="E9" s="11">
        <v>79</v>
      </c>
      <c r="F9" s="11">
        <v>65</v>
      </c>
      <c r="G9" s="11">
        <v>85</v>
      </c>
      <c r="H9" s="11">
        <v>78</v>
      </c>
      <c r="I9" s="11">
        <f t="shared" si="0"/>
        <v>307</v>
      </c>
      <c r="J9" s="12">
        <f t="shared" si="1"/>
        <v>0.80789473684210522</v>
      </c>
      <c r="K9" s="12"/>
    </row>
    <row r="10" spans="2:14" ht="21" customHeight="1">
      <c r="B10" s="11">
        <v>8</v>
      </c>
      <c r="C10" s="11" t="s">
        <v>16</v>
      </c>
      <c r="D10" s="11">
        <v>320</v>
      </c>
      <c r="E10" s="11">
        <v>93</v>
      </c>
      <c r="F10" s="11">
        <v>92</v>
      </c>
      <c r="G10" s="11">
        <v>62</v>
      </c>
      <c r="H10" s="11">
        <v>84</v>
      </c>
      <c r="I10" s="11">
        <f t="shared" si="0"/>
        <v>331</v>
      </c>
      <c r="J10" s="12">
        <f t="shared" si="1"/>
        <v>1.034375</v>
      </c>
      <c r="K10" s="12"/>
    </row>
    <row r="11" spans="2:14" ht="21" customHeight="1">
      <c r="B11" s="11">
        <v>9</v>
      </c>
      <c r="C11" s="11" t="s">
        <v>17</v>
      </c>
      <c r="D11" s="11">
        <v>250</v>
      </c>
      <c r="E11" s="11">
        <v>71</v>
      </c>
      <c r="F11" s="11">
        <v>74</v>
      </c>
      <c r="G11" s="11">
        <v>88</v>
      </c>
      <c r="H11" s="11">
        <v>78</v>
      </c>
      <c r="I11" s="11">
        <f t="shared" si="0"/>
        <v>311</v>
      </c>
      <c r="J11" s="12">
        <f t="shared" si="1"/>
        <v>1.244</v>
      </c>
      <c r="K11" s="12"/>
    </row>
    <row r="12" spans="2:14" ht="21" customHeight="1">
      <c r="B12" s="11">
        <v>10</v>
      </c>
      <c r="C12" s="11" t="s">
        <v>18</v>
      </c>
      <c r="D12" s="11">
        <v>320</v>
      </c>
      <c r="E12" s="11">
        <v>98</v>
      </c>
      <c r="F12" s="11">
        <v>64</v>
      </c>
      <c r="G12" s="11">
        <v>97</v>
      </c>
      <c r="H12" s="11">
        <v>63</v>
      </c>
      <c r="I12" s="11">
        <f t="shared" si="0"/>
        <v>322</v>
      </c>
      <c r="J12" s="12">
        <f t="shared" si="1"/>
        <v>1.0062500000000001</v>
      </c>
      <c r="K12" s="12"/>
    </row>
    <row r="13" spans="2:14">
      <c r="I13" s="1">
        <f>SUM(I3:I12)</f>
        <v>3216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0B33F-B8D3-4EF3-8B49-8DEC2E648796}">
  <dimension ref="A1:K33"/>
  <sheetViews>
    <sheetView topLeftCell="C26" zoomScale="85" zoomScaleNormal="85" workbookViewId="0">
      <selection activeCell="J24" sqref="J24"/>
    </sheetView>
  </sheetViews>
  <sheetFormatPr defaultRowHeight="25.5"/>
  <cols>
    <col min="1" max="1" width="10.46484375" customWidth="1"/>
  </cols>
  <sheetData>
    <row r="1" spans="1:11" ht="27.75">
      <c r="A1" s="86" t="s">
        <v>241</v>
      </c>
    </row>
    <row r="2" spans="1:11" ht="27" thickBot="1">
      <c r="F2" s="98" t="s">
        <v>291</v>
      </c>
      <c r="G2" s="99" t="s">
        <v>29</v>
      </c>
      <c r="I2" t="s">
        <v>243</v>
      </c>
      <c r="K2" t="s">
        <v>245</v>
      </c>
    </row>
    <row r="3" spans="1:11" ht="26.25">
      <c r="A3" s="100"/>
      <c r="B3" s="101" t="s">
        <v>2</v>
      </c>
      <c r="C3" s="101" t="s">
        <v>3</v>
      </c>
      <c r="D3" s="101" t="s">
        <v>4</v>
      </c>
      <c r="E3" s="101" t="s">
        <v>5</v>
      </c>
      <c r="F3" s="102" t="s">
        <v>77</v>
      </c>
      <c r="G3" s="103" t="s">
        <v>197</v>
      </c>
      <c r="I3" t="s">
        <v>242</v>
      </c>
      <c r="K3" t="s">
        <v>244</v>
      </c>
    </row>
    <row r="4" spans="1:11" ht="26.25">
      <c r="A4" s="104" t="s">
        <v>194</v>
      </c>
      <c r="B4" s="74">
        <v>100</v>
      </c>
      <c r="C4" s="74">
        <v>200</v>
      </c>
      <c r="D4" s="74">
        <v>500</v>
      </c>
      <c r="E4" s="74">
        <v>300</v>
      </c>
      <c r="F4" s="124">
        <f>SUM(B4:E4)</f>
        <v>1100</v>
      </c>
      <c r="G4" s="122">
        <f>F4/$F$7</f>
        <v>0.4408817635270541</v>
      </c>
      <c r="I4" t="s">
        <v>19</v>
      </c>
    </row>
    <row r="5" spans="1:11" ht="26.25">
      <c r="A5" s="104" t="s">
        <v>195</v>
      </c>
      <c r="B5" s="74">
        <v>150</v>
      </c>
      <c r="C5" s="74">
        <v>250</v>
      </c>
      <c r="D5" s="74">
        <v>140</v>
      </c>
      <c r="E5" s="74">
        <v>90</v>
      </c>
      <c r="F5" s="124">
        <f t="shared" ref="F5:F6" si="0">SUM(B5:E5)</f>
        <v>630</v>
      </c>
      <c r="G5" s="122">
        <f t="shared" ref="G5:G6" si="1">F5/$F$7</f>
        <v>0.25250501002004005</v>
      </c>
    </row>
    <row r="6" spans="1:11" ht="26.25">
      <c r="A6" s="104" t="s">
        <v>196</v>
      </c>
      <c r="B6" s="74">
        <v>230</v>
      </c>
      <c r="C6" s="74">
        <v>350</v>
      </c>
      <c r="D6" s="74">
        <v>100</v>
      </c>
      <c r="E6" s="74">
        <v>85</v>
      </c>
      <c r="F6" s="124">
        <f t="shared" si="0"/>
        <v>765</v>
      </c>
      <c r="G6" s="122">
        <f t="shared" si="1"/>
        <v>0.30661322645290578</v>
      </c>
    </row>
    <row r="7" spans="1:11" ht="26.25" thickBot="1">
      <c r="A7" s="105"/>
      <c r="B7" s="106"/>
      <c r="C7" s="106"/>
      <c r="D7" s="106"/>
      <c r="E7" s="106"/>
      <c r="F7" s="125">
        <f>SUM(F4:F6)</f>
        <v>2495</v>
      </c>
      <c r="G7" s="107"/>
    </row>
    <row r="9" spans="1:11" ht="27" thickBot="1">
      <c r="F9" s="79" t="s">
        <v>291</v>
      </c>
      <c r="G9" s="81" t="s">
        <v>29</v>
      </c>
    </row>
    <row r="10" spans="1:11" ht="26.25">
      <c r="A10" s="75"/>
      <c r="B10" s="77" t="s">
        <v>2</v>
      </c>
      <c r="C10" s="77" t="s">
        <v>3</v>
      </c>
      <c r="D10" s="77" t="s">
        <v>4</v>
      </c>
      <c r="E10" s="77" t="s">
        <v>5</v>
      </c>
      <c r="F10" s="80" t="s">
        <v>77</v>
      </c>
      <c r="G10" s="82" t="s">
        <v>197</v>
      </c>
    </row>
    <row r="11" spans="1:11" ht="26.25">
      <c r="A11" s="78" t="s">
        <v>194</v>
      </c>
      <c r="B11" s="74">
        <v>100</v>
      </c>
      <c r="C11" s="74">
        <v>200</v>
      </c>
      <c r="D11" s="74">
        <v>500</v>
      </c>
      <c r="E11" s="74">
        <v>300</v>
      </c>
      <c r="F11" s="123">
        <f>SUM(B11:E11)</f>
        <v>1100</v>
      </c>
      <c r="G11" s="83">
        <f>F11/$F$14</f>
        <v>0.4408817635270541</v>
      </c>
    </row>
    <row r="12" spans="1:11" ht="26.25">
      <c r="A12" s="78" t="s">
        <v>195</v>
      </c>
      <c r="B12" s="74">
        <v>150</v>
      </c>
      <c r="C12" s="74">
        <v>250</v>
      </c>
      <c r="D12" s="74">
        <v>140</v>
      </c>
      <c r="E12" s="74">
        <v>90</v>
      </c>
      <c r="F12" s="123">
        <f t="shared" ref="F12:F13" si="2">SUM(B12:E12)</f>
        <v>630</v>
      </c>
      <c r="G12" s="83">
        <f t="shared" ref="G12:G13" si="3">F12/$F$14</f>
        <v>0.25250501002004005</v>
      </c>
    </row>
    <row r="13" spans="1:11" ht="26.25">
      <c r="A13" s="78" t="s">
        <v>196</v>
      </c>
      <c r="B13" s="74">
        <v>230</v>
      </c>
      <c r="C13" s="74">
        <v>350</v>
      </c>
      <c r="D13" s="74">
        <v>100</v>
      </c>
      <c r="E13" s="74">
        <v>85</v>
      </c>
      <c r="F13" s="123">
        <f t="shared" si="2"/>
        <v>765</v>
      </c>
      <c r="G13" s="83">
        <f t="shared" si="3"/>
        <v>0.30661322645290578</v>
      </c>
    </row>
    <row r="14" spans="1:11" ht="26.25" thickBot="1">
      <c r="A14" s="76"/>
      <c r="B14" s="84"/>
      <c r="C14" s="84"/>
      <c r="D14" s="84"/>
      <c r="E14" s="84"/>
      <c r="F14" s="123">
        <f>SUM(F11:F13)</f>
        <v>2495</v>
      </c>
      <c r="G14" s="85"/>
    </row>
    <row r="15" spans="1:11" ht="26.25" thickBot="1">
      <c r="B15" s="97"/>
      <c r="C15" s="97"/>
      <c r="D15" s="97"/>
      <c r="E15" s="97"/>
    </row>
    <row r="16" spans="1:11" ht="26.25" thickBot="1"/>
    <row r="17" spans="1:11">
      <c r="A17" s="14"/>
      <c r="B17" s="14"/>
      <c r="C17" s="14"/>
      <c r="D17" s="129" t="s">
        <v>28</v>
      </c>
      <c r="E17" s="129"/>
      <c r="F17" s="129"/>
      <c r="G17" s="15" t="s">
        <v>29</v>
      </c>
      <c r="H17" s="16"/>
      <c r="I17" s="90" t="s">
        <v>36</v>
      </c>
      <c r="J17" s="21">
        <v>0.1</v>
      </c>
      <c r="K17" s="14"/>
    </row>
    <row r="18" spans="1:11" ht="34.5">
      <c r="A18" s="17" t="s">
        <v>30</v>
      </c>
      <c r="B18" s="17" t="s">
        <v>31</v>
      </c>
      <c r="C18" s="17" t="s">
        <v>32</v>
      </c>
      <c r="D18" s="18" t="s">
        <v>33</v>
      </c>
      <c r="E18" s="18" t="s">
        <v>34</v>
      </c>
      <c r="F18" s="19" t="s">
        <v>35</v>
      </c>
      <c r="G18" s="20" t="s">
        <v>36</v>
      </c>
      <c r="H18" s="20" t="s">
        <v>37</v>
      </c>
    </row>
    <row r="19" spans="1:11">
      <c r="A19" s="22" t="s">
        <v>38</v>
      </c>
      <c r="B19" s="22" t="s">
        <v>39</v>
      </c>
      <c r="C19" s="22">
        <v>5</v>
      </c>
      <c r="D19" s="23">
        <v>34878</v>
      </c>
      <c r="E19" s="24">
        <v>5000</v>
      </c>
      <c r="F19" s="23">
        <f>D19+E19</f>
        <v>39878</v>
      </c>
      <c r="G19" s="91">
        <f>F19*$J$17</f>
        <v>3987.8</v>
      </c>
      <c r="H19" s="92">
        <f>F19+G19</f>
        <v>43865.8</v>
      </c>
      <c r="I19" s="14"/>
      <c r="J19" s="14"/>
      <c r="K19" s="14"/>
    </row>
    <row r="20" spans="1:11">
      <c r="A20" s="25" t="s">
        <v>40</v>
      </c>
      <c r="B20" s="25" t="s">
        <v>39</v>
      </c>
      <c r="C20" s="25">
        <v>14</v>
      </c>
      <c r="D20" s="26">
        <v>43525</v>
      </c>
      <c r="E20" s="27">
        <v>5000</v>
      </c>
      <c r="F20" s="23">
        <f t="shared" ref="F20:F33" si="4">D20+E20</f>
        <v>48525</v>
      </c>
      <c r="G20" s="91">
        <f t="shared" ref="G20:G33" si="5">F20*$J$17</f>
        <v>4852.5</v>
      </c>
      <c r="H20" s="92">
        <f t="shared" ref="H20:H33" si="6">F20+G20</f>
        <v>53377.5</v>
      </c>
      <c r="I20" s="14"/>
      <c r="J20" s="14"/>
      <c r="K20" s="14"/>
    </row>
    <row r="21" spans="1:11">
      <c r="A21" s="25" t="s">
        <v>41</v>
      </c>
      <c r="B21" s="25" t="s">
        <v>42</v>
      </c>
      <c r="C21" s="25">
        <v>6</v>
      </c>
      <c r="D21" s="26">
        <v>49784</v>
      </c>
      <c r="E21" s="27">
        <v>5000</v>
      </c>
      <c r="F21" s="23">
        <f t="shared" si="4"/>
        <v>54784</v>
      </c>
      <c r="G21" s="91">
        <f t="shared" si="5"/>
        <v>5478.4000000000005</v>
      </c>
      <c r="H21" s="92">
        <f t="shared" si="6"/>
        <v>60262.400000000001</v>
      </c>
      <c r="I21" s="14"/>
      <c r="J21" t="s">
        <v>245</v>
      </c>
    </row>
    <row r="22" spans="1:11">
      <c r="A22" s="25" t="s">
        <v>43</v>
      </c>
      <c r="B22" s="25" t="s">
        <v>44</v>
      </c>
      <c r="C22" s="25">
        <v>18</v>
      </c>
      <c r="D22" s="26">
        <v>36727</v>
      </c>
      <c r="E22" s="27">
        <v>5000</v>
      </c>
      <c r="F22" s="23">
        <f t="shared" si="4"/>
        <v>41727</v>
      </c>
      <c r="G22" s="91">
        <f t="shared" si="5"/>
        <v>4172.7</v>
      </c>
      <c r="H22" s="92">
        <f t="shared" si="6"/>
        <v>45899.7</v>
      </c>
      <c r="I22" s="14"/>
      <c r="J22" t="s">
        <v>244</v>
      </c>
    </row>
    <row r="23" spans="1:11">
      <c r="A23" s="25" t="s">
        <v>45</v>
      </c>
      <c r="B23" s="25" t="s">
        <v>39</v>
      </c>
      <c r="C23" s="25">
        <v>17</v>
      </c>
      <c r="D23" s="26">
        <v>44658</v>
      </c>
      <c r="E23" s="27">
        <v>5000</v>
      </c>
      <c r="F23" s="23">
        <f t="shared" si="4"/>
        <v>49658</v>
      </c>
      <c r="G23" s="91">
        <f t="shared" si="5"/>
        <v>4965.8</v>
      </c>
      <c r="H23" s="92">
        <f t="shared" si="6"/>
        <v>54623.8</v>
      </c>
      <c r="I23" s="14"/>
      <c r="J23" s="14"/>
      <c r="K23" s="14"/>
    </row>
    <row r="24" spans="1:11">
      <c r="A24" s="25" t="s">
        <v>46</v>
      </c>
      <c r="B24" s="25" t="s">
        <v>47</v>
      </c>
      <c r="C24" s="25">
        <v>13</v>
      </c>
      <c r="D24" s="26">
        <v>26191</v>
      </c>
      <c r="E24" s="27">
        <v>5000</v>
      </c>
      <c r="F24" s="23">
        <f t="shared" si="4"/>
        <v>31191</v>
      </c>
      <c r="G24" s="91">
        <f t="shared" si="5"/>
        <v>3119.1000000000004</v>
      </c>
      <c r="H24" s="92">
        <f t="shared" si="6"/>
        <v>34310.1</v>
      </c>
      <c r="I24" s="14"/>
      <c r="J24" s="14" t="s">
        <v>292</v>
      </c>
      <c r="K24" s="14"/>
    </row>
    <row r="25" spans="1:11">
      <c r="A25" s="25" t="s">
        <v>48</v>
      </c>
      <c r="B25" s="25" t="s">
        <v>49</v>
      </c>
      <c r="C25" s="25">
        <v>3</v>
      </c>
      <c r="D25" s="26">
        <v>63219</v>
      </c>
      <c r="E25" s="27">
        <v>5000</v>
      </c>
      <c r="F25" s="23">
        <f t="shared" si="4"/>
        <v>68219</v>
      </c>
      <c r="G25" s="91">
        <f t="shared" si="5"/>
        <v>6821.9000000000005</v>
      </c>
      <c r="H25" s="92">
        <f t="shared" si="6"/>
        <v>75040.899999999994</v>
      </c>
      <c r="I25" s="14"/>
      <c r="J25" s="14"/>
      <c r="K25" s="14"/>
    </row>
    <row r="26" spans="1:11">
      <c r="A26" s="25" t="s">
        <v>50</v>
      </c>
      <c r="B26" s="25" t="s">
        <v>39</v>
      </c>
      <c r="C26" s="25">
        <v>2</v>
      </c>
      <c r="D26" s="26">
        <v>65180</v>
      </c>
      <c r="E26" s="27">
        <v>5000</v>
      </c>
      <c r="F26" s="23">
        <f t="shared" si="4"/>
        <v>70180</v>
      </c>
      <c r="G26" s="91">
        <f t="shared" si="5"/>
        <v>7018</v>
      </c>
      <c r="H26" s="92">
        <f t="shared" si="6"/>
        <v>77198</v>
      </c>
      <c r="I26" s="14"/>
      <c r="J26" s="14"/>
      <c r="K26" s="14"/>
    </row>
    <row r="27" spans="1:11">
      <c r="A27" s="25" t="s">
        <v>51</v>
      </c>
      <c r="B27" s="25" t="s">
        <v>49</v>
      </c>
      <c r="C27" s="25">
        <v>12</v>
      </c>
      <c r="D27" s="26">
        <v>36115</v>
      </c>
      <c r="E27" s="27">
        <v>5000</v>
      </c>
      <c r="F27" s="23">
        <f t="shared" si="4"/>
        <v>41115</v>
      </c>
      <c r="G27" s="91">
        <f t="shared" si="5"/>
        <v>4111.5</v>
      </c>
      <c r="H27" s="92">
        <f t="shared" si="6"/>
        <v>45226.5</v>
      </c>
      <c r="I27" s="14"/>
      <c r="J27" s="14"/>
      <c r="K27" s="14"/>
    </row>
    <row r="28" spans="1:11">
      <c r="A28" s="25" t="s">
        <v>52</v>
      </c>
      <c r="B28" s="25" t="s">
        <v>47</v>
      </c>
      <c r="C28" s="25">
        <v>7</v>
      </c>
      <c r="D28" s="26">
        <v>36576</v>
      </c>
      <c r="E28" s="27">
        <v>5000</v>
      </c>
      <c r="F28" s="23">
        <f t="shared" si="4"/>
        <v>41576</v>
      </c>
      <c r="G28" s="91">
        <f t="shared" si="5"/>
        <v>4157.6000000000004</v>
      </c>
      <c r="H28" s="92">
        <f t="shared" si="6"/>
        <v>45733.599999999999</v>
      </c>
      <c r="I28" s="14"/>
      <c r="J28" s="14"/>
      <c r="K28" s="14"/>
    </row>
    <row r="29" spans="1:11">
      <c r="A29" s="25" t="s">
        <v>53</v>
      </c>
      <c r="B29" s="25" t="s">
        <v>42</v>
      </c>
      <c r="C29" s="25">
        <v>3</v>
      </c>
      <c r="D29" s="26">
        <v>46832</v>
      </c>
      <c r="E29" s="27">
        <v>5000</v>
      </c>
      <c r="F29" s="23">
        <f t="shared" si="4"/>
        <v>51832</v>
      </c>
      <c r="G29" s="91">
        <f t="shared" si="5"/>
        <v>5183.2000000000007</v>
      </c>
      <c r="H29" s="92">
        <f t="shared" si="6"/>
        <v>57015.199999999997</v>
      </c>
      <c r="I29" s="14"/>
      <c r="J29" s="14"/>
      <c r="K29" s="14"/>
    </row>
    <row r="30" spans="1:11">
      <c r="A30" s="25" t="s">
        <v>54</v>
      </c>
      <c r="B30" s="25" t="s">
        <v>49</v>
      </c>
      <c r="C30" s="25">
        <v>5</v>
      </c>
      <c r="D30" s="26">
        <v>55211</v>
      </c>
      <c r="E30" s="27">
        <v>5000</v>
      </c>
      <c r="F30" s="23">
        <f t="shared" si="4"/>
        <v>60211</v>
      </c>
      <c r="G30" s="91">
        <f t="shared" si="5"/>
        <v>6021.1</v>
      </c>
      <c r="H30" s="92">
        <f t="shared" si="6"/>
        <v>66232.100000000006</v>
      </c>
      <c r="I30" s="14"/>
      <c r="J30" s="14"/>
      <c r="K30" s="14"/>
    </row>
    <row r="31" spans="1:11">
      <c r="A31" s="25" t="s">
        <v>55</v>
      </c>
      <c r="B31" s="25" t="s">
        <v>39</v>
      </c>
      <c r="C31" s="25">
        <v>2</v>
      </c>
      <c r="D31" s="26">
        <v>39745</v>
      </c>
      <c r="E31" s="27">
        <v>5000</v>
      </c>
      <c r="F31" s="23">
        <f t="shared" si="4"/>
        <v>44745</v>
      </c>
      <c r="G31" s="91">
        <f t="shared" si="5"/>
        <v>4474.5</v>
      </c>
      <c r="H31" s="92">
        <f t="shared" si="6"/>
        <v>49219.5</v>
      </c>
      <c r="I31" s="14"/>
      <c r="J31" s="14"/>
      <c r="K31" s="14"/>
    </row>
    <row r="32" spans="1:11">
      <c r="A32" s="25" t="s">
        <v>56</v>
      </c>
      <c r="B32" s="25" t="s">
        <v>39</v>
      </c>
      <c r="C32" s="25">
        <v>16</v>
      </c>
      <c r="D32" s="26">
        <v>52100</v>
      </c>
      <c r="E32" s="27">
        <v>5000</v>
      </c>
      <c r="F32" s="23">
        <f t="shared" si="4"/>
        <v>57100</v>
      </c>
      <c r="G32" s="91">
        <f t="shared" si="5"/>
        <v>5710</v>
      </c>
      <c r="H32" s="92">
        <f t="shared" si="6"/>
        <v>62810</v>
      </c>
      <c r="I32" s="14"/>
      <c r="J32" s="14"/>
      <c r="K32" s="14"/>
    </row>
    <row r="33" spans="1:11">
      <c r="A33" s="25" t="s">
        <v>57</v>
      </c>
      <c r="B33" s="25" t="s">
        <v>42</v>
      </c>
      <c r="C33" s="25">
        <v>4</v>
      </c>
      <c r="D33" s="26">
        <v>40004</v>
      </c>
      <c r="E33" s="27">
        <v>5000</v>
      </c>
      <c r="F33" s="23">
        <f t="shared" si="4"/>
        <v>45004</v>
      </c>
      <c r="G33" s="91">
        <f t="shared" si="5"/>
        <v>4500.4000000000005</v>
      </c>
      <c r="H33" s="92">
        <f t="shared" si="6"/>
        <v>49504.4</v>
      </c>
      <c r="I33" s="14"/>
      <c r="J33" s="14"/>
      <c r="K33" s="14"/>
    </row>
  </sheetData>
  <mergeCells count="1">
    <mergeCell ref="D17:F17"/>
  </mergeCells>
  <phoneticPr fontId="2"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6449D-6733-4BCE-8F84-D94D5C1C5585}">
  <sheetPr>
    <tabColor theme="4"/>
    <pageSetUpPr autoPageBreaks="0" fitToPage="1"/>
  </sheetPr>
  <dimension ref="A1:P93"/>
  <sheetViews>
    <sheetView showGridLines="0" zoomScaleNormal="100" workbookViewId="0">
      <pane xSplit="2" ySplit="3" topLeftCell="C75" activePane="bottomRight" state="frozen"/>
      <selection pane="topRight" activeCell="C1" sqref="C1"/>
      <selection pane="bottomLeft" activeCell="A6" sqref="A6"/>
      <selection pane="bottomRight" activeCell="A5" sqref="A5"/>
    </sheetView>
  </sheetViews>
  <sheetFormatPr defaultColWidth="5.06640625" defaultRowHeight="21.95" customHeight="1"/>
  <cols>
    <col min="1" max="1" width="3.9296875" style="28" customWidth="1"/>
    <col min="2" max="2" width="18.19921875" style="31" bestFit="1" customWidth="1"/>
    <col min="3" max="3" width="8.19921875" style="30" bestFit="1" customWidth="1"/>
    <col min="4" max="5" width="8.265625" style="30" bestFit="1" customWidth="1"/>
    <col min="6" max="7" width="9.19921875" style="30" bestFit="1" customWidth="1"/>
    <col min="8" max="8" width="8.9296875" style="30" bestFit="1" customWidth="1"/>
    <col min="9" max="9" width="9.19921875" style="30" bestFit="1" customWidth="1"/>
    <col min="10" max="10" width="9.06640625" style="30" customWidth="1"/>
    <col min="11" max="14" width="8.9296875" style="30" bestFit="1" customWidth="1"/>
    <col min="15" max="15" width="10.06640625" style="30" bestFit="1" customWidth="1"/>
    <col min="16" max="16" width="9.06640625" style="31" customWidth="1"/>
    <col min="17" max="16384" width="5.06640625" style="32"/>
  </cols>
  <sheetData>
    <row r="1" spans="1:16" ht="20.100000000000001" customHeight="1">
      <c r="B1" s="71" t="s">
        <v>58</v>
      </c>
    </row>
    <row r="2" spans="1:16" s="37" customFormat="1" ht="30" customHeight="1">
      <c r="A2" s="33"/>
      <c r="B2" s="34" t="s">
        <v>59</v>
      </c>
      <c r="C2" s="35"/>
      <c r="D2" s="35"/>
      <c r="E2" s="35"/>
      <c r="F2" s="35"/>
      <c r="G2" s="35"/>
      <c r="H2" s="35"/>
      <c r="I2" s="35"/>
      <c r="J2" s="35"/>
      <c r="K2" s="35"/>
      <c r="L2" s="35"/>
      <c r="M2" s="35"/>
      <c r="N2" s="35"/>
      <c r="O2" s="35"/>
      <c r="P2" s="36"/>
    </row>
    <row r="3" spans="1:16" s="42" customFormat="1" ht="30" customHeight="1">
      <c r="A3" s="38"/>
      <c r="B3" s="39" t="s">
        <v>60</v>
      </c>
      <c r="C3" s="40" t="s">
        <v>61</v>
      </c>
      <c r="D3" s="40" t="s">
        <v>62</v>
      </c>
      <c r="E3" s="40" t="s">
        <v>63</v>
      </c>
      <c r="F3" s="40" t="s">
        <v>64</v>
      </c>
      <c r="G3" s="40" t="s">
        <v>65</v>
      </c>
      <c r="H3" s="40" t="s">
        <v>66</v>
      </c>
      <c r="I3" s="40" t="s">
        <v>67</v>
      </c>
      <c r="J3" s="40" t="s">
        <v>68</v>
      </c>
      <c r="K3" s="40" t="s">
        <v>69</v>
      </c>
      <c r="L3" s="40" t="s">
        <v>70</v>
      </c>
      <c r="M3" s="40" t="s">
        <v>71</v>
      </c>
      <c r="N3" s="40" t="s">
        <v>72</v>
      </c>
      <c r="O3" s="40" t="s">
        <v>73</v>
      </c>
      <c r="P3" s="41" t="s">
        <v>74</v>
      </c>
    </row>
    <row r="4" spans="1:16" s="42" customFormat="1" ht="22.15" customHeight="1">
      <c r="A4" s="38"/>
      <c r="B4" s="43" t="s">
        <v>33</v>
      </c>
      <c r="C4" s="44">
        <v>100000</v>
      </c>
      <c r="D4" s="44">
        <v>100000</v>
      </c>
      <c r="E4" s="44">
        <v>100000</v>
      </c>
      <c r="F4" s="44">
        <v>100000</v>
      </c>
      <c r="G4" s="44">
        <v>100000</v>
      </c>
      <c r="H4" s="44">
        <v>100000</v>
      </c>
      <c r="I4" s="44">
        <v>110000</v>
      </c>
      <c r="J4" s="44">
        <v>110000</v>
      </c>
      <c r="K4" s="44">
        <v>110000</v>
      </c>
      <c r="L4" s="44">
        <v>110000</v>
      </c>
      <c r="M4" s="44">
        <v>110000</v>
      </c>
      <c r="N4" s="44">
        <v>110000</v>
      </c>
      <c r="O4" s="44">
        <f>SUM(tblIncome[[#This Row],[JAN]:[DEC]])</f>
        <v>1260000</v>
      </c>
      <c r="P4" s="45"/>
    </row>
    <row r="5" spans="1:16" s="42" customFormat="1" ht="22.15" customHeight="1">
      <c r="A5" s="38"/>
      <c r="B5" s="43" t="s">
        <v>75</v>
      </c>
      <c r="C5" s="44">
        <v>0</v>
      </c>
      <c r="D5" s="44"/>
      <c r="E5" s="44"/>
      <c r="F5" s="44">
        <v>25000</v>
      </c>
      <c r="G5" s="44"/>
      <c r="H5" s="44">
        <v>25000</v>
      </c>
      <c r="I5" s="44"/>
      <c r="J5" s="44"/>
      <c r="K5" s="44">
        <v>15000</v>
      </c>
      <c r="L5" s="44"/>
      <c r="M5" s="44"/>
      <c r="N5" s="44"/>
      <c r="O5" s="44">
        <f>SUM(tblIncome[[#This Row],[JAN]:[DEC]])</f>
        <v>65000</v>
      </c>
      <c r="P5" s="45"/>
    </row>
    <row r="6" spans="1:16" s="42" customFormat="1" ht="22.15" customHeight="1">
      <c r="A6" s="38"/>
      <c r="B6" s="43" t="s">
        <v>76</v>
      </c>
      <c r="C6" s="44">
        <v>3000</v>
      </c>
      <c r="D6" s="44">
        <v>4000</v>
      </c>
      <c r="E6" s="44">
        <v>5000</v>
      </c>
      <c r="F6" s="44">
        <v>10000</v>
      </c>
      <c r="G6" s="44">
        <v>6000</v>
      </c>
      <c r="H6" s="44">
        <v>15000</v>
      </c>
      <c r="I6" s="44">
        <v>3000</v>
      </c>
      <c r="J6" s="44">
        <v>4000</v>
      </c>
      <c r="K6" s="44">
        <v>10000</v>
      </c>
      <c r="L6" s="44">
        <v>3000</v>
      </c>
      <c r="M6" s="44">
        <v>4000</v>
      </c>
      <c r="N6" s="44">
        <v>15000</v>
      </c>
      <c r="O6" s="44">
        <f>SUM(tblIncome[[#This Row],[JAN]:[DEC]])</f>
        <v>82000</v>
      </c>
      <c r="P6" s="45"/>
    </row>
    <row r="7" spans="1:16" s="42" customFormat="1" ht="22.15" customHeight="1">
      <c r="A7" s="38"/>
      <c r="B7" s="46" t="s">
        <v>77</v>
      </c>
      <c r="C7" s="47">
        <f>SUBTOTAL(109,tblIncome[JAN])</f>
        <v>103000</v>
      </c>
      <c r="D7" s="47">
        <f>SUBTOTAL(109,tblIncome[JAN])</f>
        <v>103000</v>
      </c>
      <c r="E7" s="47">
        <f>SUBTOTAL(109,tblIncome[JAN])</f>
        <v>103000</v>
      </c>
      <c r="F7" s="47">
        <f>SUBTOTAL(109,tblIncome[APR])</f>
        <v>135000</v>
      </c>
      <c r="G7" s="47">
        <f>SUBTOTAL(109,tblIncome[MAY])</f>
        <v>106000</v>
      </c>
      <c r="H7" s="47">
        <f>SUBTOTAL(109,tblIncome[JUN])</f>
        <v>140000</v>
      </c>
      <c r="I7" s="47">
        <f>SUBTOTAL(109,tblIncome[JUL])</f>
        <v>113000</v>
      </c>
      <c r="J7" s="47">
        <f>SUBTOTAL(109,tblIncome[AUG])</f>
        <v>114000</v>
      </c>
      <c r="K7" s="47">
        <f>SUBTOTAL(109,tblIncome[SEP])</f>
        <v>135000</v>
      </c>
      <c r="L7" s="47">
        <f>SUBTOTAL(109,tblIncome[OCT])</f>
        <v>113000</v>
      </c>
      <c r="M7" s="47">
        <f>SUBTOTAL(109,tblIncome[NOV])</f>
        <v>114000</v>
      </c>
      <c r="N7" s="47">
        <f>SUBTOTAL(109,tblIncome[DEC])</f>
        <v>125000</v>
      </c>
      <c r="O7" s="47">
        <f>SUBTOTAL(109,tblIncome[YEAR])</f>
        <v>1407000</v>
      </c>
      <c r="P7" s="48"/>
    </row>
    <row r="8" spans="1:16" ht="21.95" customHeight="1">
      <c r="B8" s="29"/>
      <c r="C8" s="49"/>
      <c r="D8" s="49"/>
      <c r="E8" s="49"/>
      <c r="F8" s="49"/>
      <c r="G8" s="49"/>
      <c r="H8" s="49"/>
      <c r="I8" s="49"/>
      <c r="J8" s="49"/>
      <c r="K8" s="49"/>
      <c r="L8" s="49"/>
      <c r="M8" s="49"/>
      <c r="N8" s="49"/>
      <c r="O8" s="49"/>
    </row>
    <row r="9" spans="1:16" s="51" customFormat="1" ht="30" customHeight="1">
      <c r="A9" s="50"/>
      <c r="B9" s="34" t="s">
        <v>78</v>
      </c>
      <c r="C9" s="35"/>
      <c r="D9" s="35"/>
      <c r="E9" s="35"/>
      <c r="F9" s="35"/>
      <c r="G9" s="35"/>
      <c r="H9" s="35"/>
      <c r="I9" s="35"/>
      <c r="J9" s="35"/>
      <c r="K9" s="35"/>
      <c r="L9" s="35"/>
      <c r="M9" s="35"/>
      <c r="N9" s="35"/>
      <c r="O9" s="35"/>
      <c r="P9" s="36"/>
    </row>
    <row r="10" spans="1:16" s="42" customFormat="1" ht="30" customHeight="1">
      <c r="A10" s="38"/>
      <c r="B10" s="39" t="s">
        <v>79</v>
      </c>
      <c r="C10" s="40" t="s">
        <v>61</v>
      </c>
      <c r="D10" s="40" t="s">
        <v>62</v>
      </c>
      <c r="E10" s="40" t="s">
        <v>63</v>
      </c>
      <c r="F10" s="40" t="s">
        <v>64</v>
      </c>
      <c r="G10" s="40" t="s">
        <v>65</v>
      </c>
      <c r="H10" s="40" t="s">
        <v>66</v>
      </c>
      <c r="I10" s="40" t="s">
        <v>67</v>
      </c>
      <c r="J10" s="40" t="s">
        <v>68</v>
      </c>
      <c r="K10" s="40" t="s">
        <v>69</v>
      </c>
      <c r="L10" s="40" t="s">
        <v>70</v>
      </c>
      <c r="M10" s="40" t="s">
        <v>71</v>
      </c>
      <c r="N10" s="40" t="s">
        <v>72</v>
      </c>
      <c r="O10" s="40" t="s">
        <v>73</v>
      </c>
      <c r="P10" s="41" t="s">
        <v>19</v>
      </c>
    </row>
    <row r="11" spans="1:16" s="42" customFormat="1" ht="22.15" customHeight="1">
      <c r="A11" s="38"/>
      <c r="B11" s="43" t="s">
        <v>80</v>
      </c>
      <c r="C11" s="44">
        <v>25000</v>
      </c>
      <c r="D11" s="44">
        <v>25000</v>
      </c>
      <c r="E11" s="44">
        <v>25000</v>
      </c>
      <c r="F11" s="44">
        <v>25000</v>
      </c>
      <c r="G11" s="44">
        <v>25000</v>
      </c>
      <c r="H11" s="44">
        <v>25000</v>
      </c>
      <c r="I11" s="44">
        <v>27000</v>
      </c>
      <c r="J11" s="44">
        <v>27000</v>
      </c>
      <c r="K11" s="44">
        <v>27000</v>
      </c>
      <c r="L11" s="44">
        <v>27000</v>
      </c>
      <c r="M11" s="44">
        <v>27000</v>
      </c>
      <c r="N11" s="44">
        <v>27000</v>
      </c>
      <c r="O11" s="44">
        <f>SUM(tblHome[[#This Row],[JAN]:[DEC]])</f>
        <v>312000</v>
      </c>
      <c r="P11" s="45"/>
    </row>
    <row r="12" spans="1:16" s="42" customFormat="1" ht="22.15" customHeight="1">
      <c r="A12" s="38"/>
      <c r="B12" s="43" t="s">
        <v>81</v>
      </c>
      <c r="C12" s="44">
        <v>500</v>
      </c>
      <c r="D12" s="44">
        <v>500</v>
      </c>
      <c r="E12" s="44">
        <v>500</v>
      </c>
      <c r="F12" s="44">
        <v>500</v>
      </c>
      <c r="G12" s="44">
        <v>500</v>
      </c>
      <c r="H12" s="44">
        <v>500</v>
      </c>
      <c r="I12" s="44">
        <v>600</v>
      </c>
      <c r="J12" s="44">
        <v>600</v>
      </c>
      <c r="K12" s="44">
        <v>600</v>
      </c>
      <c r="L12" s="44">
        <v>600</v>
      </c>
      <c r="M12" s="44">
        <v>600</v>
      </c>
      <c r="N12" s="44">
        <v>600</v>
      </c>
      <c r="O12" s="44">
        <f>SUM(tblHome[[#This Row],[JAN]:[DEC]])</f>
        <v>6600</v>
      </c>
      <c r="P12" s="45"/>
    </row>
    <row r="13" spans="1:16" s="42" customFormat="1" ht="22.15" customHeight="1">
      <c r="A13" s="38"/>
      <c r="B13" s="43" t="s">
        <v>82</v>
      </c>
      <c r="C13" s="44">
        <v>1200</v>
      </c>
      <c r="D13" s="44">
        <v>1300</v>
      </c>
      <c r="E13" s="44">
        <v>2000</v>
      </c>
      <c r="F13" s="44">
        <v>2500</v>
      </c>
      <c r="G13" s="44">
        <v>3000</v>
      </c>
      <c r="H13" s="44">
        <v>3500</v>
      </c>
      <c r="I13" s="44">
        <v>3000</v>
      </c>
      <c r="J13" s="44">
        <v>3200</v>
      </c>
      <c r="K13" s="44">
        <v>2500</v>
      </c>
      <c r="L13" s="44">
        <v>2000</v>
      </c>
      <c r="M13" s="44">
        <v>1500</v>
      </c>
      <c r="N13" s="44">
        <v>1200</v>
      </c>
      <c r="O13" s="44">
        <f>SUM(tblHome[[#This Row],[JAN]:[DEC]])</f>
        <v>26900</v>
      </c>
      <c r="P13" s="45"/>
    </row>
    <row r="14" spans="1:16" s="42" customFormat="1" ht="22.15" customHeight="1">
      <c r="A14" s="38"/>
      <c r="B14" s="43" t="s">
        <v>83</v>
      </c>
      <c r="C14" s="44">
        <v>1200</v>
      </c>
      <c r="D14" s="44">
        <v>1000</v>
      </c>
      <c r="E14" s="44">
        <v>1200</v>
      </c>
      <c r="F14" s="44">
        <v>1000</v>
      </c>
      <c r="G14" s="44">
        <v>1200</v>
      </c>
      <c r="H14" s="44">
        <v>1500</v>
      </c>
      <c r="I14" s="44">
        <v>1500</v>
      </c>
      <c r="J14" s="44">
        <v>1000</v>
      </c>
      <c r="K14" s="44">
        <v>900</v>
      </c>
      <c r="L14" s="44">
        <v>1200</v>
      </c>
      <c r="M14" s="44">
        <v>1000</v>
      </c>
      <c r="N14" s="44">
        <v>1500</v>
      </c>
      <c r="O14" s="44">
        <f>SUM(tblHome[[#This Row],[JAN]:[DEC]])</f>
        <v>14200</v>
      </c>
      <c r="P14" s="45"/>
    </row>
    <row r="15" spans="1:16" s="42" customFormat="1" ht="22.15" customHeight="1">
      <c r="A15" s="52"/>
      <c r="B15" s="43" t="s">
        <v>84</v>
      </c>
      <c r="C15" s="44">
        <v>4500</v>
      </c>
      <c r="D15" s="44">
        <v>4500</v>
      </c>
      <c r="E15" s="44">
        <v>5000</v>
      </c>
      <c r="F15" s="44">
        <v>5000</v>
      </c>
      <c r="G15" s="44">
        <v>5000</v>
      </c>
      <c r="H15" s="44">
        <v>5000</v>
      </c>
      <c r="I15" s="44">
        <v>5000</v>
      </c>
      <c r="J15" s="44">
        <v>5000</v>
      </c>
      <c r="K15" s="44">
        <v>5000</v>
      </c>
      <c r="L15" s="44">
        <v>5000</v>
      </c>
      <c r="M15" s="44">
        <v>5000</v>
      </c>
      <c r="N15" s="44">
        <v>5000</v>
      </c>
      <c r="O15" s="44">
        <f>SUM(tblHome[[#This Row],[JAN]:[DEC]])</f>
        <v>59000</v>
      </c>
      <c r="P15" s="45"/>
    </row>
    <row r="16" spans="1:16" ht="22.15" customHeight="1">
      <c r="B16" s="53" t="s">
        <v>77</v>
      </c>
      <c r="C16" s="54">
        <f>SUBTOTAL(109,tblHome[JAN])</f>
        <v>32400</v>
      </c>
      <c r="D16" s="54">
        <f>SUBTOTAL(109,tblHome[FEB])</f>
        <v>32300</v>
      </c>
      <c r="E16" s="54">
        <f>SUBTOTAL(109,tblHome[MAR])</f>
        <v>33700</v>
      </c>
      <c r="F16" s="54">
        <f>SUBTOTAL(109,tblHome[APR])</f>
        <v>34000</v>
      </c>
      <c r="G16" s="54">
        <f>SUBTOTAL(109,tblHome[MAY])</f>
        <v>34700</v>
      </c>
      <c r="H16" s="54">
        <f>SUBTOTAL(109,tblHome[JUN])</f>
        <v>35500</v>
      </c>
      <c r="I16" s="54">
        <f>SUBTOTAL(109,tblHome[JUL])</f>
        <v>37100</v>
      </c>
      <c r="J16" s="54">
        <f>SUBTOTAL(109,tblHome[AUG])</f>
        <v>36800</v>
      </c>
      <c r="K16" s="54">
        <f>SUBTOTAL(109,tblHome[SEP])</f>
        <v>36000</v>
      </c>
      <c r="L16" s="54">
        <f>SUBTOTAL(109,tblHome[OCT])</f>
        <v>35800</v>
      </c>
      <c r="M16" s="54">
        <f>SUBTOTAL(109,tblHome[NOV])</f>
        <v>35100</v>
      </c>
      <c r="N16" s="54">
        <f>SUBTOTAL(109,tblHome[DEC])</f>
        <v>35300</v>
      </c>
      <c r="O16" s="54">
        <f>SUBTOTAL(109,tblHome[YEAR])</f>
        <v>418700</v>
      </c>
      <c r="P16" s="48"/>
    </row>
    <row r="17" spans="1:16" s="56" customFormat="1" ht="21.95" customHeight="1">
      <c r="A17" s="55"/>
      <c r="B17" s="29"/>
      <c r="C17" s="49"/>
      <c r="D17" s="49"/>
      <c r="E17" s="49"/>
      <c r="F17" s="49"/>
      <c r="G17" s="49"/>
      <c r="H17" s="49"/>
      <c r="I17" s="49"/>
      <c r="J17" s="49"/>
      <c r="K17" s="49"/>
      <c r="L17" s="49"/>
      <c r="M17" s="49"/>
      <c r="N17" s="49"/>
      <c r="O17" s="49"/>
      <c r="P17" s="31"/>
    </row>
    <row r="18" spans="1:16" s="42" customFormat="1" ht="30" customHeight="1">
      <c r="A18" s="38"/>
      <c r="B18" s="39" t="s">
        <v>85</v>
      </c>
      <c r="C18" s="40" t="s">
        <v>61</v>
      </c>
      <c r="D18" s="40" t="s">
        <v>62</v>
      </c>
      <c r="E18" s="40" t="s">
        <v>63</v>
      </c>
      <c r="F18" s="40" t="s">
        <v>64</v>
      </c>
      <c r="G18" s="40" t="s">
        <v>65</v>
      </c>
      <c r="H18" s="40" t="s">
        <v>66</v>
      </c>
      <c r="I18" s="40" t="s">
        <v>67</v>
      </c>
      <c r="J18" s="40" t="s">
        <v>68</v>
      </c>
      <c r="K18" s="40" t="s">
        <v>69</v>
      </c>
      <c r="L18" s="40" t="s">
        <v>70</v>
      </c>
      <c r="M18" s="40" t="s">
        <v>71</v>
      </c>
      <c r="N18" s="40" t="s">
        <v>72</v>
      </c>
      <c r="O18" s="40" t="s">
        <v>73</v>
      </c>
      <c r="P18" s="41" t="s">
        <v>19</v>
      </c>
    </row>
    <row r="19" spans="1:16" s="42" customFormat="1" ht="22.15" customHeight="1">
      <c r="A19" s="38"/>
      <c r="B19" s="43" t="s">
        <v>86</v>
      </c>
      <c r="C19" s="44">
        <v>30000</v>
      </c>
      <c r="D19" s="44">
        <v>30000</v>
      </c>
      <c r="E19" s="44">
        <v>30000</v>
      </c>
      <c r="F19" s="44">
        <v>45000</v>
      </c>
      <c r="G19" s="44">
        <v>30000</v>
      </c>
      <c r="H19" s="44">
        <v>30000</v>
      </c>
      <c r="I19" s="44">
        <v>35000</v>
      </c>
      <c r="J19" s="44">
        <v>30000</v>
      </c>
      <c r="K19" s="44">
        <v>30000</v>
      </c>
      <c r="L19" s="44">
        <v>30000</v>
      </c>
      <c r="M19" s="44">
        <v>30000</v>
      </c>
      <c r="N19" s="44">
        <v>30000</v>
      </c>
      <c r="O19" s="44">
        <f>SUM(tblDaily[[#This Row],[JAN]:[DEC]])</f>
        <v>380000</v>
      </c>
      <c r="P19" s="45"/>
    </row>
    <row r="20" spans="1:16" s="42" customFormat="1" ht="22.15" customHeight="1">
      <c r="A20" s="38"/>
      <c r="B20" s="43" t="s">
        <v>87</v>
      </c>
      <c r="C20" s="44"/>
      <c r="D20" s="44"/>
      <c r="E20" s="44"/>
      <c r="F20" s="44"/>
      <c r="G20" s="44"/>
      <c r="H20" s="44"/>
      <c r="I20" s="44"/>
      <c r="J20" s="44"/>
      <c r="K20" s="44"/>
      <c r="L20" s="44"/>
      <c r="M20" s="44"/>
      <c r="N20" s="44"/>
      <c r="O20" s="44">
        <f>SUM(tblDaily[[#This Row],[JAN]:[DEC]])</f>
        <v>0</v>
      </c>
      <c r="P20" s="45"/>
    </row>
    <row r="21" spans="1:16" s="42" customFormat="1" ht="22.15" customHeight="1">
      <c r="A21" s="38"/>
      <c r="B21" s="43" t="s">
        <v>88</v>
      </c>
      <c r="C21" s="44">
        <v>1000</v>
      </c>
      <c r="D21" s="44">
        <v>900</v>
      </c>
      <c r="E21" s="44">
        <v>800</v>
      </c>
      <c r="F21" s="44">
        <v>1000</v>
      </c>
      <c r="G21" s="44">
        <v>700</v>
      </c>
      <c r="H21" s="44">
        <v>800</v>
      </c>
      <c r="I21" s="44">
        <v>3000</v>
      </c>
      <c r="J21" s="44">
        <v>1000</v>
      </c>
      <c r="K21" s="44">
        <v>2000</v>
      </c>
      <c r="L21" s="44">
        <v>600</v>
      </c>
      <c r="M21" s="44">
        <v>600</v>
      </c>
      <c r="N21" s="44">
        <v>700</v>
      </c>
      <c r="O21" s="44">
        <f>SUM(tblDaily[[#This Row],[JAN]:[DEC]])</f>
        <v>13100</v>
      </c>
      <c r="P21" s="45"/>
    </row>
    <row r="22" spans="1:16" s="42" customFormat="1" ht="22.15" customHeight="1">
      <c r="A22" s="38"/>
      <c r="B22" s="43" t="s">
        <v>89</v>
      </c>
      <c r="C22" s="44">
        <v>2000</v>
      </c>
      <c r="D22" s="44">
        <v>1500</v>
      </c>
      <c r="E22" s="44">
        <v>1200</v>
      </c>
      <c r="F22" s="44">
        <v>0</v>
      </c>
      <c r="G22" s="44">
        <v>1200</v>
      </c>
      <c r="H22" s="44">
        <v>1500</v>
      </c>
      <c r="I22" s="44">
        <v>2000</v>
      </c>
      <c r="J22" s="44">
        <v>1500</v>
      </c>
      <c r="K22" s="44">
        <v>2000</v>
      </c>
      <c r="L22" s="44">
        <v>1500</v>
      </c>
      <c r="M22" s="44">
        <v>2000</v>
      </c>
      <c r="N22" s="44">
        <v>1500</v>
      </c>
      <c r="O22" s="44">
        <f>SUM(tblDaily[[#This Row],[JAN]:[DEC]])</f>
        <v>17900</v>
      </c>
      <c r="P22" s="45"/>
    </row>
    <row r="23" spans="1:16" s="56" customFormat="1" ht="22.15" customHeight="1">
      <c r="A23" s="55"/>
      <c r="B23" s="43" t="s">
        <v>77</v>
      </c>
      <c r="C23" s="44">
        <f>SUBTOTAL(109,tblDaily[JAN])</f>
        <v>33000</v>
      </c>
      <c r="D23" s="44">
        <f>SUBTOTAL(109,tblDaily[FEB])</f>
        <v>32400</v>
      </c>
      <c r="E23" s="44">
        <f>SUBTOTAL(109,tblDaily[MAR])</f>
        <v>32000</v>
      </c>
      <c r="F23" s="44">
        <f>SUBTOTAL(109,tblDaily[APR])</f>
        <v>46000</v>
      </c>
      <c r="G23" s="44">
        <f>SUBTOTAL(109,tblDaily[MAY])</f>
        <v>31900</v>
      </c>
      <c r="H23" s="44">
        <f>SUBTOTAL(109,tblDaily[JUN])</f>
        <v>32300</v>
      </c>
      <c r="I23" s="44">
        <f>SUBTOTAL(109,tblDaily[JUL])</f>
        <v>40000</v>
      </c>
      <c r="J23" s="44">
        <f>SUBTOTAL(109,tblDaily[AUG])</f>
        <v>32500</v>
      </c>
      <c r="K23" s="44">
        <f>SUBTOTAL(109,tblDaily[SEP])</f>
        <v>34000</v>
      </c>
      <c r="L23" s="44">
        <f>SUBTOTAL(109,tblDaily[OCT])</f>
        <v>32100</v>
      </c>
      <c r="M23" s="44">
        <f>SUBTOTAL(109,tblDaily[NOV])</f>
        <v>32600</v>
      </c>
      <c r="N23" s="44">
        <f>SUBTOTAL(109,tblDaily[DEC])</f>
        <v>32200</v>
      </c>
      <c r="O23" s="44">
        <f>SUBTOTAL(109,tblDaily[YEAR])</f>
        <v>411000</v>
      </c>
      <c r="P23" s="48"/>
    </row>
    <row r="24" spans="1:16" s="42" customFormat="1" ht="21.95" customHeight="1">
      <c r="A24" s="38"/>
      <c r="B24" s="52"/>
      <c r="C24" s="57"/>
      <c r="D24" s="57"/>
      <c r="E24" s="57"/>
      <c r="F24" s="57"/>
      <c r="G24" s="57"/>
      <c r="H24" s="57"/>
      <c r="I24" s="57"/>
      <c r="J24" s="57"/>
      <c r="K24" s="57"/>
      <c r="L24" s="57"/>
      <c r="M24" s="57"/>
      <c r="N24" s="57"/>
      <c r="O24" s="57"/>
      <c r="P24" s="52"/>
    </row>
    <row r="25" spans="1:16" s="42" customFormat="1" ht="30" customHeight="1">
      <c r="A25" s="38"/>
      <c r="B25" s="39" t="s">
        <v>90</v>
      </c>
      <c r="C25" s="40" t="s">
        <v>61</v>
      </c>
      <c r="D25" s="40" t="s">
        <v>62</v>
      </c>
      <c r="E25" s="40" t="s">
        <v>63</v>
      </c>
      <c r="F25" s="40" t="s">
        <v>64</v>
      </c>
      <c r="G25" s="40" t="s">
        <v>65</v>
      </c>
      <c r="H25" s="40" t="s">
        <v>66</v>
      </c>
      <c r="I25" s="40" t="s">
        <v>67</v>
      </c>
      <c r="J25" s="40" t="s">
        <v>68</v>
      </c>
      <c r="K25" s="40" t="s">
        <v>69</v>
      </c>
      <c r="L25" s="40" t="s">
        <v>70</v>
      </c>
      <c r="M25" s="40" t="s">
        <v>71</v>
      </c>
      <c r="N25" s="40" t="s">
        <v>72</v>
      </c>
      <c r="O25" s="40" t="s">
        <v>73</v>
      </c>
      <c r="P25" s="41" t="s">
        <v>19</v>
      </c>
    </row>
    <row r="26" spans="1:16" s="42" customFormat="1" ht="22.15" customHeight="1">
      <c r="A26" s="38"/>
      <c r="B26" s="43" t="s">
        <v>91</v>
      </c>
      <c r="C26" s="44">
        <v>15000</v>
      </c>
      <c r="D26" s="44">
        <v>15000</v>
      </c>
      <c r="E26" s="44">
        <v>15000</v>
      </c>
      <c r="F26" s="44">
        <v>15000</v>
      </c>
      <c r="G26" s="44">
        <v>15000</v>
      </c>
      <c r="H26" s="44">
        <v>15000</v>
      </c>
      <c r="I26" s="44">
        <v>15000</v>
      </c>
      <c r="J26" s="44">
        <v>15000</v>
      </c>
      <c r="K26" s="44">
        <v>15000</v>
      </c>
      <c r="L26" s="44">
        <v>15000</v>
      </c>
      <c r="M26" s="44">
        <v>15000</v>
      </c>
      <c r="N26" s="44">
        <v>15000</v>
      </c>
      <c r="O26" s="44">
        <f>SUM(tblTransportation[[#This Row],[JAN]:[DEC]])</f>
        <v>180000</v>
      </c>
      <c r="P26" s="45"/>
    </row>
    <row r="27" spans="1:16" s="42" customFormat="1" ht="22.15" customHeight="1">
      <c r="A27" s="38"/>
      <c r="B27" s="43" t="s">
        <v>92</v>
      </c>
      <c r="C27" s="44">
        <v>165</v>
      </c>
      <c r="D27" s="44">
        <v>165</v>
      </c>
      <c r="E27" s="44">
        <v>165</v>
      </c>
      <c r="F27" s="44">
        <v>165</v>
      </c>
      <c r="G27" s="44">
        <v>165</v>
      </c>
      <c r="H27" s="44">
        <v>165</v>
      </c>
      <c r="I27" s="44">
        <v>165</v>
      </c>
      <c r="J27" s="44">
        <v>165</v>
      </c>
      <c r="K27" s="44">
        <v>165</v>
      </c>
      <c r="L27" s="44">
        <v>165</v>
      </c>
      <c r="M27" s="44">
        <v>165</v>
      </c>
      <c r="N27" s="44">
        <v>165</v>
      </c>
      <c r="O27" s="44">
        <f>SUM(tblTransportation[[#This Row],[JAN]:[DEC]])</f>
        <v>1980</v>
      </c>
      <c r="P27" s="45"/>
    </row>
    <row r="28" spans="1:16" s="42" customFormat="1" ht="22.15" customHeight="1">
      <c r="A28" s="52"/>
      <c r="B28" s="43" t="s">
        <v>93</v>
      </c>
      <c r="C28" s="44">
        <v>5000</v>
      </c>
      <c r="D28" s="44">
        <v>5000</v>
      </c>
      <c r="E28" s="44">
        <v>5000</v>
      </c>
      <c r="F28" s="44">
        <v>5000</v>
      </c>
      <c r="G28" s="44">
        <v>5000</v>
      </c>
      <c r="H28" s="44">
        <v>5000</v>
      </c>
      <c r="I28" s="44">
        <v>5000</v>
      </c>
      <c r="J28" s="44">
        <v>5000</v>
      </c>
      <c r="K28" s="44">
        <v>5000</v>
      </c>
      <c r="L28" s="44">
        <v>5000</v>
      </c>
      <c r="M28" s="44">
        <v>5000</v>
      </c>
      <c r="N28" s="44">
        <v>5000</v>
      </c>
      <c r="O28" s="44">
        <f>SUM(tblTransportation[[#This Row],[JAN]:[DEC]])</f>
        <v>60000</v>
      </c>
      <c r="P28" s="45"/>
    </row>
    <row r="29" spans="1:16" s="42" customFormat="1" ht="22.15" customHeight="1">
      <c r="A29" s="38"/>
      <c r="B29" s="43" t="s">
        <v>94</v>
      </c>
      <c r="C29" s="44">
        <v>1000</v>
      </c>
      <c r="D29" s="44">
        <v>1000</v>
      </c>
      <c r="E29" s="44">
        <v>1000</v>
      </c>
      <c r="F29" s="44">
        <v>1000</v>
      </c>
      <c r="G29" s="44">
        <v>1000</v>
      </c>
      <c r="H29" s="44">
        <v>1000</v>
      </c>
      <c r="I29" s="44">
        <v>1000</v>
      </c>
      <c r="J29" s="44">
        <v>1000</v>
      </c>
      <c r="K29" s="44">
        <v>1000</v>
      </c>
      <c r="L29" s="44">
        <v>1000</v>
      </c>
      <c r="M29" s="44">
        <v>1000</v>
      </c>
      <c r="N29" s="44">
        <v>1000</v>
      </c>
      <c r="O29" s="44">
        <f>SUM(tblTransportation[[#This Row],[JAN]:[DEC]])</f>
        <v>12000</v>
      </c>
      <c r="P29" s="45"/>
    </row>
    <row r="30" spans="1:16" s="42" customFormat="1" ht="22.15" customHeight="1">
      <c r="A30" s="38"/>
      <c r="B30" s="43" t="s">
        <v>95</v>
      </c>
      <c r="C30" s="44">
        <v>300</v>
      </c>
      <c r="D30" s="44"/>
      <c r="E30" s="44">
        <v>400</v>
      </c>
      <c r="F30" s="44">
        <v>500</v>
      </c>
      <c r="G30" s="44"/>
      <c r="H30" s="44">
        <v>600</v>
      </c>
      <c r="I30" s="44"/>
      <c r="J30" s="44"/>
      <c r="K30" s="44"/>
      <c r="L30" s="44"/>
      <c r="M30" s="44"/>
      <c r="N30" s="44"/>
      <c r="O30" s="44">
        <f>SUM(tblTransportation[[#This Row],[JAN]:[DEC]])</f>
        <v>1800</v>
      </c>
      <c r="P30" s="45"/>
    </row>
    <row r="31" spans="1:16" ht="22.15" customHeight="1">
      <c r="B31" s="43" t="s">
        <v>96</v>
      </c>
      <c r="C31" s="44">
        <v>2000</v>
      </c>
      <c r="D31" s="44">
        <v>2000</v>
      </c>
      <c r="E31" s="44">
        <v>3000</v>
      </c>
      <c r="F31" s="44">
        <v>2000</v>
      </c>
      <c r="G31" s="44">
        <v>40000</v>
      </c>
      <c r="H31" s="44">
        <v>2000</v>
      </c>
      <c r="I31" s="44">
        <v>3000</v>
      </c>
      <c r="J31" s="44">
        <v>2000</v>
      </c>
      <c r="K31" s="44">
        <v>2500</v>
      </c>
      <c r="L31" s="44">
        <v>2000</v>
      </c>
      <c r="M31" s="44">
        <v>2300</v>
      </c>
      <c r="N31" s="44">
        <v>2000</v>
      </c>
      <c r="O31" s="44">
        <f>SUM(tblTransportation[[#This Row],[JAN]:[DEC]])</f>
        <v>64800</v>
      </c>
      <c r="P31" s="45"/>
    </row>
    <row r="32" spans="1:16" s="56" customFormat="1" ht="22.15" customHeight="1">
      <c r="A32" s="55"/>
      <c r="B32" s="43" t="s">
        <v>77</v>
      </c>
      <c r="C32" s="44">
        <f>SUBTOTAL(109,tblTransportation[JAN])</f>
        <v>23465</v>
      </c>
      <c r="D32" s="44">
        <f>SUBTOTAL(109,tblTransportation[FEB])</f>
        <v>23165</v>
      </c>
      <c r="E32" s="44">
        <f>SUBTOTAL(109,tblTransportation[MAR])</f>
        <v>24565</v>
      </c>
      <c r="F32" s="44">
        <f>SUBTOTAL(109,tblTransportation[APR])</f>
        <v>23665</v>
      </c>
      <c r="G32" s="44">
        <f>SUBTOTAL(109,tblTransportation[MAY])</f>
        <v>61165</v>
      </c>
      <c r="H32" s="44">
        <f>SUBTOTAL(109,tblTransportation[JUN])</f>
        <v>23765</v>
      </c>
      <c r="I32" s="44">
        <f>SUBTOTAL(109,tblTransportation[JUL])</f>
        <v>24165</v>
      </c>
      <c r="J32" s="44">
        <f>SUBTOTAL(109,tblTransportation[AUG])</f>
        <v>23165</v>
      </c>
      <c r="K32" s="44">
        <f>SUBTOTAL(109,tblTransportation[SEP])</f>
        <v>23665</v>
      </c>
      <c r="L32" s="44">
        <f>SUBTOTAL(109,tblTransportation[OCT])</f>
        <v>23165</v>
      </c>
      <c r="M32" s="44">
        <f>SUBTOTAL(109,tblTransportation[NOV])</f>
        <v>23465</v>
      </c>
      <c r="N32" s="44">
        <f>SUBTOTAL(109,tblTransportation[DEC])</f>
        <v>23165</v>
      </c>
      <c r="O32" s="44">
        <f>SUBTOTAL(109,tblTransportation[YEAR])</f>
        <v>320580</v>
      </c>
      <c r="P32" s="48"/>
    </row>
    <row r="33" spans="1:16" s="42" customFormat="1" ht="21.95" customHeight="1">
      <c r="A33" s="38"/>
      <c r="B33" s="52"/>
      <c r="C33" s="57"/>
      <c r="D33" s="57"/>
      <c r="E33" s="57"/>
      <c r="F33" s="57"/>
      <c r="G33" s="57"/>
      <c r="H33" s="57"/>
      <c r="I33" s="57"/>
      <c r="J33" s="57"/>
      <c r="K33" s="57"/>
      <c r="L33" s="57"/>
      <c r="M33" s="57"/>
      <c r="N33" s="57"/>
      <c r="O33" s="57"/>
      <c r="P33" s="52"/>
    </row>
    <row r="34" spans="1:16" s="42" customFormat="1" ht="30" customHeight="1">
      <c r="A34" s="38"/>
      <c r="B34" s="39" t="s">
        <v>97</v>
      </c>
      <c r="C34" s="40" t="s">
        <v>61</v>
      </c>
      <c r="D34" s="40" t="s">
        <v>62</v>
      </c>
      <c r="E34" s="40" t="s">
        <v>63</v>
      </c>
      <c r="F34" s="40" t="s">
        <v>64</v>
      </c>
      <c r="G34" s="40" t="s">
        <v>65</v>
      </c>
      <c r="H34" s="40" t="s">
        <v>66</v>
      </c>
      <c r="I34" s="40" t="s">
        <v>67</v>
      </c>
      <c r="J34" s="40" t="s">
        <v>68</v>
      </c>
      <c r="K34" s="40" t="s">
        <v>69</v>
      </c>
      <c r="L34" s="40" t="s">
        <v>70</v>
      </c>
      <c r="M34" s="40" t="s">
        <v>71</v>
      </c>
      <c r="N34" s="40" t="s">
        <v>72</v>
      </c>
      <c r="O34" s="40" t="s">
        <v>73</v>
      </c>
      <c r="P34" s="41" t="s">
        <v>19</v>
      </c>
    </row>
    <row r="35" spans="1:16" s="42" customFormat="1" ht="22.15" customHeight="1">
      <c r="A35" s="38"/>
      <c r="B35" s="43" t="s">
        <v>98</v>
      </c>
      <c r="C35" s="44">
        <v>500</v>
      </c>
      <c r="D35" s="44">
        <v>500</v>
      </c>
      <c r="E35" s="44">
        <v>500</v>
      </c>
      <c r="F35" s="44">
        <v>500</v>
      </c>
      <c r="G35" s="44">
        <v>500</v>
      </c>
      <c r="H35" s="44">
        <v>500</v>
      </c>
      <c r="I35" s="44">
        <v>500</v>
      </c>
      <c r="J35" s="44">
        <v>500</v>
      </c>
      <c r="K35" s="44">
        <v>500</v>
      </c>
      <c r="L35" s="44">
        <v>500</v>
      </c>
      <c r="M35" s="44">
        <v>500</v>
      </c>
      <c r="N35" s="44">
        <v>500</v>
      </c>
      <c r="O35" s="44">
        <f>SUM(tblEntertainment[[#This Row],[JAN]:[DEC]])</f>
        <v>6000</v>
      </c>
      <c r="P35" s="45"/>
    </row>
    <row r="36" spans="1:16" ht="22.15" customHeight="1">
      <c r="B36" s="43" t="s">
        <v>99</v>
      </c>
      <c r="C36" s="44"/>
      <c r="D36" s="44"/>
      <c r="E36" s="44"/>
      <c r="F36" s="44"/>
      <c r="G36" s="44"/>
      <c r="H36" s="44"/>
      <c r="I36" s="44"/>
      <c r="J36" s="44"/>
      <c r="K36" s="44"/>
      <c r="L36" s="44"/>
      <c r="M36" s="44"/>
      <c r="N36" s="44"/>
      <c r="O36" s="44">
        <f>SUM(tblEntertainment[[#This Row],[JAN]:[DEC]])</f>
        <v>0</v>
      </c>
      <c r="P36" s="45"/>
    </row>
    <row r="37" spans="1:16" s="56" customFormat="1" ht="22.15" customHeight="1">
      <c r="A37" s="55"/>
      <c r="B37" s="43" t="s">
        <v>77</v>
      </c>
      <c r="C37" s="44">
        <f>SUBTOTAL(109,tblEntertainment[JAN])</f>
        <v>500</v>
      </c>
      <c r="D37" s="44">
        <f>SUBTOTAL(109,tblEntertainment[FEB])</f>
        <v>500</v>
      </c>
      <c r="E37" s="44">
        <f>SUBTOTAL(109,tblEntertainment[MAR])</f>
        <v>500</v>
      </c>
      <c r="F37" s="44">
        <f>SUBTOTAL(109,tblEntertainment[APR])</f>
        <v>500</v>
      </c>
      <c r="G37" s="44">
        <f>SUBTOTAL(109,tblEntertainment[MAY])</f>
        <v>500</v>
      </c>
      <c r="H37" s="44">
        <f>SUBTOTAL(109,tblEntertainment[JUN])</f>
        <v>500</v>
      </c>
      <c r="I37" s="44">
        <f>SUBTOTAL(109,tblEntertainment[JUL])</f>
        <v>500</v>
      </c>
      <c r="J37" s="44">
        <f>SUBTOTAL(109,tblEntertainment[AUG])</f>
        <v>500</v>
      </c>
      <c r="K37" s="44">
        <f>SUBTOTAL(109,tblEntertainment[SEP])</f>
        <v>500</v>
      </c>
      <c r="L37" s="44">
        <f>SUBTOTAL(109,tblEntertainment[OCT])</f>
        <v>500</v>
      </c>
      <c r="M37" s="44">
        <f>SUBTOTAL(109,tblEntertainment[NOV])</f>
        <v>500</v>
      </c>
      <c r="N37" s="44">
        <f>SUBTOTAL(109,tblEntertainment[DEC])</f>
        <v>500</v>
      </c>
      <c r="O37" s="44">
        <f>SUBTOTAL(109,tblEntertainment[YEAR])</f>
        <v>6000</v>
      </c>
      <c r="P37" s="48"/>
    </row>
    <row r="38" spans="1:16" s="42" customFormat="1" ht="21.95" customHeight="1">
      <c r="A38" s="38"/>
      <c r="B38" s="52"/>
      <c r="C38" s="57"/>
      <c r="D38" s="57"/>
      <c r="E38" s="57"/>
      <c r="F38" s="57"/>
      <c r="G38" s="57"/>
      <c r="H38" s="57"/>
      <c r="I38" s="57"/>
      <c r="J38" s="57"/>
      <c r="K38" s="57"/>
      <c r="L38" s="57"/>
      <c r="M38" s="57"/>
      <c r="N38" s="57"/>
      <c r="O38" s="57"/>
      <c r="P38" s="52"/>
    </row>
    <row r="39" spans="1:16" s="42" customFormat="1" ht="30" customHeight="1">
      <c r="A39" s="38"/>
      <c r="B39" s="39" t="s">
        <v>100</v>
      </c>
      <c r="C39" s="40" t="s">
        <v>61</v>
      </c>
      <c r="D39" s="40" t="s">
        <v>62</v>
      </c>
      <c r="E39" s="40" t="s">
        <v>63</v>
      </c>
      <c r="F39" s="40" t="s">
        <v>64</v>
      </c>
      <c r="G39" s="40" t="s">
        <v>65</v>
      </c>
      <c r="H39" s="40" t="s">
        <v>66</v>
      </c>
      <c r="I39" s="40" t="s">
        <v>67</v>
      </c>
      <c r="J39" s="40" t="s">
        <v>68</v>
      </c>
      <c r="K39" s="40" t="s">
        <v>69</v>
      </c>
      <c r="L39" s="40" t="s">
        <v>70</v>
      </c>
      <c r="M39" s="40" t="s">
        <v>71</v>
      </c>
      <c r="N39" s="40" t="s">
        <v>72</v>
      </c>
      <c r="O39" s="40" t="s">
        <v>73</v>
      </c>
      <c r="P39" s="41" t="s">
        <v>19</v>
      </c>
    </row>
    <row r="40" spans="1:16" s="42" customFormat="1" ht="22.15" customHeight="1">
      <c r="A40" s="38"/>
      <c r="B40" s="43" t="s">
        <v>101</v>
      </c>
      <c r="C40" s="44">
        <v>2000</v>
      </c>
      <c r="D40" s="44">
        <v>1500</v>
      </c>
      <c r="E40" s="44">
        <v>2000</v>
      </c>
      <c r="F40" s="44">
        <v>2000</v>
      </c>
      <c r="G40" s="44">
        <v>2000</v>
      </c>
      <c r="H40" s="44">
        <v>2000</v>
      </c>
      <c r="I40" s="44">
        <v>500</v>
      </c>
      <c r="J40" s="44">
        <v>1000</v>
      </c>
      <c r="K40" s="44">
        <v>1500</v>
      </c>
      <c r="L40" s="44">
        <v>1500</v>
      </c>
      <c r="M40" s="44">
        <v>1200</v>
      </c>
      <c r="N40" s="44">
        <v>1000</v>
      </c>
      <c r="O40" s="44">
        <f>SUM(tblHealth[[#This Row],[JAN]:[DEC]])</f>
        <v>18200</v>
      </c>
      <c r="P40" s="45"/>
    </row>
    <row r="41" spans="1:16" s="42" customFormat="1" ht="22.15" customHeight="1">
      <c r="A41" s="52"/>
      <c r="B41" s="43" t="s">
        <v>92</v>
      </c>
      <c r="C41" s="44">
        <v>225</v>
      </c>
      <c r="D41" s="44">
        <v>225</v>
      </c>
      <c r="E41" s="44">
        <v>225</v>
      </c>
      <c r="F41" s="44">
        <v>225</v>
      </c>
      <c r="G41" s="44">
        <v>225</v>
      </c>
      <c r="H41" s="44">
        <v>225</v>
      </c>
      <c r="I41" s="44">
        <v>225</v>
      </c>
      <c r="J41" s="44">
        <v>225</v>
      </c>
      <c r="K41" s="44">
        <v>225</v>
      </c>
      <c r="L41" s="44">
        <v>225</v>
      </c>
      <c r="M41" s="44">
        <v>225</v>
      </c>
      <c r="N41" s="44">
        <v>225</v>
      </c>
      <c r="O41" s="44">
        <f>SUM(tblHealth[[#This Row],[JAN]:[DEC]])</f>
        <v>2700</v>
      </c>
      <c r="P41" s="45"/>
    </row>
    <row r="42" spans="1:16" s="42" customFormat="1" ht="22.15" customHeight="1">
      <c r="A42" s="38"/>
      <c r="B42" s="43" t="s">
        <v>102</v>
      </c>
      <c r="C42" s="44">
        <v>500</v>
      </c>
      <c r="D42" s="44"/>
      <c r="E42" s="44">
        <v>1000</v>
      </c>
      <c r="F42" s="44">
        <v>2000</v>
      </c>
      <c r="G42" s="44"/>
      <c r="H42" s="44"/>
      <c r="I42" s="44">
        <v>1200</v>
      </c>
      <c r="J42" s="44"/>
      <c r="K42" s="44"/>
      <c r="L42" s="44">
        <v>500</v>
      </c>
      <c r="M42" s="44"/>
      <c r="N42" s="44"/>
      <c r="O42" s="44">
        <f>SUM(tblHealth[[#This Row],[JAN]:[DEC]])</f>
        <v>5200</v>
      </c>
      <c r="P42" s="45"/>
    </row>
    <row r="43" spans="1:16" s="42" customFormat="1" ht="22.15" customHeight="1">
      <c r="A43" s="38"/>
      <c r="B43" s="43" t="s">
        <v>103</v>
      </c>
      <c r="C43" s="44">
        <v>2000</v>
      </c>
      <c r="D43" s="44"/>
      <c r="E43" s="44">
        <v>500</v>
      </c>
      <c r="F43" s="44">
        <v>1000</v>
      </c>
      <c r="G43" s="44"/>
      <c r="H43" s="44"/>
      <c r="I43" s="44">
        <v>1000</v>
      </c>
      <c r="J43" s="44"/>
      <c r="K43" s="44"/>
      <c r="L43" s="44">
        <v>2000</v>
      </c>
      <c r="M43" s="44"/>
      <c r="N43" s="44"/>
      <c r="O43" s="44">
        <f>SUM(tblHealth[[#This Row],[JAN]:[DEC]])</f>
        <v>6500</v>
      </c>
      <c r="P43" s="45"/>
    </row>
    <row r="44" spans="1:16" s="42" customFormat="1" ht="22.15" customHeight="1">
      <c r="A44" s="38"/>
      <c r="B44" s="43" t="s">
        <v>104</v>
      </c>
      <c r="C44" s="44"/>
      <c r="D44" s="44"/>
      <c r="E44" s="44"/>
      <c r="F44" s="44"/>
      <c r="G44" s="44"/>
      <c r="H44" s="44"/>
      <c r="I44" s="44"/>
      <c r="J44" s="44"/>
      <c r="K44" s="44"/>
      <c r="L44" s="44"/>
      <c r="M44" s="44"/>
      <c r="N44" s="44"/>
      <c r="O44" s="44">
        <f>SUM(tblHealth[[#This Row],[JAN]:[DEC]])</f>
        <v>0</v>
      </c>
      <c r="P44" s="45"/>
    </row>
    <row r="45" spans="1:16" s="42" customFormat="1" ht="22.15" customHeight="1">
      <c r="A45" s="38"/>
      <c r="B45" s="43" t="s">
        <v>105</v>
      </c>
      <c r="C45" s="44"/>
      <c r="D45" s="44"/>
      <c r="E45" s="44"/>
      <c r="F45" s="44"/>
      <c r="G45" s="44"/>
      <c r="H45" s="44"/>
      <c r="I45" s="44"/>
      <c r="J45" s="44"/>
      <c r="K45" s="44"/>
      <c r="L45" s="44"/>
      <c r="M45" s="44"/>
      <c r="N45" s="44"/>
      <c r="O45" s="44">
        <f>SUM(tblHealth[[#This Row],[JAN]:[DEC]])</f>
        <v>0</v>
      </c>
      <c r="P45" s="45"/>
    </row>
    <row r="46" spans="1:16" s="56" customFormat="1" ht="22.15" customHeight="1">
      <c r="A46" s="55"/>
      <c r="B46" s="43" t="s">
        <v>77</v>
      </c>
      <c r="C46" s="44">
        <f>SUBTOTAL(109,tblHealth[JAN])</f>
        <v>4725</v>
      </c>
      <c r="D46" s="44">
        <f>SUBTOTAL(109,tblHealth[FEB])</f>
        <v>1725</v>
      </c>
      <c r="E46" s="44">
        <f>SUBTOTAL(109,tblHealth[MAR])</f>
        <v>3725</v>
      </c>
      <c r="F46" s="44">
        <f>SUBTOTAL(109,tblHealth[APR])</f>
        <v>5225</v>
      </c>
      <c r="G46" s="44">
        <f>SUBTOTAL(109,tblHealth[MAY])</f>
        <v>2225</v>
      </c>
      <c r="H46" s="44">
        <f>SUBTOTAL(109,tblHealth[JUN])</f>
        <v>2225</v>
      </c>
      <c r="I46" s="44">
        <f>SUBTOTAL(109,tblHealth[JUL])</f>
        <v>2925</v>
      </c>
      <c r="J46" s="44">
        <f>SUBTOTAL(109,tblHealth[AUG])</f>
        <v>1225</v>
      </c>
      <c r="K46" s="44">
        <f>SUBTOTAL(109,tblHealth[SEP])</f>
        <v>1725</v>
      </c>
      <c r="L46" s="44">
        <f>SUBTOTAL(109,tblHealth[OCT])</f>
        <v>4225</v>
      </c>
      <c r="M46" s="44">
        <f>SUBTOTAL(109,tblHealth[NOV])</f>
        <v>1425</v>
      </c>
      <c r="N46" s="44">
        <f>SUBTOTAL(109,tblHealth[DEC])</f>
        <v>1225</v>
      </c>
      <c r="O46" s="44">
        <f>SUBTOTAL(109,tblHealth[YEAR])</f>
        <v>32600</v>
      </c>
      <c r="P46" s="48"/>
    </row>
    <row r="47" spans="1:16" s="42" customFormat="1" ht="21.95" customHeight="1">
      <c r="A47" s="38"/>
      <c r="B47" s="52"/>
      <c r="C47" s="57"/>
      <c r="D47" s="57"/>
      <c r="E47" s="57"/>
      <c r="F47" s="57"/>
      <c r="G47" s="57"/>
      <c r="H47" s="57"/>
      <c r="I47" s="57"/>
      <c r="J47" s="57"/>
      <c r="K47" s="57"/>
      <c r="L47" s="57"/>
      <c r="M47" s="57"/>
      <c r="N47" s="57"/>
      <c r="O47" s="57"/>
      <c r="P47" s="52"/>
    </row>
    <row r="48" spans="1:16" s="42" customFormat="1" ht="30" customHeight="1">
      <c r="A48" s="38"/>
      <c r="B48" s="39" t="s">
        <v>106</v>
      </c>
      <c r="C48" s="40" t="s">
        <v>61</v>
      </c>
      <c r="D48" s="40" t="s">
        <v>62</v>
      </c>
      <c r="E48" s="40" t="s">
        <v>63</v>
      </c>
      <c r="F48" s="40" t="s">
        <v>64</v>
      </c>
      <c r="G48" s="40" t="s">
        <v>65</v>
      </c>
      <c r="H48" s="40" t="s">
        <v>66</v>
      </c>
      <c r="I48" s="40" t="s">
        <v>67</v>
      </c>
      <c r="J48" s="40" t="s">
        <v>68</v>
      </c>
      <c r="K48" s="40" t="s">
        <v>69</v>
      </c>
      <c r="L48" s="40" t="s">
        <v>70</v>
      </c>
      <c r="M48" s="40" t="s">
        <v>71</v>
      </c>
      <c r="N48" s="40" t="s">
        <v>72</v>
      </c>
      <c r="O48" s="40" t="s">
        <v>73</v>
      </c>
      <c r="P48" s="41" t="s">
        <v>19</v>
      </c>
    </row>
    <row r="49" spans="1:16" s="42" customFormat="1" ht="22.15" customHeight="1">
      <c r="A49" s="38"/>
      <c r="B49" s="43" t="s">
        <v>107</v>
      </c>
      <c r="C49" s="44"/>
      <c r="D49" s="44"/>
      <c r="E49" s="44"/>
      <c r="F49" s="44"/>
      <c r="G49" s="44"/>
      <c r="H49" s="44"/>
      <c r="I49" s="44"/>
      <c r="J49" s="44"/>
      <c r="K49" s="44"/>
      <c r="L49" s="44"/>
      <c r="M49" s="44"/>
      <c r="N49" s="44"/>
      <c r="O49" s="44">
        <f>SUM(tblVacations[[#This Row],[JAN]:[DEC]])</f>
        <v>0</v>
      </c>
      <c r="P49" s="45"/>
    </row>
    <row r="50" spans="1:16" s="42" customFormat="1" ht="22.15" customHeight="1">
      <c r="A50" s="38"/>
      <c r="B50" s="43" t="s">
        <v>108</v>
      </c>
      <c r="C50" s="44"/>
      <c r="D50" s="44"/>
      <c r="E50" s="44"/>
      <c r="F50" s="44"/>
      <c r="G50" s="44"/>
      <c r="H50" s="44"/>
      <c r="I50" s="44">
        <v>20000</v>
      </c>
      <c r="J50" s="44"/>
      <c r="K50" s="44"/>
      <c r="L50" s="44"/>
      <c r="M50" s="44"/>
      <c r="N50" s="44"/>
      <c r="O50" s="44">
        <f>SUM(tblVacations[[#This Row],[JAN]:[DEC]])</f>
        <v>20000</v>
      </c>
      <c r="P50" s="45"/>
    </row>
    <row r="51" spans="1:16" s="42" customFormat="1" ht="22.15" customHeight="1">
      <c r="A51" s="38"/>
      <c r="B51" s="43" t="s">
        <v>109</v>
      </c>
      <c r="C51" s="44"/>
      <c r="D51" s="44"/>
      <c r="E51" s="44"/>
      <c r="F51" s="44">
        <v>1500</v>
      </c>
      <c r="G51" s="44"/>
      <c r="H51" s="44"/>
      <c r="I51" s="44">
        <v>8000</v>
      </c>
      <c r="J51" s="44"/>
      <c r="K51" s="44"/>
      <c r="L51" s="44"/>
      <c r="M51" s="44"/>
      <c r="N51" s="44"/>
      <c r="O51" s="44">
        <f>SUM(tblVacations[[#This Row],[JAN]:[DEC]])</f>
        <v>9500</v>
      </c>
      <c r="P51" s="45"/>
    </row>
    <row r="52" spans="1:16" s="42" customFormat="1" ht="22.15" customHeight="1">
      <c r="A52" s="38"/>
      <c r="B52" s="43" t="s">
        <v>110</v>
      </c>
      <c r="C52" s="44"/>
      <c r="D52" s="44"/>
      <c r="E52" s="44"/>
      <c r="F52" s="44"/>
      <c r="G52" s="44"/>
      <c r="H52" s="44"/>
      <c r="I52" s="44">
        <v>10000</v>
      </c>
      <c r="J52" s="44"/>
      <c r="K52" s="44"/>
      <c r="L52" s="44"/>
      <c r="M52" s="44"/>
      <c r="N52" s="44"/>
      <c r="O52" s="44">
        <f>SUM(tblVacations[[#This Row],[JAN]:[DEC]])</f>
        <v>10000</v>
      </c>
      <c r="P52" s="45"/>
    </row>
    <row r="53" spans="1:16" ht="22.15" customHeight="1">
      <c r="B53" s="43" t="s">
        <v>111</v>
      </c>
      <c r="C53" s="44"/>
      <c r="D53" s="44"/>
      <c r="E53" s="44"/>
      <c r="F53" s="44">
        <v>2000</v>
      </c>
      <c r="G53" s="44"/>
      <c r="H53" s="44"/>
      <c r="I53" s="44">
        <v>3000</v>
      </c>
      <c r="J53" s="44"/>
      <c r="K53" s="44"/>
      <c r="L53" s="44"/>
      <c r="M53" s="44"/>
      <c r="N53" s="44"/>
      <c r="O53" s="44">
        <f>SUM(tblVacations[[#This Row],[JAN]:[DEC]])</f>
        <v>5000</v>
      </c>
      <c r="P53" s="45"/>
    </row>
    <row r="54" spans="1:16" s="56" customFormat="1" ht="22.15" customHeight="1">
      <c r="A54" s="55"/>
      <c r="B54" s="43" t="s">
        <v>77</v>
      </c>
      <c r="C54" s="44">
        <f>SUBTOTAL(109,tblVacations[JAN])</f>
        <v>0</v>
      </c>
      <c r="D54" s="44">
        <f>SUBTOTAL(109,tblVacations[FEB])</f>
        <v>0</v>
      </c>
      <c r="E54" s="44">
        <f>SUBTOTAL(109,tblVacations[MAR])</f>
        <v>0</v>
      </c>
      <c r="F54" s="44">
        <f>SUBTOTAL(109,tblVacations[APR])</f>
        <v>3500</v>
      </c>
      <c r="G54" s="44">
        <f>SUBTOTAL(109,tblVacations[MAY])</f>
        <v>0</v>
      </c>
      <c r="H54" s="44">
        <f>SUBTOTAL(109,tblVacations[JUN])</f>
        <v>0</v>
      </c>
      <c r="I54" s="44">
        <f>SUBTOTAL(109,tblVacations[JUL])</f>
        <v>41000</v>
      </c>
      <c r="J54" s="44">
        <f>SUBTOTAL(109,tblVacations[AUG])</f>
        <v>0</v>
      </c>
      <c r="K54" s="44">
        <f>SUBTOTAL(109,tblVacations[SEP])</f>
        <v>0</v>
      </c>
      <c r="L54" s="44">
        <f>SUBTOTAL(109,tblVacations[OCT])</f>
        <v>0</v>
      </c>
      <c r="M54" s="44">
        <f>SUBTOTAL(109,tblVacations[NOV])</f>
        <v>0</v>
      </c>
      <c r="N54" s="44">
        <f>SUBTOTAL(109,tblVacations[DEC])</f>
        <v>0</v>
      </c>
      <c r="O54" s="44">
        <f>SUBTOTAL(109,tblVacations[YEAR])</f>
        <v>44500</v>
      </c>
      <c r="P54" s="48"/>
    </row>
    <row r="55" spans="1:16" s="42" customFormat="1" ht="21.95" customHeight="1">
      <c r="A55" s="38"/>
      <c r="B55" s="52"/>
      <c r="C55" s="57"/>
      <c r="D55" s="57"/>
      <c r="E55" s="57"/>
      <c r="F55" s="57"/>
      <c r="G55" s="57"/>
      <c r="H55" s="57"/>
      <c r="I55" s="57"/>
      <c r="J55" s="57"/>
      <c r="K55" s="57"/>
      <c r="L55" s="57"/>
      <c r="M55" s="57"/>
      <c r="N55" s="57"/>
      <c r="O55" s="57"/>
      <c r="P55" s="52"/>
    </row>
    <row r="56" spans="1:16" s="42" customFormat="1" ht="30" customHeight="1">
      <c r="A56" s="38"/>
      <c r="B56" s="39" t="s">
        <v>112</v>
      </c>
      <c r="C56" s="40" t="s">
        <v>61</v>
      </c>
      <c r="D56" s="40" t="s">
        <v>62</v>
      </c>
      <c r="E56" s="40" t="s">
        <v>63</v>
      </c>
      <c r="F56" s="40" t="s">
        <v>64</v>
      </c>
      <c r="G56" s="40" t="s">
        <v>65</v>
      </c>
      <c r="H56" s="40" t="s">
        <v>66</v>
      </c>
      <c r="I56" s="40" t="s">
        <v>67</v>
      </c>
      <c r="J56" s="40" t="s">
        <v>68</v>
      </c>
      <c r="K56" s="40" t="s">
        <v>69</v>
      </c>
      <c r="L56" s="40" t="s">
        <v>70</v>
      </c>
      <c r="M56" s="40" t="s">
        <v>71</v>
      </c>
      <c r="N56" s="40" t="s">
        <v>72</v>
      </c>
      <c r="O56" s="40" t="s">
        <v>73</v>
      </c>
      <c r="P56" s="41" t="s">
        <v>19</v>
      </c>
    </row>
    <row r="57" spans="1:16" s="42" customFormat="1" ht="22.15" customHeight="1">
      <c r="A57" s="38"/>
      <c r="B57" s="43" t="s">
        <v>113</v>
      </c>
      <c r="C57" s="44"/>
      <c r="D57" s="44"/>
      <c r="E57" s="44"/>
      <c r="F57" s="44"/>
      <c r="G57" s="44"/>
      <c r="H57" s="44"/>
      <c r="I57" s="44"/>
      <c r="J57" s="44"/>
      <c r="K57" s="44"/>
      <c r="L57" s="44"/>
      <c r="M57" s="44"/>
      <c r="N57" s="44"/>
      <c r="O57" s="44">
        <f>SUM(tblRecreation[[#This Row],[JAN]:[DEC]])</f>
        <v>0</v>
      </c>
      <c r="P57" s="45"/>
    </row>
    <row r="58" spans="1:16" s="42" customFormat="1" ht="22.15" customHeight="1">
      <c r="A58" s="38"/>
      <c r="B58" s="43" t="s">
        <v>114</v>
      </c>
      <c r="C58" s="44"/>
      <c r="D58" s="44"/>
      <c r="E58" s="44"/>
      <c r="F58" s="44"/>
      <c r="G58" s="44"/>
      <c r="H58" s="44"/>
      <c r="I58" s="44"/>
      <c r="J58" s="44"/>
      <c r="K58" s="44"/>
      <c r="L58" s="44"/>
      <c r="M58" s="44"/>
      <c r="N58" s="44"/>
      <c r="O58" s="44">
        <f>SUM(tblRecreation[[#This Row],[JAN]:[DEC]])</f>
        <v>0</v>
      </c>
      <c r="P58" s="45"/>
    </row>
    <row r="59" spans="1:16" s="56" customFormat="1" ht="22.15" customHeight="1">
      <c r="A59" s="55"/>
      <c r="B59" s="43" t="s">
        <v>77</v>
      </c>
      <c r="C59" s="44">
        <f>SUBTOTAL(109,tblRecreation[JAN])</f>
        <v>0</v>
      </c>
      <c r="D59" s="44">
        <f>SUBTOTAL(109,tblRecreation[FEB])</f>
        <v>0</v>
      </c>
      <c r="E59" s="44">
        <f>SUBTOTAL(109,tblRecreation[MAR])</f>
        <v>0</v>
      </c>
      <c r="F59" s="44">
        <f>SUBTOTAL(109,tblRecreation[APR])</f>
        <v>0</v>
      </c>
      <c r="G59" s="44">
        <f>SUBTOTAL(109,tblRecreation[MAY])</f>
        <v>0</v>
      </c>
      <c r="H59" s="44">
        <f>SUBTOTAL(109,tblRecreation[JUN])</f>
        <v>0</v>
      </c>
      <c r="I59" s="44">
        <f>SUBTOTAL(109,tblRecreation[JUL])</f>
        <v>0</v>
      </c>
      <c r="J59" s="44">
        <f>SUBTOTAL(109,tblRecreation[AUG])</f>
        <v>0</v>
      </c>
      <c r="K59" s="44">
        <f>SUBTOTAL(109,tblRecreation[SEP])</f>
        <v>0</v>
      </c>
      <c r="L59" s="44">
        <f>SUBTOTAL(109,tblRecreation[OCT])</f>
        <v>0</v>
      </c>
      <c r="M59" s="44">
        <f>SUBTOTAL(109,tblRecreation[NOV])</f>
        <v>0</v>
      </c>
      <c r="N59" s="44">
        <f>SUBTOTAL(109,tblRecreation[DEC])</f>
        <v>0</v>
      </c>
      <c r="O59" s="44">
        <f>SUBTOTAL(109,tblRecreation[YEAR])</f>
        <v>0</v>
      </c>
      <c r="P59" s="48"/>
    </row>
    <row r="60" spans="1:16" s="42" customFormat="1" ht="21.95" customHeight="1">
      <c r="A60" s="38"/>
      <c r="B60" s="52"/>
      <c r="C60" s="57"/>
      <c r="D60" s="57"/>
      <c r="E60" s="57"/>
      <c r="F60" s="57"/>
      <c r="G60" s="57"/>
      <c r="H60" s="57"/>
      <c r="I60" s="57"/>
      <c r="J60" s="57"/>
      <c r="K60" s="57"/>
      <c r="L60" s="57"/>
      <c r="M60" s="57"/>
      <c r="N60" s="57"/>
      <c r="O60" s="57"/>
      <c r="P60" s="52"/>
    </row>
    <row r="61" spans="1:16" s="42" customFormat="1" ht="30" customHeight="1">
      <c r="A61" s="38"/>
      <c r="B61" s="39" t="s">
        <v>115</v>
      </c>
      <c r="C61" s="40" t="s">
        <v>61</v>
      </c>
      <c r="D61" s="40" t="s">
        <v>62</v>
      </c>
      <c r="E61" s="40" t="s">
        <v>63</v>
      </c>
      <c r="F61" s="40" t="s">
        <v>64</v>
      </c>
      <c r="G61" s="40" t="s">
        <v>65</v>
      </c>
      <c r="H61" s="40" t="s">
        <v>66</v>
      </c>
      <c r="I61" s="40" t="s">
        <v>67</v>
      </c>
      <c r="J61" s="40" t="s">
        <v>68</v>
      </c>
      <c r="K61" s="40" t="s">
        <v>69</v>
      </c>
      <c r="L61" s="40" t="s">
        <v>70</v>
      </c>
      <c r="M61" s="40" t="s">
        <v>71</v>
      </c>
      <c r="N61" s="40" t="s">
        <v>72</v>
      </c>
      <c r="O61" s="40" t="s">
        <v>73</v>
      </c>
      <c r="P61" s="41" t="s">
        <v>19</v>
      </c>
    </row>
    <row r="62" spans="1:16" s="42" customFormat="1" ht="22.15" customHeight="1">
      <c r="A62" s="38"/>
      <c r="B62" s="43" t="s">
        <v>116</v>
      </c>
      <c r="C62" s="44"/>
      <c r="D62" s="44"/>
      <c r="E62" s="44"/>
      <c r="F62" s="44"/>
      <c r="G62" s="44"/>
      <c r="H62" s="44"/>
      <c r="I62" s="44"/>
      <c r="J62" s="44"/>
      <c r="K62" s="44"/>
      <c r="L62" s="44"/>
      <c r="M62" s="44"/>
      <c r="N62" s="44"/>
      <c r="O62" s="44">
        <f>SUM(tblDues[[#This Row],[JAN]:[DEC]])</f>
        <v>0</v>
      </c>
      <c r="P62" s="45"/>
    </row>
    <row r="63" spans="1:16" s="42" customFormat="1" ht="22.15" customHeight="1">
      <c r="A63" s="38"/>
      <c r="B63" s="43" t="s">
        <v>117</v>
      </c>
      <c r="C63" s="44">
        <v>500</v>
      </c>
      <c r="D63" s="44">
        <v>500</v>
      </c>
      <c r="E63" s="44">
        <v>500</v>
      </c>
      <c r="F63" s="44">
        <v>500</v>
      </c>
      <c r="G63" s="44">
        <v>500</v>
      </c>
      <c r="H63" s="44">
        <v>500</v>
      </c>
      <c r="I63" s="44">
        <v>500</v>
      </c>
      <c r="J63" s="44">
        <v>500</v>
      </c>
      <c r="K63" s="44">
        <v>500</v>
      </c>
      <c r="L63" s="44">
        <v>500</v>
      </c>
      <c r="M63" s="44">
        <v>500</v>
      </c>
      <c r="N63" s="44">
        <v>500</v>
      </c>
      <c r="O63" s="44">
        <f>SUM(tblDues[[#This Row],[JAN]:[DEC]])</f>
        <v>6000</v>
      </c>
      <c r="P63" s="45"/>
    </row>
    <row r="64" spans="1:16" s="42" customFormat="1" ht="22.15" customHeight="1">
      <c r="A64" s="38"/>
      <c r="B64" s="43" t="s">
        <v>118</v>
      </c>
      <c r="C64" s="44">
        <v>1000</v>
      </c>
      <c r="D64" s="44">
        <v>1000</v>
      </c>
      <c r="E64" s="44">
        <v>1000</v>
      </c>
      <c r="F64" s="44">
        <v>1000</v>
      </c>
      <c r="G64" s="44">
        <v>1000</v>
      </c>
      <c r="H64" s="44">
        <v>1000</v>
      </c>
      <c r="I64" s="44">
        <v>1000</v>
      </c>
      <c r="J64" s="44">
        <v>1000</v>
      </c>
      <c r="K64" s="44">
        <v>1000</v>
      </c>
      <c r="L64" s="44">
        <v>1000</v>
      </c>
      <c r="M64" s="44">
        <v>1000</v>
      </c>
      <c r="N64" s="44">
        <v>1000</v>
      </c>
      <c r="O64" s="44">
        <f>SUM(tblDues[[#This Row],[JAN]:[DEC]])</f>
        <v>12000</v>
      </c>
      <c r="P64" s="45"/>
    </row>
    <row r="65" spans="1:16" s="42" customFormat="1" ht="22.15" customHeight="1">
      <c r="A65" s="38"/>
      <c r="B65" s="43" t="s">
        <v>119</v>
      </c>
      <c r="C65" s="44"/>
      <c r="D65" s="44"/>
      <c r="E65" s="44"/>
      <c r="F65" s="44">
        <v>5000</v>
      </c>
      <c r="G65" s="44"/>
      <c r="H65" s="44">
        <v>4000</v>
      </c>
      <c r="I65" s="44"/>
      <c r="J65" s="44"/>
      <c r="K65" s="44"/>
      <c r="L65" s="44"/>
      <c r="M65" s="44"/>
      <c r="N65" s="44"/>
      <c r="O65" s="44">
        <f>SUM(tblDues[[#This Row],[JAN]:[DEC]])</f>
        <v>9000</v>
      </c>
      <c r="P65" s="45"/>
    </row>
    <row r="66" spans="1:16" ht="22.15" customHeight="1">
      <c r="B66" s="43" t="s">
        <v>105</v>
      </c>
      <c r="C66" s="44"/>
      <c r="D66" s="44"/>
      <c r="E66" s="44"/>
      <c r="F66" s="44"/>
      <c r="G66" s="44"/>
      <c r="H66" s="44"/>
      <c r="I66" s="44"/>
      <c r="J66" s="44"/>
      <c r="K66" s="44"/>
      <c r="L66" s="44"/>
      <c r="M66" s="44"/>
      <c r="N66" s="44"/>
      <c r="O66" s="44">
        <f>SUM(tblDues[[#This Row],[JAN]:[DEC]])</f>
        <v>0</v>
      </c>
      <c r="P66" s="45"/>
    </row>
    <row r="67" spans="1:16" s="56" customFormat="1" ht="22.15" customHeight="1">
      <c r="A67" s="55"/>
      <c r="B67" s="43" t="s">
        <v>77</v>
      </c>
      <c r="C67" s="44">
        <f>SUBTOTAL(109,tblDues[JAN])</f>
        <v>1500</v>
      </c>
      <c r="D67" s="44">
        <f>SUBTOTAL(109,tblDues[FEB])</f>
        <v>1500</v>
      </c>
      <c r="E67" s="44">
        <f>SUBTOTAL(109,tblDues[MAR])</f>
        <v>1500</v>
      </c>
      <c r="F67" s="44">
        <f>SUBTOTAL(109,tblDues[APR])</f>
        <v>6500</v>
      </c>
      <c r="G67" s="44">
        <f>SUBTOTAL(109,tblDues[MAY])</f>
        <v>1500</v>
      </c>
      <c r="H67" s="44">
        <f>SUBTOTAL(109,tblDues[JUN])</f>
        <v>5500</v>
      </c>
      <c r="I67" s="44">
        <f>SUBTOTAL(109,tblDues[JUL])</f>
        <v>1500</v>
      </c>
      <c r="J67" s="44">
        <f>SUBTOTAL(109,tblDues[AUG])</f>
        <v>1500</v>
      </c>
      <c r="K67" s="44">
        <f>SUBTOTAL(109,tblDues[SEP])</f>
        <v>1500</v>
      </c>
      <c r="L67" s="44">
        <f>SUBTOTAL(109,tblDues[OCT])</f>
        <v>1500</v>
      </c>
      <c r="M67" s="44">
        <f>SUBTOTAL(109,tblDues[NOV])</f>
        <v>1500</v>
      </c>
      <c r="N67" s="44">
        <f>SUBTOTAL(109,tblDues[DEC])</f>
        <v>1500</v>
      </c>
      <c r="O67" s="44">
        <f>SUBTOTAL(109,tblDues[YEAR])</f>
        <v>27000</v>
      </c>
      <c r="P67" s="48"/>
    </row>
    <row r="68" spans="1:16" s="42" customFormat="1" ht="21.95" customHeight="1">
      <c r="A68" s="38"/>
      <c r="B68" s="52"/>
      <c r="C68" s="57"/>
      <c r="D68" s="57"/>
      <c r="E68" s="57"/>
      <c r="F68" s="57"/>
      <c r="G68" s="57"/>
      <c r="H68" s="57"/>
      <c r="I68" s="57"/>
      <c r="J68" s="57"/>
      <c r="K68" s="57"/>
      <c r="L68" s="57"/>
      <c r="M68" s="57"/>
      <c r="N68" s="57"/>
      <c r="O68" s="57"/>
      <c r="P68" s="52"/>
    </row>
    <row r="69" spans="1:16" s="42" customFormat="1" ht="30" customHeight="1">
      <c r="A69" s="38"/>
      <c r="B69" s="39" t="s">
        <v>120</v>
      </c>
      <c r="C69" s="40" t="s">
        <v>61</v>
      </c>
      <c r="D69" s="40" t="s">
        <v>62</v>
      </c>
      <c r="E69" s="40" t="s">
        <v>63</v>
      </c>
      <c r="F69" s="40" t="s">
        <v>64</v>
      </c>
      <c r="G69" s="40" t="s">
        <v>65</v>
      </c>
      <c r="H69" s="40" t="s">
        <v>66</v>
      </c>
      <c r="I69" s="40" t="s">
        <v>67</v>
      </c>
      <c r="J69" s="40" t="s">
        <v>68</v>
      </c>
      <c r="K69" s="40" t="s">
        <v>69</v>
      </c>
      <c r="L69" s="40" t="s">
        <v>70</v>
      </c>
      <c r="M69" s="40" t="s">
        <v>71</v>
      </c>
      <c r="N69" s="40" t="s">
        <v>72</v>
      </c>
      <c r="O69" s="40" t="s">
        <v>73</v>
      </c>
      <c r="P69" s="41" t="s">
        <v>19</v>
      </c>
    </row>
    <row r="70" spans="1:16" s="42" customFormat="1" ht="22.15" customHeight="1">
      <c r="A70" s="38"/>
      <c r="B70" s="43" t="s">
        <v>121</v>
      </c>
      <c r="C70" s="44"/>
      <c r="D70" s="44"/>
      <c r="E70" s="44"/>
      <c r="F70" s="44">
        <v>25000</v>
      </c>
      <c r="G70" s="44"/>
      <c r="H70" s="44"/>
      <c r="I70" s="44"/>
      <c r="J70" s="44"/>
      <c r="K70" s="44"/>
      <c r="L70" s="44"/>
      <c r="M70" s="44"/>
      <c r="N70" s="44">
        <v>1500</v>
      </c>
      <c r="O70" s="44">
        <f>SUM(tblPersonal[[#This Row],[JAN]:[DEC]])</f>
        <v>26500</v>
      </c>
      <c r="P70" s="45"/>
    </row>
    <row r="71" spans="1:16" s="42" customFormat="1" ht="22.15" customHeight="1">
      <c r="A71" s="38"/>
      <c r="B71" s="43" t="s">
        <v>122</v>
      </c>
      <c r="C71" s="44">
        <v>0</v>
      </c>
      <c r="D71" s="44"/>
      <c r="E71" s="44"/>
      <c r="F71" s="44">
        <v>20000</v>
      </c>
      <c r="G71" s="44"/>
      <c r="H71" s="44">
        <v>1500</v>
      </c>
      <c r="I71" s="44"/>
      <c r="J71" s="44"/>
      <c r="K71" s="44"/>
      <c r="L71" s="44">
        <v>1000</v>
      </c>
      <c r="M71" s="44"/>
      <c r="N71" s="44"/>
      <c r="O71" s="44">
        <f>SUM(tblPersonal[[#This Row],[JAN]:[DEC]])</f>
        <v>22500</v>
      </c>
      <c r="P71" s="45"/>
    </row>
    <row r="72" spans="1:16" s="42" customFormat="1" ht="22.15" customHeight="1">
      <c r="A72" s="38"/>
      <c r="B72" s="43" t="s">
        <v>123</v>
      </c>
      <c r="C72" s="44"/>
      <c r="D72" s="44"/>
      <c r="E72" s="44"/>
      <c r="F72" s="44"/>
      <c r="G72" s="44"/>
      <c r="H72" s="44"/>
      <c r="I72" s="44"/>
      <c r="J72" s="44"/>
      <c r="K72" s="44"/>
      <c r="L72" s="44"/>
      <c r="M72" s="44"/>
      <c r="N72" s="44"/>
      <c r="O72" s="44">
        <f>SUM(tblPersonal[[#This Row],[JAN]:[DEC]])</f>
        <v>0</v>
      </c>
      <c r="P72" s="45"/>
    </row>
    <row r="73" spans="1:16" s="42" customFormat="1" ht="22.15" customHeight="1">
      <c r="A73" s="38"/>
      <c r="B73" s="43" t="s">
        <v>124</v>
      </c>
      <c r="C73" s="44"/>
      <c r="D73" s="44"/>
      <c r="E73" s="44"/>
      <c r="F73" s="44"/>
      <c r="G73" s="44"/>
      <c r="H73" s="44"/>
      <c r="I73" s="44"/>
      <c r="J73" s="44"/>
      <c r="K73" s="44"/>
      <c r="L73" s="44"/>
      <c r="M73" s="44"/>
      <c r="N73" s="44"/>
      <c r="O73" s="44">
        <f>SUM(tblPersonal[[#This Row],[JAN]:[DEC]])</f>
        <v>0</v>
      </c>
      <c r="P73" s="45"/>
    </row>
    <row r="74" spans="1:16" s="56" customFormat="1" ht="22.15" customHeight="1">
      <c r="A74" s="55"/>
      <c r="B74" s="43" t="s">
        <v>77</v>
      </c>
      <c r="C74" s="44">
        <f>SUBTOTAL(109,tblPersonal[JAN])</f>
        <v>0</v>
      </c>
      <c r="D74" s="44">
        <f>SUBTOTAL(109,tblPersonal[FEB])</f>
        <v>0</v>
      </c>
      <c r="E74" s="44">
        <f>SUBTOTAL(109,tblPersonal[MAR])</f>
        <v>0</v>
      </c>
      <c r="F74" s="44">
        <f>SUBTOTAL(109,tblPersonal[APR])</f>
        <v>45000</v>
      </c>
      <c r="G74" s="44">
        <f>SUBTOTAL(109,tblPersonal[MAY])</f>
        <v>0</v>
      </c>
      <c r="H74" s="44">
        <f>SUBTOTAL(109,tblPersonal[JUN])</f>
        <v>1500</v>
      </c>
      <c r="I74" s="44">
        <f>SUBTOTAL(109,tblPersonal[JUL])</f>
        <v>0</v>
      </c>
      <c r="J74" s="44">
        <f>SUBTOTAL(109,tblPersonal[AUG])</f>
        <v>0</v>
      </c>
      <c r="K74" s="44">
        <f>SUBTOTAL(109,tblPersonal[SEP])</f>
        <v>0</v>
      </c>
      <c r="L74" s="44">
        <f>SUBTOTAL(109,tblPersonal[OCT])</f>
        <v>1000</v>
      </c>
      <c r="M74" s="44">
        <f>SUBTOTAL(109,tblPersonal[NOV])</f>
        <v>0</v>
      </c>
      <c r="N74" s="44">
        <f>SUBTOTAL(109,tblPersonal[DEC])</f>
        <v>1500</v>
      </c>
      <c r="O74" s="44">
        <f>SUBTOTAL(109,tblPersonal[YEAR])</f>
        <v>49000</v>
      </c>
      <c r="P74" s="48"/>
    </row>
    <row r="75" spans="1:16" s="42" customFormat="1" ht="21.95" customHeight="1">
      <c r="A75" s="38"/>
      <c r="B75" s="52"/>
      <c r="C75" s="57"/>
      <c r="D75" s="57"/>
      <c r="E75" s="57"/>
      <c r="F75" s="57"/>
      <c r="G75" s="57"/>
      <c r="H75" s="57"/>
      <c r="I75" s="57"/>
      <c r="J75" s="57"/>
      <c r="K75" s="57"/>
      <c r="L75" s="57"/>
      <c r="M75" s="57"/>
      <c r="N75" s="57"/>
      <c r="O75" s="57"/>
      <c r="P75" s="52"/>
    </row>
    <row r="76" spans="1:16" s="42" customFormat="1" ht="30" customHeight="1">
      <c r="A76" s="38"/>
      <c r="B76" s="39" t="s">
        <v>125</v>
      </c>
      <c r="C76" s="40" t="s">
        <v>61</v>
      </c>
      <c r="D76" s="40" t="s">
        <v>62</v>
      </c>
      <c r="E76" s="40" t="s">
        <v>63</v>
      </c>
      <c r="F76" s="40" t="s">
        <v>64</v>
      </c>
      <c r="G76" s="40" t="s">
        <v>65</v>
      </c>
      <c r="H76" s="40" t="s">
        <v>66</v>
      </c>
      <c r="I76" s="40" t="s">
        <v>67</v>
      </c>
      <c r="J76" s="40" t="s">
        <v>68</v>
      </c>
      <c r="K76" s="40" t="s">
        <v>69</v>
      </c>
      <c r="L76" s="40" t="s">
        <v>70</v>
      </c>
      <c r="M76" s="40" t="s">
        <v>71</v>
      </c>
      <c r="N76" s="40" t="s">
        <v>72</v>
      </c>
      <c r="O76" s="40" t="s">
        <v>73</v>
      </c>
      <c r="P76" s="41" t="s">
        <v>19</v>
      </c>
    </row>
    <row r="77" spans="1:16" s="42" customFormat="1" ht="22.15" customHeight="1">
      <c r="A77" s="38"/>
      <c r="B77" s="43" t="s">
        <v>126</v>
      </c>
      <c r="C77" s="44">
        <v>3000</v>
      </c>
      <c r="D77" s="44">
        <v>3000</v>
      </c>
      <c r="E77" s="44">
        <v>3000</v>
      </c>
      <c r="F77" s="44">
        <v>3000</v>
      </c>
      <c r="G77" s="44">
        <v>3000</v>
      </c>
      <c r="H77" s="44">
        <v>3000</v>
      </c>
      <c r="I77" s="44">
        <v>3000</v>
      </c>
      <c r="J77" s="44">
        <v>3000</v>
      </c>
      <c r="K77" s="44">
        <v>3000</v>
      </c>
      <c r="L77" s="44">
        <v>3000</v>
      </c>
      <c r="M77" s="44">
        <v>3000</v>
      </c>
      <c r="N77" s="44">
        <v>3000</v>
      </c>
      <c r="O77" s="44">
        <f>SUM(tblFinancial[[#This Row],[JAN]:[DEC]])</f>
        <v>36000</v>
      </c>
      <c r="P77" s="45"/>
    </row>
    <row r="78" spans="1:16" s="42" customFormat="1" ht="22.15" customHeight="1">
      <c r="A78" s="38"/>
      <c r="B78" s="43" t="s">
        <v>127</v>
      </c>
      <c r="C78" s="44"/>
      <c r="D78" s="44"/>
      <c r="E78" s="44"/>
      <c r="F78" s="44"/>
      <c r="G78" s="44"/>
      <c r="H78" s="44">
        <v>4200</v>
      </c>
      <c r="I78" s="44"/>
      <c r="J78" s="44"/>
      <c r="K78" s="44"/>
      <c r="L78" s="44"/>
      <c r="M78" s="44"/>
      <c r="N78" s="44">
        <v>4200</v>
      </c>
      <c r="O78" s="44">
        <f>SUM(tblFinancial[[#This Row],[JAN]:[DEC]])</f>
        <v>8400</v>
      </c>
      <c r="P78" s="45"/>
    </row>
    <row r="79" spans="1:16" s="42" customFormat="1" ht="22.15" customHeight="1">
      <c r="A79" s="38"/>
      <c r="B79" s="43" t="s">
        <v>128</v>
      </c>
      <c r="C79" s="44"/>
      <c r="D79" s="44"/>
      <c r="E79" s="44"/>
      <c r="F79" s="44"/>
      <c r="G79" s="44"/>
      <c r="H79" s="44"/>
      <c r="I79" s="44"/>
      <c r="J79" s="44"/>
      <c r="K79" s="44"/>
      <c r="L79" s="44"/>
      <c r="M79" s="44">
        <v>10000</v>
      </c>
      <c r="N79" s="44"/>
      <c r="O79" s="44">
        <f>SUM(tblFinancial[[#This Row],[JAN]:[DEC]])</f>
        <v>10000</v>
      </c>
      <c r="P79" s="45"/>
    </row>
    <row r="80" spans="1:16" ht="22.15" customHeight="1">
      <c r="B80" s="43" t="s">
        <v>129</v>
      </c>
      <c r="C80" s="44"/>
      <c r="D80" s="44"/>
      <c r="E80" s="44"/>
      <c r="F80" s="44"/>
      <c r="G80" s="44"/>
      <c r="H80" s="44"/>
      <c r="I80" s="44"/>
      <c r="J80" s="44"/>
      <c r="K80" s="44"/>
      <c r="L80" s="44"/>
      <c r="M80" s="44"/>
      <c r="N80" s="44"/>
      <c r="O80" s="44">
        <f>SUM(tblFinancial[[#This Row],[JAN]:[DEC]])</f>
        <v>0</v>
      </c>
      <c r="P80" s="45"/>
    </row>
    <row r="81" spans="1:16" s="56" customFormat="1" ht="22.15" customHeight="1">
      <c r="A81" s="55"/>
      <c r="B81" s="43" t="s">
        <v>77</v>
      </c>
      <c r="C81" s="44">
        <f>SUBTOTAL(109,tblFinancial[JAN])</f>
        <v>3000</v>
      </c>
      <c r="D81" s="44">
        <f>SUBTOTAL(109,tblFinancial[FEB])</f>
        <v>3000</v>
      </c>
      <c r="E81" s="44">
        <f>SUBTOTAL(109,tblFinancial[MAR])</f>
        <v>3000</v>
      </c>
      <c r="F81" s="44">
        <f>SUBTOTAL(109,tblFinancial[APR])</f>
        <v>3000</v>
      </c>
      <c r="G81" s="44">
        <f>SUBTOTAL(109,tblFinancial[MAY])</f>
        <v>3000</v>
      </c>
      <c r="H81" s="44">
        <f>SUBTOTAL(109,tblFinancial[JUN])</f>
        <v>7200</v>
      </c>
      <c r="I81" s="44">
        <f>SUBTOTAL(109,tblFinancial[JUL])</f>
        <v>3000</v>
      </c>
      <c r="J81" s="44">
        <f>SUBTOTAL(109,tblFinancial[AUG])</f>
        <v>3000</v>
      </c>
      <c r="K81" s="44">
        <f>SUBTOTAL(109,tblFinancial[SEP])</f>
        <v>3000</v>
      </c>
      <c r="L81" s="44">
        <f>SUBTOTAL(109,tblFinancial[OCT])</f>
        <v>3000</v>
      </c>
      <c r="M81" s="44">
        <f>SUBTOTAL(109,tblFinancial[NOV])</f>
        <v>13000</v>
      </c>
      <c r="N81" s="44">
        <f>SUBTOTAL(109,tblFinancial[DEC])</f>
        <v>7200</v>
      </c>
      <c r="O81" s="44">
        <f>SUBTOTAL(109,tblFinancial[YEAR])</f>
        <v>54400</v>
      </c>
      <c r="P81" s="48"/>
    </row>
    <row r="82" spans="1:16" s="42" customFormat="1" ht="21.95" customHeight="1">
      <c r="A82" s="38"/>
      <c r="B82" s="52"/>
      <c r="C82" s="57"/>
      <c r="D82" s="57"/>
      <c r="E82" s="57"/>
      <c r="F82" s="57"/>
      <c r="G82" s="57"/>
      <c r="H82" s="57"/>
      <c r="I82" s="57"/>
      <c r="J82" s="57"/>
      <c r="K82" s="57"/>
      <c r="L82" s="57"/>
      <c r="M82" s="57"/>
      <c r="N82" s="57"/>
      <c r="O82" s="57"/>
      <c r="P82" s="52"/>
    </row>
    <row r="83" spans="1:16" s="42" customFormat="1" ht="30" customHeight="1">
      <c r="A83" s="38"/>
      <c r="B83" s="39" t="s">
        <v>130</v>
      </c>
      <c r="C83" s="40" t="s">
        <v>61</v>
      </c>
      <c r="D83" s="40" t="s">
        <v>62</v>
      </c>
      <c r="E83" s="40" t="s">
        <v>63</v>
      </c>
      <c r="F83" s="40" t="s">
        <v>64</v>
      </c>
      <c r="G83" s="40" t="s">
        <v>65</v>
      </c>
      <c r="H83" s="40" t="s">
        <v>66</v>
      </c>
      <c r="I83" s="40" t="s">
        <v>67</v>
      </c>
      <c r="J83" s="40" t="s">
        <v>68</v>
      </c>
      <c r="K83" s="40" t="s">
        <v>69</v>
      </c>
      <c r="L83" s="40" t="s">
        <v>70</v>
      </c>
      <c r="M83" s="40" t="s">
        <v>71</v>
      </c>
      <c r="N83" s="40" t="s">
        <v>72</v>
      </c>
      <c r="O83" s="40" t="s">
        <v>73</v>
      </c>
      <c r="P83" s="41" t="s">
        <v>19</v>
      </c>
    </row>
    <row r="84" spans="1:16" s="42" customFormat="1" ht="22.15" customHeight="1">
      <c r="A84" s="38"/>
      <c r="B84" s="58" t="s">
        <v>211</v>
      </c>
      <c r="C84" s="44">
        <v>0</v>
      </c>
      <c r="D84" s="44"/>
      <c r="E84" s="44"/>
      <c r="F84" s="44"/>
      <c r="G84" s="44"/>
      <c r="H84" s="44"/>
      <c r="I84" s="44"/>
      <c r="J84" s="44"/>
      <c r="K84" s="44"/>
      <c r="L84" s="44"/>
      <c r="M84" s="44"/>
      <c r="N84" s="44"/>
      <c r="O84" s="44">
        <f>SUM(tblMisc[[#This Row],[JAN]:[DEC]])</f>
        <v>0</v>
      </c>
      <c r="P84" s="45"/>
    </row>
    <row r="85" spans="1:16" ht="22.15" customHeight="1">
      <c r="B85" s="58" t="s">
        <v>212</v>
      </c>
      <c r="C85" s="44"/>
      <c r="D85" s="44"/>
      <c r="E85" s="44"/>
      <c r="F85" s="44"/>
      <c r="G85" s="44"/>
      <c r="H85" s="44"/>
      <c r="I85" s="44"/>
      <c r="J85" s="44"/>
      <c r="K85" s="44"/>
      <c r="L85" s="44"/>
      <c r="M85" s="44"/>
      <c r="N85" s="44"/>
      <c r="O85" s="44">
        <f>SUM(tblMisc[[#This Row],[JAN]:[DEC]])</f>
        <v>0</v>
      </c>
      <c r="P85" s="45"/>
    </row>
    <row r="86" spans="1:16" s="37" customFormat="1" ht="22.15" customHeight="1">
      <c r="A86" s="33"/>
      <c r="B86" s="43" t="s">
        <v>77</v>
      </c>
      <c r="C86" s="44">
        <f>SUBTOTAL(109,tblMisc[JAN])</f>
        <v>0</v>
      </c>
      <c r="D86" s="44">
        <f>SUBTOTAL(109,tblMisc[FEB])</f>
        <v>0</v>
      </c>
      <c r="E86" s="44">
        <f>SUBTOTAL(109,tblMisc[MAR])</f>
        <v>0</v>
      </c>
      <c r="F86" s="44">
        <f>SUBTOTAL(109,tblMisc[APR])</f>
        <v>0</v>
      </c>
      <c r="G86" s="44">
        <f>SUBTOTAL(109,tblMisc[MAY])</f>
        <v>0</v>
      </c>
      <c r="H86" s="44">
        <f>SUBTOTAL(109,tblMisc[JUN])</f>
        <v>0</v>
      </c>
      <c r="I86" s="44">
        <f>SUBTOTAL(109,tblMisc[JUL])</f>
        <v>0</v>
      </c>
      <c r="J86" s="44">
        <f>SUBTOTAL(109,tblMisc[AUG])</f>
        <v>0</v>
      </c>
      <c r="K86" s="44">
        <f>SUBTOTAL(109,tblMisc[SEP])</f>
        <v>0</v>
      </c>
      <c r="L86" s="44">
        <f>SUBTOTAL(109,tblMisc[OCT])</f>
        <v>0</v>
      </c>
      <c r="M86" s="44">
        <f>SUBTOTAL(109,tblMisc[NOV])</f>
        <v>0</v>
      </c>
      <c r="N86" s="44">
        <f>SUBTOTAL(109,tblMisc[DEC])</f>
        <v>0</v>
      </c>
      <c r="O86" s="44">
        <f>SUBTOTAL(109,tblMisc[YEAR])</f>
        <v>0</v>
      </c>
      <c r="P86" s="48"/>
    </row>
    <row r="87" spans="1:16" ht="21.95" customHeight="1">
      <c r="B87" s="52"/>
      <c r="C87" s="57"/>
      <c r="D87" s="57"/>
      <c r="E87" s="57"/>
      <c r="F87" s="57"/>
      <c r="G87" s="57"/>
      <c r="H87" s="57"/>
      <c r="I87" s="57"/>
      <c r="J87" s="57"/>
      <c r="K87" s="57"/>
      <c r="L87" s="57"/>
      <c r="M87" s="57"/>
      <c r="N87" s="57"/>
      <c r="O87" s="57"/>
      <c r="P87" s="52"/>
    </row>
    <row r="88" spans="1:16" ht="30" customHeight="1">
      <c r="B88" s="59" t="s">
        <v>131</v>
      </c>
      <c r="C88" s="60" t="s">
        <v>61</v>
      </c>
      <c r="D88" s="61" t="s">
        <v>62</v>
      </c>
      <c r="E88" s="60" t="s">
        <v>63</v>
      </c>
      <c r="F88" s="61" t="s">
        <v>64</v>
      </c>
      <c r="G88" s="60" t="s">
        <v>65</v>
      </c>
      <c r="H88" s="61" t="s">
        <v>66</v>
      </c>
      <c r="I88" s="60" t="s">
        <v>67</v>
      </c>
      <c r="J88" s="61" t="s">
        <v>68</v>
      </c>
      <c r="K88" s="60" t="s">
        <v>69</v>
      </c>
      <c r="L88" s="61" t="s">
        <v>70</v>
      </c>
      <c r="M88" s="60" t="s">
        <v>71</v>
      </c>
      <c r="N88" s="61" t="s">
        <v>72</v>
      </c>
      <c r="O88" s="60" t="s">
        <v>73</v>
      </c>
      <c r="P88" s="59" t="s">
        <v>19</v>
      </c>
    </row>
    <row r="89" spans="1:16" ht="21.95" customHeight="1">
      <c r="B89" s="62" t="s">
        <v>132</v>
      </c>
      <c r="C89" s="63">
        <f>SUM(tblMisc[[#Totals],[JAN]],tblFinancial[[#Totals],[JAN]],tblPersonal[[#Totals],[JAN]],tblDues[[#Totals],[JAN]],tblRecreation[[#Totals],[JAN]],tblVacations[[#Totals],[JAN]],tblHealth[[#Totals],[JAN]],tblEntertainment[[#Totals],[JAN]],tblTransportation[[#Totals],[JAN]],tblDaily[[#Totals],[JAN]],tblHome[[#Totals],[JAN]])</f>
        <v>98590</v>
      </c>
      <c r="D89" s="64">
        <f>SUM(tblMisc[[#Totals],[FEB]],tblFinancial[[#Totals],[FEB]],tblPersonal[[#Totals],[FEB]],tblDues[[#Totals],[FEB]],tblRecreation[[#Totals],[FEB]],tblVacations[[#Totals],[FEB]],tblHealth[[#Totals],[FEB]],tblEntertainment[[#Totals],[FEB]],tblTransportation[[#Totals],[FEB]],tblDaily[[#Totals],[FEB]],tblHome[[#Totals],[FEB]])</f>
        <v>94590</v>
      </c>
      <c r="E89" s="63">
        <f>SUM(tblMisc[[#Totals],[MAR]],tblFinancial[[#Totals],[MAR]],tblPersonal[[#Totals],[MAR]],tblDues[[#Totals],[MAR]],tblRecreation[[#Totals],[MAR]],tblVacations[[#Totals],[MAR]],tblHealth[[#Totals],[MAR]],tblEntertainment[[#Totals],[MAR]],tblTransportation[[#Totals],[MAR]],tblDaily[[#Totals],[MAR]],tblHome[[#Totals],[MAR]])</f>
        <v>98990</v>
      </c>
      <c r="F89" s="64">
        <f>SUM(tblMisc[[#Totals],[APR]],tblFinancial[[#Totals],[APR]],tblPersonal[[#Totals],[APR]],tblDues[[#Totals],[APR]],tblRecreation[[#Totals],[APR]],tblVacations[[#Totals],[APR]],tblHealth[[#Totals],[APR]],tblEntertainment[[#Totals],[APR]],tblTransportation[[#Totals],[APR]],tblDaily[[#Totals],[APR]],tblHome[[#Totals],[APR]])</f>
        <v>167390</v>
      </c>
      <c r="G89" s="63">
        <f>SUM(tblMisc[[#Totals],[MAY]],tblFinancial[[#Totals],[MAY]],tblPersonal[[#Totals],[MAY]],tblDues[[#Totals],[MAY]],tblRecreation[[#Totals],[MAY]],tblVacations[[#Totals],[MAY]],tblHealth[[#Totals],[MAY]],tblEntertainment[[#Totals],[MAY]],tblTransportation[[#Totals],[MAY]],tblDaily[[#Totals],[MAY]],tblHome[[#Totals],[MAY]])</f>
        <v>134990</v>
      </c>
      <c r="H89" s="64">
        <f>SUM(tblMisc[[#Totals],[JUN]],tblFinancial[[#Totals],[JUN]],tblPersonal[[#Totals],[JUN]],tblDues[[#Totals],[JUN]],tblRecreation[[#Totals],[JUN]],tblVacations[[#Totals],[JUN]],tblHealth[[#Totals],[JUN]],tblEntertainment[[#Totals],[JUN]],tblTransportation[[#Totals],[JUN]],tblDaily[[#Totals],[JUN]],tblHome[[#Totals],[JUN]])</f>
        <v>108490</v>
      </c>
      <c r="I89" s="63">
        <f>SUM(tblMisc[[#Totals],[JUL]],tblFinancial[[#Totals],[JUL]],tblPersonal[[#Totals],[JUL]],tblDues[[#Totals],[JUL]],tblRecreation[[#Totals],[JUL]],tblVacations[[#Totals],[JUL]],tblHealth[[#Totals],[JUL]],tblEntertainment[[#Totals],[JUL]],tblTransportation[[#Totals],[JUL]],tblDaily[[#Totals],[JUL]],tblHome[[#Totals],[JUL]])</f>
        <v>150190</v>
      </c>
      <c r="J89" s="63">
        <f>SUM(tblMisc[[#Totals],[AUG]],tblFinancial[[#Totals],[AUG]],tblPersonal[[#Totals],[AUG]],tblDues[[#Totals],[AUG]],tblRecreation[[#Totals],[AUG]],tblVacations[[#Totals],[AUG]],tblHealth[[#Totals],[AUG]],tblEntertainment[[#Totals],[AUG]],tblTransportation[[#Totals],[AUG]],tblDaily[[#Totals],[AUG]],tblHome[[#Totals],[AUG]])</f>
        <v>98690</v>
      </c>
      <c r="K89" s="63">
        <f>SUM(tblMisc[[#Totals],[SEP]],tblFinancial[[#Totals],[SEP]],tblPersonal[[#Totals],[SEP]],tblDues[[#Totals],[SEP]],tblRecreation[[#Totals],[SEP]],tblVacations[[#Totals],[SEP]],tblHealth[[#Totals],[SEP]],tblEntertainment[[#Totals],[SEP]],tblTransportation[[#Totals],[SEP]],tblDaily[[#Totals],[SEP]],tblHome[[#Totals],[SEP]])</f>
        <v>100390</v>
      </c>
      <c r="L89" s="64">
        <f>SUM(tblMisc[[#Totals],[OCT]],tblFinancial[[#Totals],[OCT]],tblPersonal[[#Totals],[OCT]],tblDues[[#Totals],[OCT]],tblRecreation[[#Totals],[OCT]],tblVacations[[#Totals],[OCT]],tblHealth[[#Totals],[OCT]],tblEntertainment[[#Totals],[OCT]],tblTransportation[[#Totals],[OCT]],tblDaily[[#Totals],[OCT]],tblHome[[#Totals],[OCT]])</f>
        <v>101290</v>
      </c>
      <c r="M89" s="63">
        <f>SUM(tblMisc[[#Totals],[NOV]],tblFinancial[[#Totals],[NOV]],tblPersonal[[#Totals],[NOV]],tblDues[[#Totals],[NOV]],tblRecreation[[#Totals],[NOV]],tblVacations[[#Totals],[NOV]],tblHealth[[#Totals],[NOV]],tblEntertainment[[#Totals],[NOV]],tblTransportation[[#Totals],[NOV]],tblDaily[[#Totals],[NOV]],tblHome[[#Totals],[NOV]])</f>
        <v>107590</v>
      </c>
      <c r="N89" s="64">
        <f>SUM(tblMisc[[#Totals],[DEC]],tblFinancial[[#Totals],[DEC]],tblPersonal[[#Totals],[DEC]],tblDues[[#Totals],[DEC]],tblRecreation[[#Totals],[DEC]],tblVacations[[#Totals],[DEC]],tblHealth[[#Totals],[DEC]],tblEntertainment[[#Totals],[DEC]],tblTransportation[[#Totals],[DEC]],tblDaily[[#Totals],[DEC]],tblHome[[#Totals],[DEC]])</f>
        <v>102590</v>
      </c>
      <c r="O89" s="64">
        <f>SUM(tblMisc[[#Totals],[YEAR]],tblFinancial[[#Totals],[YEAR]],tblPersonal[[#Totals],[YEAR]],tblDues[[#Totals],[YEAR]],tblRecreation[[#Totals],[YEAR]],tblVacations[[#Totals],[YEAR]],tblHealth[[#Totals],[YEAR]],tblEntertainment[[#Totals],[YEAR]],tblTransportation[[#Totals],[YEAR]],tblDaily[[#Totals],[YEAR]],tblHome[[#Totals],[YEAR]])</f>
        <v>1363780</v>
      </c>
      <c r="P89" s="65"/>
    </row>
    <row r="90" spans="1:16" ht="21.95" customHeight="1">
      <c r="B90" s="62" t="s">
        <v>133</v>
      </c>
      <c r="C90" s="66">
        <f>tblIncome[[#Totals],[JAN]]-C89</f>
        <v>4410</v>
      </c>
      <c r="D90" s="67">
        <f>tblIncome[[#Totals],[FEB]]-D89</f>
        <v>8410</v>
      </c>
      <c r="E90" s="66">
        <f>tblIncome[[#Totals],[MAR]]-E89</f>
        <v>4010</v>
      </c>
      <c r="F90" s="68">
        <f>tblIncome[[#Totals],[APR]]-F89</f>
        <v>-32390</v>
      </c>
      <c r="G90" s="68">
        <f>tblIncome[[#Totals],[MAY]]-G89</f>
        <v>-28990</v>
      </c>
      <c r="H90" s="69">
        <f>tblIncome[[#Totals],[JUN]]-H89</f>
        <v>31510</v>
      </c>
      <c r="I90" s="68">
        <f>tblIncome[[#Totals],[JUL]]-I89</f>
        <v>-37190</v>
      </c>
      <c r="J90" s="69">
        <f>tblIncome[[#Totals],[AUG]]-J89</f>
        <v>15310</v>
      </c>
      <c r="K90" s="66">
        <f>tblIncome[[#Totals],[SEP]]-K89</f>
        <v>34610</v>
      </c>
      <c r="L90" s="69">
        <f>tblIncome[[#Totals],[OCT]]-L89</f>
        <v>11710</v>
      </c>
      <c r="M90" s="66">
        <f>tblIncome[[#Totals],[NOV]]-M89</f>
        <v>6410</v>
      </c>
      <c r="N90" s="69">
        <f>tblIncome[[#Totals],[DEC]]-N89</f>
        <v>22410</v>
      </c>
      <c r="O90" s="67">
        <f>tblIncome[[#Totals],[YEAR]]-O89</f>
        <v>43220</v>
      </c>
      <c r="P90" s="65"/>
    </row>
    <row r="92" spans="1:16" ht="21.95" customHeight="1">
      <c r="A92" s="31"/>
    </row>
    <row r="93" spans="1:16" ht="21.95" customHeight="1">
      <c r="A93" s="31"/>
    </row>
  </sheetData>
  <conditionalFormatting sqref="J90">
    <cfRule type="cellIs" dxfId="424" priority="1" operator="lessThan">
      <formula>0</formula>
    </cfRule>
  </conditionalFormatting>
  <dataValidations count="1">
    <dataValidation allowBlank="1" showInputMessage="1" showErrorMessage="1" prompt="Manage your personal budget using this spreadsheet. Enter your income and expenses details in the tables below. Totals for each table are auto calculated. Summary for income vs total expenses starts at row 105._x000a_" sqref="A1" xr:uid="{8D75D5FA-EF71-43D9-9A5D-B9485728D744}"/>
  </dataValidations>
  <printOptions horizontalCentered="1"/>
  <pageMargins left="0.25" right="0.25" top="0.75" bottom="0.75" header="0.3" footer="0.3"/>
  <pageSetup fitToHeight="0" orientation="landscape" r:id="rId1"/>
  <headerFooter differentFirst="1"/>
  <tableParts count="13">
    <tablePart r:id="rId2"/>
    <tablePart r:id="rId3"/>
    <tablePart r:id="rId4"/>
    <tablePart r:id="rId5"/>
    <tablePart r:id="rId6"/>
    <tablePart r:id="rId7"/>
    <tablePart r:id="rId8"/>
    <tablePart r:id="rId9"/>
    <tablePart r:id="rId10"/>
    <tablePart r:id="rId11"/>
    <tablePart r:id="rId12"/>
    <tablePart r:id="rId13"/>
    <tablePart r:id="rId14"/>
  </tableParts>
  <extLst>
    <ext xmlns:x14="http://schemas.microsoft.com/office/spreadsheetml/2009/9/main" uri="{05C60535-1F16-4fd2-B633-F4F36F0B64E0}">
      <x14:sparklineGroups xmlns:xm="http://schemas.microsoft.com/office/excel/2006/main">
        <x14:sparklineGroup displayEmptyCellsAs="gap" high="1" low="1" xr2:uid="{2788429B-B3B8-47E3-9A84-0EE2EB8B8688}">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FINANCE'!C4:N4</xm:f>
              <xm:sqref>P4</xm:sqref>
            </x14:sparkline>
            <x14:sparkline>
              <xm:f>'PERSONAL FINANCE'!C5:N5</xm:f>
              <xm:sqref>P5</xm:sqref>
            </x14:sparkline>
            <x14:sparkline>
              <xm:f>'PERSONAL FINANCE'!C6:N6</xm:f>
              <xm:sqref>P6</xm:sqref>
            </x14:sparkline>
            <x14:sparkline>
              <xm:f>'PERSONAL FINANCE'!C7:N7</xm:f>
              <xm:sqref>P7</xm:sqref>
            </x14:sparkline>
          </x14:sparklines>
        </x14:sparklineGroup>
        <x14:sparklineGroup displayEmptyCellsAs="gap" high="1" low="1" xr2:uid="{9986DA16-9F3E-4C1D-8B59-EA85C245C6EE}">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FINANCE'!C62:N62</xm:f>
              <xm:sqref>P62</xm:sqref>
            </x14:sparkline>
            <x14:sparkline>
              <xm:f>'PERSONAL FINANCE'!C63:N63</xm:f>
              <xm:sqref>P63</xm:sqref>
            </x14:sparkline>
            <x14:sparkline>
              <xm:f>'PERSONAL FINANCE'!C64:N64</xm:f>
              <xm:sqref>P64</xm:sqref>
            </x14:sparkline>
            <x14:sparkline>
              <xm:f>'PERSONAL FINANCE'!C65:N65</xm:f>
              <xm:sqref>P65</xm:sqref>
            </x14:sparkline>
            <x14:sparkline>
              <xm:f>'PERSONAL FINANCE'!C66:N66</xm:f>
              <xm:sqref>P66</xm:sqref>
            </x14:sparkline>
            <x14:sparkline>
              <xm:f>'PERSONAL FINANCE'!C67:N67</xm:f>
              <xm:sqref>P67</xm:sqref>
            </x14:sparkline>
          </x14:sparklines>
        </x14:sparklineGroup>
        <x14:sparklineGroup displayEmptyCellsAs="gap" high="1" low="1" xr2:uid="{333893E2-82F2-42E9-8138-95A052DE9864}">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FINANCE'!C70:N70</xm:f>
              <xm:sqref>P70</xm:sqref>
            </x14:sparkline>
            <x14:sparkline>
              <xm:f>'PERSONAL FINANCE'!C71:N71</xm:f>
              <xm:sqref>P71</xm:sqref>
            </x14:sparkline>
            <x14:sparkline>
              <xm:f>'PERSONAL FINANCE'!C72:N72</xm:f>
              <xm:sqref>P72</xm:sqref>
            </x14:sparkline>
            <x14:sparkline>
              <xm:f>'PERSONAL FINANCE'!C73:N73</xm:f>
              <xm:sqref>P73</xm:sqref>
            </x14:sparkline>
            <x14:sparkline>
              <xm:f>'PERSONAL FINANCE'!C74:N74</xm:f>
              <xm:sqref>P74</xm:sqref>
            </x14:sparkline>
          </x14:sparklines>
        </x14:sparklineGroup>
        <x14:sparklineGroup displayEmptyCellsAs="gap" high="1" low="1" xr2:uid="{50234570-9F82-4D5A-BDBD-199203B158D2}">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FINANCE'!C77:N77</xm:f>
              <xm:sqref>P77</xm:sqref>
            </x14:sparkline>
            <x14:sparkline>
              <xm:f>'PERSONAL FINANCE'!C78:N78</xm:f>
              <xm:sqref>P78</xm:sqref>
            </x14:sparkline>
            <x14:sparkline>
              <xm:f>'PERSONAL FINANCE'!C79:N79</xm:f>
              <xm:sqref>P79</xm:sqref>
            </x14:sparkline>
            <x14:sparkline>
              <xm:f>'PERSONAL FINANCE'!C80:N80</xm:f>
              <xm:sqref>P80</xm:sqref>
            </x14:sparkline>
            <x14:sparkline>
              <xm:f>'PERSONAL FINANCE'!C81:N81</xm:f>
              <xm:sqref>P81</xm:sqref>
            </x14:sparkline>
          </x14:sparklines>
        </x14:sparklineGroup>
        <x14:sparklineGroup displayEmptyCellsAs="gap" markers="1" high="1" low="1" xr2:uid="{5B7F55F0-029C-4FB7-A61E-9285EF6B24D1}">
          <x14:colorSeries theme="0"/>
          <x14:colorNegative theme="6"/>
          <x14:colorAxis rgb="FF000000"/>
          <x14:colorMarkers theme="0"/>
          <x14:colorFirst theme="5" tint="0.39997558519241921"/>
          <x14:colorLast theme="5" tint="0.39997558519241921"/>
          <x14:colorHigh theme="5"/>
          <x14:colorLow theme="5"/>
          <x14:sparklines>
            <x14:sparkline>
              <xm:f>'PERSONAL FINANCE'!C89:N89</xm:f>
              <xm:sqref>P89</xm:sqref>
            </x14:sparkline>
            <x14:sparkline>
              <xm:f>'PERSONAL FINANCE'!C90:N90</xm:f>
              <xm:sqref>P90</xm:sqref>
            </x14:sparkline>
          </x14:sparklines>
        </x14:sparklineGroup>
        <x14:sparklineGroup displayEmptyCellsAs="gap" high="1" low="1" xr2:uid="{A3C1B674-B388-4628-AED2-585FA2483F68}">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FINANCE'!C84:N84</xm:f>
              <xm:sqref>P84</xm:sqref>
            </x14:sparkline>
            <x14:sparkline>
              <xm:f>'PERSONAL FINANCE'!C85:N85</xm:f>
              <xm:sqref>P85</xm:sqref>
            </x14:sparkline>
            <x14:sparkline>
              <xm:f>'PERSONAL FINANCE'!C86:N86</xm:f>
              <xm:sqref>P86</xm:sqref>
            </x14:sparkline>
          </x14:sparklines>
        </x14:sparklineGroup>
        <x14:sparklineGroup displayEmptyCellsAs="gap" high="1" low="1" xr2:uid="{5FE6A0FB-C860-4955-BA6F-904452266237}">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FINANCE'!C57:N57</xm:f>
              <xm:sqref>P57</xm:sqref>
            </x14:sparkline>
            <x14:sparkline>
              <xm:f>'PERSONAL FINANCE'!C58:N58</xm:f>
              <xm:sqref>P58</xm:sqref>
            </x14:sparkline>
            <x14:sparkline>
              <xm:f>'PERSONAL FINANCE'!C59:N59</xm:f>
              <xm:sqref>P59</xm:sqref>
            </x14:sparkline>
          </x14:sparklines>
        </x14:sparklineGroup>
        <x14:sparklineGroup displayEmptyCellsAs="gap" high="1" low="1" xr2:uid="{920E022D-DC2F-438D-B6AC-352D12433046}">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FINANCE'!C49:N49</xm:f>
              <xm:sqref>P49</xm:sqref>
            </x14:sparkline>
            <x14:sparkline>
              <xm:f>'PERSONAL FINANCE'!C50:N50</xm:f>
              <xm:sqref>P50</xm:sqref>
            </x14:sparkline>
            <x14:sparkline>
              <xm:f>'PERSONAL FINANCE'!C51:N51</xm:f>
              <xm:sqref>P51</xm:sqref>
            </x14:sparkline>
            <x14:sparkline>
              <xm:f>'PERSONAL FINANCE'!C52:N52</xm:f>
              <xm:sqref>P52</xm:sqref>
            </x14:sparkline>
            <x14:sparkline>
              <xm:f>'PERSONAL FINANCE'!C53:N53</xm:f>
              <xm:sqref>P53</xm:sqref>
            </x14:sparkline>
            <x14:sparkline>
              <xm:f>'PERSONAL FINANCE'!C54:N54</xm:f>
              <xm:sqref>P54</xm:sqref>
            </x14:sparkline>
          </x14:sparklines>
        </x14:sparklineGroup>
        <x14:sparklineGroup displayEmptyCellsAs="gap" high="1" low="1" xr2:uid="{A4F0BA63-4423-463D-91BF-54C7EBDE9ECA}">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FINANCE'!C40:N40</xm:f>
              <xm:sqref>P40</xm:sqref>
            </x14:sparkline>
            <x14:sparkline>
              <xm:f>'PERSONAL FINANCE'!C41:N41</xm:f>
              <xm:sqref>P41</xm:sqref>
            </x14:sparkline>
            <x14:sparkline>
              <xm:f>'PERSONAL FINANCE'!C42:N42</xm:f>
              <xm:sqref>P42</xm:sqref>
            </x14:sparkline>
            <x14:sparkline>
              <xm:f>'PERSONAL FINANCE'!C43:N43</xm:f>
              <xm:sqref>P43</xm:sqref>
            </x14:sparkline>
            <x14:sparkline>
              <xm:f>'PERSONAL FINANCE'!C44:N44</xm:f>
              <xm:sqref>P44</xm:sqref>
            </x14:sparkline>
            <x14:sparkline>
              <xm:f>'PERSONAL FINANCE'!C45:N45</xm:f>
              <xm:sqref>P45</xm:sqref>
            </x14:sparkline>
            <x14:sparkline>
              <xm:f>'PERSONAL FINANCE'!C46:N46</xm:f>
              <xm:sqref>P46</xm:sqref>
            </x14:sparkline>
          </x14:sparklines>
        </x14:sparklineGroup>
        <x14:sparklineGroup displayEmptyCellsAs="gap" high="1" low="1" xr2:uid="{84EF9D3C-3FE6-47C6-8E8C-23B5F1B1B7D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FINANCE'!C35:N35</xm:f>
              <xm:sqref>P35</xm:sqref>
            </x14:sparkline>
            <x14:sparkline>
              <xm:f>'PERSONAL FINANCE'!C36:N36</xm:f>
              <xm:sqref>P36</xm:sqref>
            </x14:sparkline>
            <x14:sparkline>
              <xm:f>'PERSONAL FINANCE'!C37:N37</xm:f>
              <xm:sqref>P37</xm:sqref>
            </x14:sparkline>
          </x14:sparklines>
        </x14:sparklineGroup>
        <x14:sparklineGroup displayEmptyCellsAs="gap" high="1" low="1" xr2:uid="{A90D002D-1425-426E-9B36-7EBEC559918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FINANCE'!C26:N26</xm:f>
              <xm:sqref>P26</xm:sqref>
            </x14:sparkline>
            <x14:sparkline>
              <xm:f>'PERSONAL FINANCE'!C27:N27</xm:f>
              <xm:sqref>P27</xm:sqref>
            </x14:sparkline>
            <x14:sparkline>
              <xm:f>'PERSONAL FINANCE'!C28:N28</xm:f>
              <xm:sqref>P28</xm:sqref>
            </x14:sparkline>
            <x14:sparkline>
              <xm:f>'PERSONAL FINANCE'!C29:N29</xm:f>
              <xm:sqref>P29</xm:sqref>
            </x14:sparkline>
            <x14:sparkline>
              <xm:f>'PERSONAL FINANCE'!C30:N30</xm:f>
              <xm:sqref>P30</xm:sqref>
            </x14:sparkline>
            <x14:sparkline>
              <xm:f>'PERSONAL FINANCE'!C31:N31</xm:f>
              <xm:sqref>P31</xm:sqref>
            </x14:sparkline>
            <x14:sparkline>
              <xm:f>'PERSONAL FINANCE'!C32:N32</xm:f>
              <xm:sqref>P32</xm:sqref>
            </x14:sparkline>
          </x14:sparklines>
        </x14:sparklineGroup>
        <x14:sparklineGroup displayEmptyCellsAs="gap" high="1" low="1" xr2:uid="{9ED5FE4E-FCD2-4623-89E9-2565549332B2}">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FINANCE'!C19:N19</xm:f>
              <xm:sqref>P19</xm:sqref>
            </x14:sparkline>
            <x14:sparkline>
              <xm:f>'PERSONAL FINANCE'!C20:N20</xm:f>
              <xm:sqref>P20</xm:sqref>
            </x14:sparkline>
            <x14:sparkline>
              <xm:f>'PERSONAL FINANCE'!C21:N21</xm:f>
              <xm:sqref>P21</xm:sqref>
            </x14:sparkline>
            <x14:sparkline>
              <xm:f>'PERSONAL FINANCE'!C22:N22</xm:f>
              <xm:sqref>P22</xm:sqref>
            </x14:sparkline>
            <x14:sparkline>
              <xm:f>'PERSONAL FINANCE'!C23:N23</xm:f>
              <xm:sqref>P23</xm:sqref>
            </x14:sparkline>
          </x14:sparklines>
        </x14:sparklineGroup>
        <x14:sparklineGroup displayEmptyCellsAs="gap" high="1" low="1" xr2:uid="{20A3BF2E-FFFA-4C65-987E-EC33AAA132FB}">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FINANCE'!C11:N11</xm:f>
              <xm:sqref>P11</xm:sqref>
            </x14:sparkline>
            <x14:sparkline>
              <xm:f>'PERSONAL FINANCE'!C12:N12</xm:f>
              <xm:sqref>P12</xm:sqref>
            </x14:sparkline>
            <x14:sparkline>
              <xm:f>'PERSONAL FINANCE'!C13:N13</xm:f>
              <xm:sqref>P13</xm:sqref>
            </x14:sparkline>
            <x14:sparkline>
              <xm:f>'PERSONAL FINANCE'!C14:N14</xm:f>
              <xm:sqref>P14</xm:sqref>
            </x14:sparkline>
            <x14:sparkline>
              <xm:f>'PERSONAL FINANCE'!C15:N15</xm:f>
              <xm:sqref>P15</xm:sqref>
            </x14:sparkline>
            <x14:sparkline>
              <xm:f>'PERSONAL FINANCE'!C16:N16</xm:f>
              <xm:sqref>P16</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ABB8D-2364-4CC5-AEF4-1538ABBB48BB}">
  <dimension ref="A1:G91"/>
  <sheetViews>
    <sheetView topLeftCell="A67" workbookViewId="0">
      <selection activeCell="B69" sqref="B69"/>
    </sheetView>
  </sheetViews>
  <sheetFormatPr defaultRowHeight="25.5"/>
  <cols>
    <col min="1" max="1" width="13.59765625" customWidth="1"/>
    <col min="2" max="2" width="11.46484375" customWidth="1"/>
    <col min="3" max="3" width="12.06640625" bestFit="1" customWidth="1"/>
    <col min="5" max="5" width="15.19921875" bestFit="1" customWidth="1"/>
    <col min="6" max="6" width="16.265625" bestFit="1" customWidth="1"/>
    <col min="7" max="7" width="14.86328125" bestFit="1" customWidth="1"/>
    <col min="8" max="8" width="15.19921875" bestFit="1" customWidth="1"/>
  </cols>
  <sheetData>
    <row r="1" spans="1:7">
      <c r="A1" t="s">
        <v>210</v>
      </c>
    </row>
    <row r="3" spans="1:7">
      <c r="A3" s="89" t="s">
        <v>134</v>
      </c>
      <c r="B3" s="89" t="s">
        <v>207</v>
      </c>
      <c r="C3" s="89" t="s">
        <v>208</v>
      </c>
      <c r="D3" s="89" t="s">
        <v>209</v>
      </c>
      <c r="E3" s="89" t="s">
        <v>204</v>
      </c>
      <c r="F3" s="89" t="s">
        <v>206</v>
      </c>
      <c r="G3" s="89" t="s">
        <v>205</v>
      </c>
    </row>
    <row r="4" spans="1:7">
      <c r="A4" s="88" t="s">
        <v>200</v>
      </c>
      <c r="B4" s="70" t="s">
        <v>203</v>
      </c>
      <c r="C4" s="70" t="s">
        <v>135</v>
      </c>
      <c r="D4" s="70" t="s">
        <v>136</v>
      </c>
      <c r="E4" t="str">
        <f>TRIM(B4&amp;" "&amp;C4&amp;" "&amp;D4)</f>
        <v>Md Babul Mia</v>
      </c>
      <c r="F4" t="str">
        <f t="shared" ref="F4:F16" si="0">_xlfn.TEXTJOIN(" ",TRUE,B4,C4,D4)</f>
        <v>Md Babul Mia</v>
      </c>
      <c r="G4" t="str">
        <f t="shared" ref="G4:G16" si="1">TRIM(_xlfn.CONCAT(B4, " ",C4, " ",D4))</f>
        <v>Md Babul Mia</v>
      </c>
    </row>
    <row r="5" spans="1:7">
      <c r="A5" s="88" t="s">
        <v>198</v>
      </c>
      <c r="B5" s="70" t="s">
        <v>137</v>
      </c>
      <c r="C5" s="70"/>
      <c r="D5" s="70" t="s">
        <v>199</v>
      </c>
      <c r="E5" t="str">
        <f t="shared" ref="E5:E16" si="2">TRIM(B5&amp;" "&amp;C5&amp;" "&amp;D5)</f>
        <v>Kabir Bakul</v>
      </c>
      <c r="F5" t="str">
        <f t="shared" si="0"/>
        <v>Kabir Bakul</v>
      </c>
      <c r="G5" t="str">
        <f t="shared" si="1"/>
        <v>Kabir Bakul</v>
      </c>
    </row>
    <row r="6" spans="1:7">
      <c r="A6" s="88" t="s">
        <v>139</v>
      </c>
      <c r="B6" s="70" t="s">
        <v>140</v>
      </c>
      <c r="C6" s="70"/>
      <c r="D6" s="70" t="s">
        <v>141</v>
      </c>
      <c r="E6" t="str">
        <f t="shared" si="2"/>
        <v>Aynul Islam</v>
      </c>
      <c r="F6" t="str">
        <f t="shared" si="0"/>
        <v>Aynul Islam</v>
      </c>
      <c r="G6" t="str">
        <f t="shared" si="1"/>
        <v>Aynul Islam</v>
      </c>
    </row>
    <row r="7" spans="1:7">
      <c r="A7" s="88" t="s">
        <v>142</v>
      </c>
      <c r="B7" s="70" t="s">
        <v>143</v>
      </c>
      <c r="C7" s="70"/>
      <c r="D7" s="70" t="s">
        <v>144</v>
      </c>
      <c r="E7" t="str">
        <f t="shared" si="2"/>
        <v>Moshiur Rahman</v>
      </c>
      <c r="F7" t="str">
        <f t="shared" si="0"/>
        <v>Moshiur Rahman</v>
      </c>
      <c r="G7" t="str">
        <f t="shared" si="1"/>
        <v>Moshiur Rahman</v>
      </c>
    </row>
    <row r="8" spans="1:7">
      <c r="A8" s="88" t="s">
        <v>145</v>
      </c>
      <c r="B8" s="70" t="s">
        <v>146</v>
      </c>
      <c r="C8" s="70"/>
      <c r="D8" s="70" t="s">
        <v>136</v>
      </c>
      <c r="E8" t="str">
        <f t="shared" si="2"/>
        <v>Roknuzzaman Mia</v>
      </c>
      <c r="F8" t="str">
        <f t="shared" si="0"/>
        <v>Roknuzzaman Mia</v>
      </c>
      <c r="G8" t="str">
        <f t="shared" si="1"/>
        <v>Roknuzzaman Mia</v>
      </c>
    </row>
    <row r="9" spans="1:7">
      <c r="A9" s="88" t="s">
        <v>201</v>
      </c>
      <c r="B9" s="70" t="s">
        <v>202</v>
      </c>
      <c r="C9" s="70" t="s">
        <v>147</v>
      </c>
      <c r="D9" s="70" t="s">
        <v>136</v>
      </c>
      <c r="E9" t="str">
        <f t="shared" si="2"/>
        <v>MD Kaosar Mia</v>
      </c>
      <c r="F9" t="str">
        <f t="shared" si="0"/>
        <v>MD Kaosar Mia</v>
      </c>
      <c r="G9" t="str">
        <f t="shared" si="1"/>
        <v>MD Kaosar Mia</v>
      </c>
    </row>
    <row r="10" spans="1:7">
      <c r="A10" s="88" t="s">
        <v>48</v>
      </c>
      <c r="B10" s="70" t="s">
        <v>148</v>
      </c>
      <c r="C10" s="70"/>
      <c r="D10" s="70" t="s">
        <v>138</v>
      </c>
      <c r="E10" t="str">
        <f t="shared" si="2"/>
        <v>Belal Hossain</v>
      </c>
      <c r="F10" t="str">
        <f t="shared" si="0"/>
        <v>Belal Hossain</v>
      </c>
      <c r="G10" t="str">
        <f t="shared" si="1"/>
        <v>Belal Hossain</v>
      </c>
    </row>
    <row r="11" spans="1:7">
      <c r="A11" s="88" t="s">
        <v>149</v>
      </c>
      <c r="B11" s="70" t="s">
        <v>150</v>
      </c>
      <c r="C11" s="70"/>
      <c r="D11" s="70" t="s">
        <v>151</v>
      </c>
      <c r="E11" t="str">
        <f t="shared" si="2"/>
        <v>Imamul Haque</v>
      </c>
      <c r="F11" t="str">
        <f t="shared" si="0"/>
        <v>Imamul Haque</v>
      </c>
      <c r="G11" t="str">
        <f t="shared" si="1"/>
        <v>Imamul Haque</v>
      </c>
    </row>
    <row r="12" spans="1:7">
      <c r="A12" s="88" t="s">
        <v>152</v>
      </c>
      <c r="B12" s="70" t="s">
        <v>153</v>
      </c>
      <c r="C12" s="70"/>
      <c r="D12" s="70" t="s">
        <v>154</v>
      </c>
      <c r="E12" t="str">
        <f t="shared" si="2"/>
        <v>Toslim Uddin</v>
      </c>
      <c r="F12" t="str">
        <f t="shared" si="0"/>
        <v>Toslim Uddin</v>
      </c>
      <c r="G12" t="str">
        <f t="shared" si="1"/>
        <v>Toslim Uddin</v>
      </c>
    </row>
    <row r="13" spans="1:7">
      <c r="A13" s="88" t="s">
        <v>155</v>
      </c>
      <c r="B13" s="70" t="s">
        <v>156</v>
      </c>
      <c r="C13" s="70"/>
      <c r="D13" s="70" t="s">
        <v>157</v>
      </c>
      <c r="E13" t="str">
        <f t="shared" si="2"/>
        <v>Bulbul Hosen</v>
      </c>
      <c r="F13" t="str">
        <f t="shared" si="0"/>
        <v>Bulbul Hosen</v>
      </c>
      <c r="G13" t="str">
        <f t="shared" si="1"/>
        <v>Bulbul Hosen</v>
      </c>
    </row>
    <row r="14" spans="1:7">
      <c r="A14" s="88" t="s">
        <v>158</v>
      </c>
      <c r="B14" s="70" t="s">
        <v>159</v>
      </c>
      <c r="C14" s="70"/>
      <c r="D14" s="70" t="s">
        <v>151</v>
      </c>
      <c r="E14" t="str">
        <f t="shared" si="2"/>
        <v>Manhagul Haque</v>
      </c>
      <c r="F14" t="str">
        <f t="shared" si="0"/>
        <v>Manhagul Haque</v>
      </c>
      <c r="G14" t="str">
        <f t="shared" si="1"/>
        <v>Manhagul Haque</v>
      </c>
    </row>
    <row r="15" spans="1:7">
      <c r="A15" s="88" t="s">
        <v>160</v>
      </c>
      <c r="B15" s="70" t="s">
        <v>161</v>
      </c>
      <c r="C15" s="70"/>
      <c r="D15" s="70" t="s">
        <v>141</v>
      </c>
      <c r="E15" t="str">
        <f t="shared" si="2"/>
        <v>Jahidul Islam</v>
      </c>
      <c r="F15" t="str">
        <f t="shared" si="0"/>
        <v>Jahidul Islam</v>
      </c>
      <c r="G15" t="str">
        <f t="shared" si="1"/>
        <v>Jahidul Islam</v>
      </c>
    </row>
    <row r="16" spans="1:7">
      <c r="A16" s="88" t="s">
        <v>162</v>
      </c>
      <c r="B16" s="70" t="s">
        <v>163</v>
      </c>
      <c r="C16" s="70"/>
      <c r="D16" s="70" t="s">
        <v>164</v>
      </c>
      <c r="E16" t="str">
        <f t="shared" si="2"/>
        <v>Moudud Hossen</v>
      </c>
      <c r="F16" t="str">
        <f t="shared" si="0"/>
        <v>Moudud Hossen</v>
      </c>
      <c r="G16" t="str">
        <f t="shared" si="1"/>
        <v>Moudud Hossen</v>
      </c>
    </row>
    <row r="20" spans="1:7">
      <c r="A20" s="89" t="s">
        <v>134</v>
      </c>
      <c r="B20" s="89" t="s">
        <v>207</v>
      </c>
      <c r="C20" s="89" t="s">
        <v>208</v>
      </c>
      <c r="D20" s="89" t="s">
        <v>209</v>
      </c>
      <c r="E20" s="89" t="s">
        <v>204</v>
      </c>
      <c r="F20" s="89" t="s">
        <v>206</v>
      </c>
      <c r="G20" s="89" t="s">
        <v>205</v>
      </c>
    </row>
    <row r="21" spans="1:7">
      <c r="A21" s="88" t="s">
        <v>200</v>
      </c>
      <c r="B21" t="s">
        <v>203</v>
      </c>
      <c r="C21" t="s">
        <v>135</v>
      </c>
      <c r="D21" t="s">
        <v>136</v>
      </c>
    </row>
    <row r="22" spans="1:7">
      <c r="A22" s="88" t="s">
        <v>198</v>
      </c>
      <c r="B22" t="s">
        <v>137</v>
      </c>
      <c r="D22" t="s">
        <v>199</v>
      </c>
    </row>
    <row r="23" spans="1:7">
      <c r="A23" s="88" t="s">
        <v>139</v>
      </c>
      <c r="B23" t="s">
        <v>140</v>
      </c>
      <c r="D23" t="s">
        <v>141</v>
      </c>
    </row>
    <row r="24" spans="1:7">
      <c r="A24" s="88" t="s">
        <v>142</v>
      </c>
      <c r="B24" t="s">
        <v>143</v>
      </c>
      <c r="D24" t="s">
        <v>144</v>
      </c>
    </row>
    <row r="25" spans="1:7">
      <c r="A25" s="88" t="s">
        <v>145</v>
      </c>
      <c r="B25" t="s">
        <v>146</v>
      </c>
      <c r="D25" t="s">
        <v>136</v>
      </c>
    </row>
    <row r="26" spans="1:7">
      <c r="A26" s="88" t="s">
        <v>201</v>
      </c>
      <c r="B26" t="s">
        <v>202</v>
      </c>
      <c r="C26" t="s">
        <v>147</v>
      </c>
      <c r="D26" t="s">
        <v>136</v>
      </c>
    </row>
    <row r="27" spans="1:7">
      <c r="A27" s="88" t="s">
        <v>48</v>
      </c>
      <c r="B27" t="s">
        <v>148</v>
      </c>
      <c r="D27" t="s">
        <v>138</v>
      </c>
    </row>
    <row r="28" spans="1:7">
      <c r="A28" s="88" t="s">
        <v>149</v>
      </c>
      <c r="B28" t="s">
        <v>150</v>
      </c>
      <c r="D28" t="s">
        <v>151</v>
      </c>
    </row>
    <row r="29" spans="1:7">
      <c r="A29" s="88" t="s">
        <v>152</v>
      </c>
      <c r="B29" t="s">
        <v>153</v>
      </c>
      <c r="D29" t="s">
        <v>154</v>
      </c>
    </row>
    <row r="30" spans="1:7">
      <c r="A30" s="88" t="s">
        <v>155</v>
      </c>
      <c r="B30" t="s">
        <v>156</v>
      </c>
      <c r="D30" t="s">
        <v>157</v>
      </c>
    </row>
    <row r="31" spans="1:7">
      <c r="A31" s="88" t="s">
        <v>158</v>
      </c>
      <c r="B31" t="s">
        <v>159</v>
      </c>
      <c r="D31" t="s">
        <v>151</v>
      </c>
    </row>
    <row r="32" spans="1:7">
      <c r="A32" s="88" t="s">
        <v>160</v>
      </c>
      <c r="B32" t="s">
        <v>161</v>
      </c>
      <c r="D32" t="s">
        <v>141</v>
      </c>
    </row>
    <row r="33" spans="1:4">
      <c r="A33" s="88" t="s">
        <v>162</v>
      </c>
      <c r="B33" t="s">
        <v>163</v>
      </c>
      <c r="D33" t="s">
        <v>164</v>
      </c>
    </row>
    <row r="36" spans="1:4">
      <c r="A36" s="130" t="s">
        <v>213</v>
      </c>
      <c r="B36" s="130"/>
    </row>
    <row r="38" spans="1:4" ht="26.25">
      <c r="A38" s="93" t="s">
        <v>214</v>
      </c>
    </row>
    <row r="40" spans="1:4">
      <c r="A40" s="94" t="s">
        <v>215</v>
      </c>
      <c r="B40" s="94" t="s">
        <v>216</v>
      </c>
      <c r="C40" s="95" t="s">
        <v>217</v>
      </c>
    </row>
    <row r="41" spans="1:4">
      <c r="A41" t="s">
        <v>218</v>
      </c>
      <c r="B41" t="s">
        <v>218</v>
      </c>
      <c r="C41" t="b">
        <f>EXACT(A41,B41)</f>
        <v>1</v>
      </c>
    </row>
    <row r="42" spans="1:4">
      <c r="A42" t="s">
        <v>218</v>
      </c>
      <c r="B42" t="s">
        <v>219</v>
      </c>
      <c r="C42" t="b">
        <f t="shared" ref="C42:C43" si="3">EXACT(A42,B42)</f>
        <v>0</v>
      </c>
    </row>
    <row r="43" spans="1:4">
      <c r="A43" t="s">
        <v>218</v>
      </c>
      <c r="B43" t="s">
        <v>220</v>
      </c>
      <c r="C43" t="b">
        <f t="shared" si="3"/>
        <v>0</v>
      </c>
    </row>
    <row r="45" spans="1:4" ht="26.25">
      <c r="A45" s="93" t="s">
        <v>221</v>
      </c>
    </row>
    <row r="47" spans="1:4">
      <c r="A47" s="94" t="s">
        <v>222</v>
      </c>
      <c r="B47" s="95" t="s">
        <v>217</v>
      </c>
    </row>
    <row r="48" spans="1:4">
      <c r="A48" t="s">
        <v>223</v>
      </c>
      <c r="B48" t="str">
        <f>TRIM(A48)</f>
        <v>Rahim Uddin</v>
      </c>
    </row>
    <row r="49" spans="1:2">
      <c r="A49" t="s">
        <v>224</v>
      </c>
      <c r="B49" t="str">
        <f t="shared" ref="B49:B50" si="4">TRIM(A49)</f>
        <v>Rahim Uddin</v>
      </c>
    </row>
    <row r="50" spans="1:2">
      <c r="A50" t="s">
        <v>225</v>
      </c>
      <c r="B50" t="str">
        <f t="shared" si="4"/>
        <v>Rahim Uddin</v>
      </c>
    </row>
    <row r="52" spans="1:2" ht="26.25">
      <c r="A52" s="93" t="s">
        <v>226</v>
      </c>
    </row>
    <row r="54" spans="1:2">
      <c r="A54" s="94" t="s">
        <v>222</v>
      </c>
      <c r="B54" s="95" t="s">
        <v>217</v>
      </c>
    </row>
    <row r="55" spans="1:2">
      <c r="A55" t="s">
        <v>227</v>
      </c>
      <c r="B55" t="str">
        <f>UPPER(A55)</f>
        <v>RAHIM    UDDIN</v>
      </c>
    </row>
    <row r="56" spans="1:2">
      <c r="A56" t="s">
        <v>228</v>
      </c>
      <c r="B56" t="str">
        <f t="shared" ref="B56:B57" si="5">UPPER(A56)</f>
        <v>RAHIM    UDDIN</v>
      </c>
    </row>
    <row r="57" spans="1:2">
      <c r="A57" t="s">
        <v>229</v>
      </c>
      <c r="B57" t="str">
        <f t="shared" si="5"/>
        <v>RAHIM    UDDIN</v>
      </c>
    </row>
    <row r="59" spans="1:2" ht="26.25">
      <c r="A59" s="93" t="s">
        <v>230</v>
      </c>
    </row>
    <row r="61" spans="1:2">
      <c r="A61" s="94" t="s">
        <v>222</v>
      </c>
      <c r="B61" s="95" t="s">
        <v>217</v>
      </c>
    </row>
    <row r="62" spans="1:2">
      <c r="A62" t="s">
        <v>223</v>
      </c>
      <c r="B62" t="str">
        <f>LOWER(A62)</f>
        <v>rahim    uddin</v>
      </c>
    </row>
    <row r="63" spans="1:2">
      <c r="A63" t="s">
        <v>231</v>
      </c>
      <c r="B63" t="str">
        <f>TRIM(LOWER(A63))</f>
        <v>rahim uddin</v>
      </c>
    </row>
    <row r="66" spans="1:2" ht="26.25">
      <c r="A66" s="93" t="s">
        <v>232</v>
      </c>
    </row>
    <row r="68" spans="1:2">
      <c r="A68" s="94" t="s">
        <v>222</v>
      </c>
      <c r="B68" s="95" t="s">
        <v>217</v>
      </c>
    </row>
    <row r="69" spans="1:2">
      <c r="A69" t="s">
        <v>233</v>
      </c>
      <c r="B69" t="str">
        <f>PROPER(A69)</f>
        <v>Rahim    Uddin</v>
      </c>
    </row>
    <row r="70" spans="1:2">
      <c r="A70" t="s">
        <v>233</v>
      </c>
      <c r="B70" t="str">
        <f>TRIM(PROPER(A70))</f>
        <v>Rahim Uddin</v>
      </c>
    </row>
    <row r="84" spans="1:3">
      <c r="A84" t="s">
        <v>222</v>
      </c>
      <c r="B84" t="s">
        <v>207</v>
      </c>
      <c r="C84" t="s">
        <v>209</v>
      </c>
    </row>
    <row r="85" spans="1:3">
      <c r="A85" t="s">
        <v>234</v>
      </c>
      <c r="B85" t="s">
        <v>135</v>
      </c>
      <c r="C85" t="s">
        <v>235</v>
      </c>
    </row>
    <row r="86" spans="1:3">
      <c r="A86" t="s">
        <v>236</v>
      </c>
      <c r="B86" t="s">
        <v>218</v>
      </c>
      <c r="C86" t="s">
        <v>154</v>
      </c>
    </row>
    <row r="87" spans="1:3">
      <c r="A87" t="s">
        <v>234</v>
      </c>
      <c r="B87" t="s">
        <v>135</v>
      </c>
      <c r="C87" t="s">
        <v>235</v>
      </c>
    </row>
    <row r="88" spans="1:3">
      <c r="A88" t="s">
        <v>236</v>
      </c>
      <c r="B88" t="s">
        <v>218</v>
      </c>
      <c r="C88" t="s">
        <v>154</v>
      </c>
    </row>
    <row r="89" spans="1:3">
      <c r="A89" t="s">
        <v>234</v>
      </c>
      <c r="B89" t="s">
        <v>135</v>
      </c>
      <c r="C89" t="s">
        <v>235</v>
      </c>
    </row>
    <row r="90" spans="1:3">
      <c r="A90" t="s">
        <v>236</v>
      </c>
      <c r="B90" t="s">
        <v>218</v>
      </c>
      <c r="C90" t="s">
        <v>154</v>
      </c>
    </row>
    <row r="91" spans="1:3">
      <c r="A91" t="s">
        <v>234</v>
      </c>
      <c r="B91" t="s">
        <v>135</v>
      </c>
      <c r="C91" t="s">
        <v>235</v>
      </c>
    </row>
  </sheetData>
  <autoFilter ref="C20:C33" xr:uid="{2E1ABB8D-2364-4CC5-AEF4-1538ABBB48BB}"/>
  <mergeCells count="1">
    <mergeCell ref="A36:B3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DB16E-05FE-4AAA-9D4C-823C344A36A2}">
  <dimension ref="A2:K37"/>
  <sheetViews>
    <sheetView topLeftCell="D33" zoomScale="115" zoomScaleNormal="115" workbookViewId="0">
      <selection activeCell="I28" sqref="I28"/>
    </sheetView>
  </sheetViews>
  <sheetFormatPr defaultColWidth="9.1328125" defaultRowHeight="14.25"/>
  <cols>
    <col min="1" max="16384" width="9.1328125" style="70"/>
  </cols>
  <sheetData>
    <row r="2" spans="2:6">
      <c r="B2" s="70">
        <v>1</v>
      </c>
    </row>
    <row r="3" spans="2:6">
      <c r="B3" s="70">
        <v>2</v>
      </c>
      <c r="D3" s="70">
        <v>1</v>
      </c>
    </row>
    <row r="4" spans="2:6">
      <c r="B4" s="70">
        <v>3</v>
      </c>
      <c r="D4" s="70">
        <v>2</v>
      </c>
    </row>
    <row r="5" spans="2:6">
      <c r="B5" s="70">
        <v>4</v>
      </c>
      <c r="D5" s="70">
        <v>3</v>
      </c>
    </row>
    <row r="6" spans="2:6">
      <c r="B6" s="70">
        <v>5</v>
      </c>
      <c r="D6" s="70">
        <v>4</v>
      </c>
    </row>
    <row r="7" spans="2:6">
      <c r="B7" s="70">
        <v>6</v>
      </c>
    </row>
    <row r="8" spans="2:6">
      <c r="B8" s="70">
        <v>7</v>
      </c>
      <c r="F8" s="70">
        <v>-15</v>
      </c>
    </row>
    <row r="9" spans="2:6">
      <c r="B9" s="70">
        <v>8</v>
      </c>
      <c r="F9" s="70">
        <v>-14</v>
      </c>
    </row>
    <row r="10" spans="2:6">
      <c r="B10" s="70">
        <v>9</v>
      </c>
      <c r="F10" s="70">
        <v>-13</v>
      </c>
    </row>
    <row r="11" spans="2:6">
      <c r="B11" s="70">
        <v>10</v>
      </c>
      <c r="F11" s="70">
        <v>-12</v>
      </c>
    </row>
    <row r="12" spans="2:6">
      <c r="B12" s="70">
        <v>11</v>
      </c>
      <c r="F12" s="70">
        <v>-11</v>
      </c>
    </row>
    <row r="13" spans="2:6">
      <c r="B13" s="70">
        <v>12</v>
      </c>
      <c r="F13" s="70">
        <v>-10</v>
      </c>
    </row>
    <row r="14" spans="2:6">
      <c r="B14" s="70">
        <v>13</v>
      </c>
      <c r="F14" s="70">
        <v>-9</v>
      </c>
    </row>
    <row r="15" spans="2:6">
      <c r="B15" s="70">
        <v>14</v>
      </c>
      <c r="F15" s="70">
        <v>-8</v>
      </c>
    </row>
    <row r="16" spans="2:6">
      <c r="F16" s="70">
        <v>-7</v>
      </c>
    </row>
    <row r="17" spans="3:11">
      <c r="F17" s="70">
        <v>-6</v>
      </c>
    </row>
    <row r="18" spans="3:11">
      <c r="F18" s="70">
        <v>-5</v>
      </c>
    </row>
    <row r="19" spans="3:11">
      <c r="F19" s="70">
        <v>-4</v>
      </c>
    </row>
    <row r="20" spans="3:11">
      <c r="F20" s="70">
        <v>-3</v>
      </c>
    </row>
    <row r="21" spans="3:11">
      <c r="F21" s="70">
        <v>-2</v>
      </c>
    </row>
    <row r="22" spans="3:11">
      <c r="F22" s="70">
        <v>-1</v>
      </c>
    </row>
    <row r="23" spans="3:11">
      <c r="D23" s="70">
        <v>-4</v>
      </c>
      <c r="E23" s="70">
        <v>-1</v>
      </c>
      <c r="F23" s="70">
        <v>0</v>
      </c>
      <c r="G23" s="70">
        <v>2</v>
      </c>
      <c r="H23" s="70">
        <v>3</v>
      </c>
      <c r="I23" s="70">
        <v>4</v>
      </c>
      <c r="J23" s="70">
        <v>5</v>
      </c>
      <c r="K23" s="70">
        <v>6</v>
      </c>
    </row>
    <row r="27" spans="3:11">
      <c r="C27" s="70">
        <v>-9</v>
      </c>
      <c r="E27" s="70">
        <v>-9</v>
      </c>
      <c r="F27" s="70" t="s">
        <v>165</v>
      </c>
      <c r="G27" s="70" t="s">
        <v>176</v>
      </c>
    </row>
    <row r="28" spans="3:11">
      <c r="C28" s="70">
        <v>-8</v>
      </c>
      <c r="E28" s="70">
        <v>-8</v>
      </c>
      <c r="F28" s="70" t="s">
        <v>166</v>
      </c>
      <c r="G28" s="70" t="s">
        <v>177</v>
      </c>
      <c r="I28" s="70">
        <v>1</v>
      </c>
    </row>
    <row r="29" spans="3:11">
      <c r="C29" s="70">
        <v>-7</v>
      </c>
      <c r="E29" s="70">
        <v>-7</v>
      </c>
      <c r="F29" s="70" t="s">
        <v>167</v>
      </c>
      <c r="G29" s="70" t="s">
        <v>178</v>
      </c>
    </row>
    <row r="30" spans="3:11">
      <c r="C30" s="70">
        <v>-6</v>
      </c>
      <c r="E30" s="70">
        <v>-6</v>
      </c>
      <c r="F30" s="70" t="s">
        <v>168</v>
      </c>
      <c r="G30" s="70" t="s">
        <v>179</v>
      </c>
    </row>
    <row r="31" spans="3:11">
      <c r="C31" s="70">
        <v>-5</v>
      </c>
      <c r="E31" s="70">
        <v>-5</v>
      </c>
      <c r="F31" s="70" t="s">
        <v>169</v>
      </c>
      <c r="G31" s="70" t="s">
        <v>180</v>
      </c>
    </row>
    <row r="32" spans="3:11">
      <c r="C32" s="70">
        <v>-4</v>
      </c>
      <c r="E32" s="70">
        <v>-4</v>
      </c>
      <c r="F32" s="70" t="s">
        <v>170</v>
      </c>
      <c r="G32" s="70" t="s">
        <v>181</v>
      </c>
    </row>
    <row r="33" spans="1:7">
      <c r="C33" s="70">
        <v>-3</v>
      </c>
      <c r="E33" s="70">
        <v>-3</v>
      </c>
      <c r="F33" s="70" t="s">
        <v>171</v>
      </c>
      <c r="G33" s="70" t="s">
        <v>182</v>
      </c>
    </row>
    <row r="34" spans="1:7">
      <c r="C34" s="70">
        <v>-2</v>
      </c>
      <c r="E34" s="70">
        <v>-2</v>
      </c>
      <c r="F34" s="70" t="s">
        <v>172</v>
      </c>
      <c r="G34" s="70" t="s">
        <v>176</v>
      </c>
    </row>
    <row r="35" spans="1:7">
      <c r="C35" s="70">
        <v>-1</v>
      </c>
      <c r="E35" s="70">
        <v>-1</v>
      </c>
      <c r="F35" s="70" t="s">
        <v>173</v>
      </c>
      <c r="G35" s="70" t="s">
        <v>177</v>
      </c>
    </row>
    <row r="36" spans="1:7">
      <c r="C36" s="70">
        <v>0</v>
      </c>
      <c r="E36" s="70">
        <v>0</v>
      </c>
      <c r="F36" s="70" t="s">
        <v>174</v>
      </c>
      <c r="G36" s="70" t="s">
        <v>178</v>
      </c>
    </row>
    <row r="37" spans="1:7">
      <c r="A37" s="70">
        <v>-1</v>
      </c>
      <c r="B37" s="70">
        <v>0</v>
      </c>
      <c r="C37" s="70">
        <v>1</v>
      </c>
      <c r="E37" s="70">
        <v>1</v>
      </c>
      <c r="F37" s="70" t="s">
        <v>175</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747B0-DC28-4328-9F9A-576BEE4DF709}">
  <dimension ref="A1:E12"/>
  <sheetViews>
    <sheetView workbookViewId="0">
      <selection activeCell="E2" sqref="E2:E6"/>
    </sheetView>
  </sheetViews>
  <sheetFormatPr defaultRowHeight="25.5"/>
  <sheetData>
    <row r="1" spans="1:5">
      <c r="A1">
        <v>1</v>
      </c>
      <c r="C1" t="s">
        <v>293</v>
      </c>
    </row>
    <row r="2" spans="1:5">
      <c r="A2">
        <v>2</v>
      </c>
      <c r="C2" t="s">
        <v>294</v>
      </c>
      <c r="E2" t="s">
        <v>305</v>
      </c>
    </row>
    <row r="3" spans="1:5">
      <c r="A3">
        <v>3</v>
      </c>
      <c r="C3" t="s">
        <v>295</v>
      </c>
      <c r="E3" t="s">
        <v>306</v>
      </c>
    </row>
    <row r="4" spans="1:5">
      <c r="A4">
        <v>4</v>
      </c>
      <c r="C4" t="s">
        <v>296</v>
      </c>
      <c r="E4" t="s">
        <v>307</v>
      </c>
    </row>
    <row r="5" spans="1:5">
      <c r="A5">
        <v>5</v>
      </c>
      <c r="C5" t="s">
        <v>297</v>
      </c>
      <c r="E5" t="s">
        <v>308</v>
      </c>
    </row>
    <row r="6" spans="1:5">
      <c r="A6">
        <v>6</v>
      </c>
      <c r="C6" t="s">
        <v>298</v>
      </c>
      <c r="E6" t="s">
        <v>309</v>
      </c>
    </row>
    <row r="7" spans="1:5">
      <c r="A7">
        <v>7</v>
      </c>
      <c r="C7" t="s">
        <v>299</v>
      </c>
    </row>
    <row r="8" spans="1:5">
      <c r="A8">
        <v>8</v>
      </c>
      <c r="C8" t="s">
        <v>300</v>
      </c>
    </row>
    <row r="9" spans="1:5">
      <c r="A9">
        <v>9</v>
      </c>
      <c r="C9" t="s">
        <v>301</v>
      </c>
    </row>
    <row r="10" spans="1:5">
      <c r="A10">
        <v>10</v>
      </c>
      <c r="C10" t="s">
        <v>302</v>
      </c>
    </row>
    <row r="11" spans="1:5">
      <c r="C11" t="s">
        <v>303</v>
      </c>
    </row>
    <row r="12" spans="1:5">
      <c r="C12" t="s">
        <v>304</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4A09E-976F-4883-8DE5-5F512B72637F}">
  <dimension ref="B1:M29"/>
  <sheetViews>
    <sheetView tabSelected="1" topLeftCell="D18" workbookViewId="0">
      <selection activeCell="L25" sqref="L25"/>
    </sheetView>
  </sheetViews>
  <sheetFormatPr defaultRowHeight="25.5"/>
  <cols>
    <col min="1" max="1" width="2.73046875" customWidth="1"/>
    <col min="2" max="4" width="6.86328125" style="1" customWidth="1"/>
    <col min="5" max="5" width="8.9296875" style="1" bestFit="1" customWidth="1"/>
    <col min="6" max="6" width="13.86328125" style="1" bestFit="1" customWidth="1"/>
    <col min="7" max="9" width="6.86328125" style="1" customWidth="1"/>
    <col min="10" max="10" width="7.796875" style="1" bestFit="1" customWidth="1"/>
    <col min="12" max="12" width="9.796875" customWidth="1"/>
  </cols>
  <sheetData>
    <row r="1" spans="2:13" ht="26.25" thickBot="1"/>
    <row r="2" spans="2:13">
      <c r="B2" s="2" t="s">
        <v>0</v>
      </c>
      <c r="C2" s="3" t="s">
        <v>192</v>
      </c>
      <c r="D2" s="3" t="s">
        <v>1</v>
      </c>
      <c r="E2" s="3" t="s">
        <v>2</v>
      </c>
      <c r="F2" s="3" t="s">
        <v>3</v>
      </c>
      <c r="G2" s="3" t="s">
        <v>4</v>
      </c>
      <c r="H2" s="3" t="s">
        <v>5</v>
      </c>
      <c r="I2" s="3" t="s">
        <v>6</v>
      </c>
      <c r="J2" s="4" t="s">
        <v>7</v>
      </c>
    </row>
    <row r="3" spans="2:13">
      <c r="B3" s="5">
        <v>6</v>
      </c>
      <c r="C3" s="72" t="s">
        <v>188</v>
      </c>
      <c r="D3" s="6">
        <v>270</v>
      </c>
      <c r="E3" s="6">
        <v>82</v>
      </c>
      <c r="F3" s="6">
        <v>64</v>
      </c>
      <c r="G3" s="6">
        <v>63</v>
      </c>
      <c r="H3" s="6">
        <v>72</v>
      </c>
      <c r="I3" s="6">
        <f t="shared" ref="I3:I12" si="0">E3+F3+G3+H3</f>
        <v>281</v>
      </c>
      <c r="J3" s="7">
        <f t="shared" ref="J3:J12" si="1">I3/D3</f>
        <v>1.0407407407407407</v>
      </c>
      <c r="L3" t="s">
        <v>237</v>
      </c>
      <c r="M3">
        <v>89</v>
      </c>
    </row>
    <row r="4" spans="2:13">
      <c r="B4" s="5">
        <v>4</v>
      </c>
      <c r="C4" s="72" t="s">
        <v>186</v>
      </c>
      <c r="D4" s="6">
        <v>225</v>
      </c>
      <c r="E4" s="6">
        <v>60</v>
      </c>
      <c r="F4" s="6">
        <v>79</v>
      </c>
      <c r="G4" s="6">
        <v>77</v>
      </c>
      <c r="H4" s="6">
        <v>89</v>
      </c>
      <c r="I4" s="6">
        <f t="shared" si="0"/>
        <v>305</v>
      </c>
      <c r="J4" s="7">
        <f t="shared" si="1"/>
        <v>1.3555555555555556</v>
      </c>
      <c r="L4" t="s">
        <v>238</v>
      </c>
      <c r="M4">
        <v>70</v>
      </c>
    </row>
    <row r="5" spans="2:13">
      <c r="B5" s="5">
        <v>7</v>
      </c>
      <c r="C5" s="72" t="s">
        <v>193</v>
      </c>
      <c r="D5" s="6">
        <v>380</v>
      </c>
      <c r="E5" s="6">
        <v>79</v>
      </c>
      <c r="F5" s="6">
        <v>65</v>
      </c>
      <c r="G5" s="6">
        <v>85</v>
      </c>
      <c r="H5" s="6">
        <v>78</v>
      </c>
      <c r="I5" s="6">
        <f t="shared" si="0"/>
        <v>307</v>
      </c>
      <c r="J5" s="7">
        <f t="shared" si="1"/>
        <v>0.80789473684210522</v>
      </c>
      <c r="L5" t="s">
        <v>239</v>
      </c>
      <c r="M5" t="s">
        <v>240</v>
      </c>
    </row>
    <row r="6" spans="2:13">
      <c r="B6" s="5">
        <v>9</v>
      </c>
      <c r="C6" s="72" t="s">
        <v>190</v>
      </c>
      <c r="D6" s="6">
        <v>250</v>
      </c>
      <c r="E6" s="6">
        <v>71</v>
      </c>
      <c r="F6" s="6">
        <v>74</v>
      </c>
      <c r="G6" s="6">
        <v>88</v>
      </c>
      <c r="H6" s="6">
        <v>78</v>
      </c>
      <c r="I6" s="6">
        <f t="shared" si="0"/>
        <v>311</v>
      </c>
      <c r="J6" s="7">
        <f t="shared" si="1"/>
        <v>1.244</v>
      </c>
    </row>
    <row r="7" spans="2:13">
      <c r="B7" s="5">
        <v>3</v>
      </c>
      <c r="C7" s="72" t="s">
        <v>184</v>
      </c>
      <c r="D7" s="6">
        <v>400</v>
      </c>
      <c r="E7" s="6">
        <v>78</v>
      </c>
      <c r="F7" s="6">
        <v>68</v>
      </c>
      <c r="G7" s="6">
        <v>76</v>
      </c>
      <c r="H7" s="6">
        <v>94</v>
      </c>
      <c r="I7" s="6">
        <f t="shared" si="0"/>
        <v>316</v>
      </c>
      <c r="J7" s="7">
        <f t="shared" si="1"/>
        <v>0.79</v>
      </c>
    </row>
    <row r="8" spans="2:13">
      <c r="B8" s="5">
        <v>10</v>
      </c>
      <c r="C8" s="72" t="s">
        <v>191</v>
      </c>
      <c r="D8" s="6">
        <v>320</v>
      </c>
      <c r="E8" s="6">
        <v>98</v>
      </c>
      <c r="F8" s="6">
        <v>64</v>
      </c>
      <c r="G8" s="6">
        <v>97</v>
      </c>
      <c r="H8" s="6">
        <v>63</v>
      </c>
      <c r="I8" s="6">
        <f t="shared" si="0"/>
        <v>322</v>
      </c>
      <c r="J8" s="7">
        <f t="shared" si="1"/>
        <v>1.0062500000000001</v>
      </c>
    </row>
    <row r="9" spans="2:13">
      <c r="B9" s="5">
        <v>8</v>
      </c>
      <c r="C9" s="72" t="s">
        <v>189</v>
      </c>
      <c r="D9" s="6">
        <v>320</v>
      </c>
      <c r="E9" s="6">
        <v>93</v>
      </c>
      <c r="F9" s="6">
        <v>92</v>
      </c>
      <c r="G9" s="6">
        <v>62</v>
      </c>
      <c r="H9" s="6">
        <v>84</v>
      </c>
      <c r="I9" s="6">
        <f t="shared" si="0"/>
        <v>331</v>
      </c>
      <c r="J9" s="7">
        <f t="shared" si="1"/>
        <v>1.034375</v>
      </c>
    </row>
    <row r="10" spans="2:13">
      <c r="B10" s="5">
        <v>2</v>
      </c>
      <c r="C10" s="72" t="s">
        <v>183</v>
      </c>
      <c r="D10" s="6">
        <v>250</v>
      </c>
      <c r="E10" s="6">
        <v>96</v>
      </c>
      <c r="F10" s="6">
        <v>97</v>
      </c>
      <c r="G10" s="6">
        <v>64</v>
      </c>
      <c r="H10" s="6">
        <v>80</v>
      </c>
      <c r="I10" s="6">
        <f t="shared" si="0"/>
        <v>337</v>
      </c>
      <c r="J10" s="7">
        <f t="shared" si="1"/>
        <v>1.3480000000000001</v>
      </c>
    </row>
    <row r="11" spans="2:13">
      <c r="B11" s="5">
        <v>1</v>
      </c>
      <c r="C11" s="72" t="s">
        <v>185</v>
      </c>
      <c r="D11" s="6">
        <v>300</v>
      </c>
      <c r="E11" s="6">
        <v>93</v>
      </c>
      <c r="F11" s="6">
        <v>98</v>
      </c>
      <c r="G11" s="6">
        <v>82</v>
      </c>
      <c r="H11" s="6">
        <v>79</v>
      </c>
      <c r="I11" s="6">
        <f t="shared" si="0"/>
        <v>352</v>
      </c>
      <c r="J11" s="7">
        <f t="shared" si="1"/>
        <v>1.1733333333333333</v>
      </c>
    </row>
    <row r="12" spans="2:13" ht="26.25" thickBot="1">
      <c r="B12" s="8">
        <v>5</v>
      </c>
      <c r="C12" s="73" t="s">
        <v>187</v>
      </c>
      <c r="D12" s="9">
        <v>420</v>
      </c>
      <c r="E12" s="9">
        <v>88</v>
      </c>
      <c r="F12" s="9">
        <v>90</v>
      </c>
      <c r="G12" s="9">
        <v>95</v>
      </c>
      <c r="H12" s="9">
        <v>81</v>
      </c>
      <c r="I12" s="9">
        <f t="shared" si="0"/>
        <v>354</v>
      </c>
      <c r="J12" s="10">
        <f t="shared" si="1"/>
        <v>0.84285714285714286</v>
      </c>
    </row>
    <row r="14" spans="2:13" ht="26.25" thickBot="1"/>
    <row r="15" spans="2:13">
      <c r="B15" s="2" t="s">
        <v>0</v>
      </c>
      <c r="C15" s="3" t="s">
        <v>192</v>
      </c>
      <c r="D15" s="3" t="s">
        <v>1</v>
      </c>
      <c r="E15" s="3" t="s">
        <v>2</v>
      </c>
      <c r="F15" s="3" t="s">
        <v>3</v>
      </c>
      <c r="G15" s="3" t="s">
        <v>4</v>
      </c>
      <c r="H15" s="3" t="s">
        <v>5</v>
      </c>
      <c r="I15" s="3" t="s">
        <v>6</v>
      </c>
      <c r="J15" s="4" t="s">
        <v>7</v>
      </c>
      <c r="L15" t="s">
        <v>237</v>
      </c>
      <c r="M15" s="127">
        <v>90</v>
      </c>
    </row>
    <row r="16" spans="2:13">
      <c r="B16" s="5">
        <v>1</v>
      </c>
      <c r="C16" s="72" t="s">
        <v>185</v>
      </c>
      <c r="D16" s="6">
        <v>456</v>
      </c>
      <c r="E16" s="6">
        <v>91</v>
      </c>
      <c r="F16" s="6">
        <v>98</v>
      </c>
      <c r="G16" s="6">
        <v>82</v>
      </c>
      <c r="H16" s="6">
        <v>79</v>
      </c>
      <c r="I16" s="6">
        <f t="shared" ref="I16:I25" si="2">E16+F16+G16+H16</f>
        <v>350</v>
      </c>
      <c r="J16" s="7">
        <f t="shared" ref="J16:J24" si="3">I16/D16</f>
        <v>0.76754385964912286</v>
      </c>
      <c r="L16" t="s">
        <v>238</v>
      </c>
      <c r="M16" s="128">
        <v>70</v>
      </c>
    </row>
    <row r="17" spans="2:13">
      <c r="B17" s="5">
        <v>2</v>
      </c>
      <c r="C17" s="72" t="s">
        <v>183</v>
      </c>
      <c r="D17" s="6">
        <v>250</v>
      </c>
      <c r="E17" s="6">
        <v>96</v>
      </c>
      <c r="F17" s="6">
        <v>97</v>
      </c>
      <c r="G17" s="6">
        <v>64</v>
      </c>
      <c r="H17" s="6">
        <v>80</v>
      </c>
      <c r="I17" s="6">
        <f t="shared" si="2"/>
        <v>337</v>
      </c>
      <c r="J17" s="7">
        <f t="shared" si="3"/>
        <v>1.3480000000000001</v>
      </c>
    </row>
    <row r="18" spans="2:13">
      <c r="B18" s="5">
        <v>3</v>
      </c>
      <c r="C18" s="72" t="s">
        <v>184</v>
      </c>
      <c r="D18" s="6">
        <v>400</v>
      </c>
      <c r="E18" s="6">
        <v>78</v>
      </c>
      <c r="F18" s="6">
        <v>68</v>
      </c>
      <c r="G18" s="6">
        <v>76</v>
      </c>
      <c r="H18" s="6">
        <v>94</v>
      </c>
      <c r="I18" s="6">
        <f t="shared" si="2"/>
        <v>316</v>
      </c>
      <c r="J18" s="7">
        <f t="shared" si="3"/>
        <v>0.79</v>
      </c>
      <c r="L18" s="131" t="s">
        <v>239</v>
      </c>
      <c r="M18" s="127">
        <f>M15</f>
        <v>90</v>
      </c>
    </row>
    <row r="19" spans="2:13">
      <c r="B19" s="5">
        <v>4</v>
      </c>
      <c r="C19" s="72" t="s">
        <v>186</v>
      </c>
      <c r="D19" s="126">
        <v>225</v>
      </c>
      <c r="E19" s="6">
        <v>69</v>
      </c>
      <c r="F19" s="6">
        <v>79</v>
      </c>
      <c r="G19" s="6">
        <v>77</v>
      </c>
      <c r="H19" s="6">
        <v>89</v>
      </c>
      <c r="I19" s="6">
        <f t="shared" si="2"/>
        <v>314</v>
      </c>
      <c r="J19" s="7">
        <f t="shared" si="3"/>
        <v>1.3955555555555557</v>
      </c>
      <c r="L19" s="131"/>
      <c r="M19" s="128">
        <f>M16</f>
        <v>70</v>
      </c>
    </row>
    <row r="20" spans="2:13">
      <c r="B20" s="5">
        <v>5</v>
      </c>
      <c r="C20" s="72" t="s">
        <v>187</v>
      </c>
      <c r="D20" s="126">
        <v>420</v>
      </c>
      <c r="E20" s="6">
        <v>88</v>
      </c>
      <c r="F20" s="6">
        <v>90</v>
      </c>
      <c r="G20" s="6">
        <v>95</v>
      </c>
      <c r="H20" s="6">
        <v>81</v>
      </c>
      <c r="I20" s="126">
        <f t="shared" si="2"/>
        <v>354</v>
      </c>
      <c r="J20" s="7">
        <f t="shared" si="3"/>
        <v>0.84285714285714286</v>
      </c>
    </row>
    <row r="21" spans="2:13">
      <c r="B21" s="5">
        <v>6</v>
      </c>
      <c r="C21" s="72" t="s">
        <v>188</v>
      </c>
      <c r="D21" s="6">
        <v>270</v>
      </c>
      <c r="E21" s="6">
        <v>82</v>
      </c>
      <c r="F21" s="6">
        <v>70</v>
      </c>
      <c r="G21" s="6">
        <v>63</v>
      </c>
      <c r="H21" s="6">
        <v>72</v>
      </c>
      <c r="I21" s="126">
        <f t="shared" si="2"/>
        <v>287</v>
      </c>
      <c r="J21" s="7">
        <f t="shared" si="3"/>
        <v>1.0629629629629629</v>
      </c>
    </row>
    <row r="22" spans="2:13">
      <c r="B22" s="5">
        <v>7</v>
      </c>
      <c r="C22" s="72" t="s">
        <v>193</v>
      </c>
      <c r="D22" s="6">
        <v>380</v>
      </c>
      <c r="E22" s="6">
        <v>79</v>
      </c>
      <c r="F22" s="6">
        <v>65</v>
      </c>
      <c r="G22" s="6">
        <v>85</v>
      </c>
      <c r="H22" s="6">
        <v>78</v>
      </c>
      <c r="I22" s="6">
        <f t="shared" si="2"/>
        <v>307</v>
      </c>
      <c r="J22" s="7">
        <f t="shared" si="3"/>
        <v>0.80789473684210522</v>
      </c>
    </row>
    <row r="23" spans="2:13">
      <c r="B23" s="5">
        <v>8</v>
      </c>
      <c r="C23" s="72" t="s">
        <v>189</v>
      </c>
      <c r="D23" s="6">
        <v>320</v>
      </c>
      <c r="E23" s="6">
        <v>93</v>
      </c>
      <c r="F23" s="6">
        <v>92</v>
      </c>
      <c r="G23" s="6">
        <v>62</v>
      </c>
      <c r="H23" s="6">
        <v>84</v>
      </c>
      <c r="I23" s="6">
        <f t="shared" si="2"/>
        <v>331</v>
      </c>
      <c r="J23" s="7">
        <f t="shared" si="3"/>
        <v>1.034375</v>
      </c>
    </row>
    <row r="24" spans="2:13">
      <c r="B24" s="5">
        <v>9</v>
      </c>
      <c r="C24" s="72" t="s">
        <v>190</v>
      </c>
      <c r="D24" s="6">
        <v>250</v>
      </c>
      <c r="E24" s="6">
        <v>71</v>
      </c>
      <c r="F24" s="6">
        <v>74</v>
      </c>
      <c r="G24" s="6">
        <v>88</v>
      </c>
      <c r="H24" s="6">
        <v>78</v>
      </c>
      <c r="I24" s="6">
        <f t="shared" si="2"/>
        <v>311</v>
      </c>
      <c r="J24" s="7">
        <f>I24/D24</f>
        <v>1.244</v>
      </c>
    </row>
    <row r="25" spans="2:13" ht="26.25" thickBot="1">
      <c r="B25" s="8">
        <v>10</v>
      </c>
      <c r="C25" s="73" t="s">
        <v>191</v>
      </c>
      <c r="D25" s="9">
        <v>320</v>
      </c>
      <c r="E25" s="9">
        <v>98</v>
      </c>
      <c r="F25" s="9">
        <v>64</v>
      </c>
      <c r="G25" s="9">
        <v>97</v>
      </c>
      <c r="H25" s="9">
        <v>63</v>
      </c>
      <c r="I25" s="9">
        <f t="shared" si="2"/>
        <v>322</v>
      </c>
      <c r="J25" s="10">
        <v>0.99</v>
      </c>
    </row>
    <row r="26" spans="2:13">
      <c r="E26" s="96"/>
    </row>
    <row r="27" spans="2:13" s="1" customFormat="1">
      <c r="E27" s="96"/>
      <c r="K27"/>
      <c r="L27"/>
      <c r="M27"/>
    </row>
    <row r="28" spans="2:13" s="1" customFormat="1">
      <c r="E28" s="96"/>
      <c r="K28"/>
      <c r="L28"/>
      <c r="M28"/>
    </row>
    <row r="29" spans="2:13" s="1" customFormat="1">
      <c r="E29" s="96"/>
      <c r="K29"/>
      <c r="L29"/>
      <c r="M29"/>
    </row>
  </sheetData>
  <sortState xmlns:xlrd2="http://schemas.microsoft.com/office/spreadsheetml/2017/richdata2" ref="B16:J25">
    <sortCondition ref="B16:B25"/>
  </sortState>
  <mergeCells count="1">
    <mergeCell ref="L18:L19"/>
  </mergeCells>
  <conditionalFormatting sqref="D3:D12">
    <cfRule type="dataBar" priority="56">
      <dataBar>
        <cfvo type="min"/>
        <cfvo type="max"/>
        <color rgb="FF638EC6"/>
      </dataBar>
      <extLst>
        <ext xmlns:x14="http://schemas.microsoft.com/office/spreadsheetml/2009/9/main" uri="{B025F937-C7B1-47D3-B67F-A62EFF666E3E}">
          <x14:id>{CC30311B-08D8-434B-A5C5-1ED21D1B8E7F}</x14:id>
        </ext>
      </extLst>
    </cfRule>
  </conditionalFormatting>
  <conditionalFormatting sqref="E3:H12">
    <cfRule type="cellIs" dxfId="13" priority="59" operator="between">
      <formula>70</formula>
      <formula>89</formula>
    </cfRule>
    <cfRule type="cellIs" dxfId="12" priority="60" operator="lessThan">
      <formula>69</formula>
    </cfRule>
    <cfRule type="cellIs" dxfId="11" priority="61" operator="greaterThan">
      <formula>89</formula>
    </cfRule>
  </conditionalFormatting>
  <conditionalFormatting sqref="I3:I12">
    <cfRule type="colorScale" priority="44">
      <colorScale>
        <cfvo type="min"/>
        <cfvo type="max"/>
        <color rgb="FFFCFCFF"/>
        <color rgb="FF63BE7B"/>
      </colorScale>
    </cfRule>
    <cfRule type="colorScale" priority="55">
      <colorScale>
        <cfvo type="min"/>
        <cfvo type="percentile" val="50"/>
        <cfvo type="max"/>
        <color rgb="FFF8696B"/>
        <color rgb="FFFFEB84"/>
        <color rgb="FF63BE7B"/>
      </colorScale>
    </cfRule>
  </conditionalFormatting>
  <conditionalFormatting sqref="J3:J12">
    <cfRule type="top10" dxfId="10" priority="57" bottom="1" rank="3"/>
    <cfRule type="top10" dxfId="9" priority="58" rank="3"/>
  </conditionalFormatting>
  <conditionalFormatting sqref="D15:D25">
    <cfRule type="dataBar" priority="9">
      <dataBar>
        <cfvo type="min"/>
        <cfvo type="max"/>
        <color rgb="FF63C384"/>
      </dataBar>
      <extLst>
        <ext xmlns:x14="http://schemas.microsoft.com/office/spreadsheetml/2009/9/main" uri="{B025F937-C7B1-47D3-B67F-A62EFF666E3E}">
          <x14:id>{C358B078-2CB9-45D0-A45C-12EFFC8E9B75}</x14:id>
        </ext>
      </extLst>
    </cfRule>
  </conditionalFormatting>
  <conditionalFormatting sqref="J16:J25">
    <cfRule type="top10" dxfId="8" priority="8" rank="5"/>
    <cfRule type="top10" dxfId="7" priority="7" bottom="1" rank="3"/>
  </conditionalFormatting>
  <conditionalFormatting sqref="I16:I25">
    <cfRule type="cellIs" dxfId="6" priority="6" operator="between">
      <formula>50</formula>
      <formula>90</formula>
    </cfRule>
    <cfRule type="cellIs" dxfId="5" priority="5" operator="greaterThan">
      <formula>90</formula>
    </cfRule>
  </conditionalFormatting>
  <conditionalFormatting sqref="I22">
    <cfRule type="cellIs" dxfId="4" priority="4" operator="lessThan">
      <formula>70</formula>
    </cfRule>
    <cfRule type="cellIs" dxfId="3" priority="3" operator="lessThan">
      <formula>70</formula>
    </cfRule>
  </conditionalFormatting>
  <conditionalFormatting sqref="E16:H25">
    <cfRule type="cellIs" dxfId="2" priority="2" operator="greaterThan">
      <formula>90</formula>
    </cfRule>
    <cfRule type="cellIs" dxfId="1" priority="1" operator="lessThan">
      <formula>70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C30311B-08D8-434B-A5C5-1ED21D1B8E7F}">
            <x14:dataBar minLength="0" maxLength="100" border="1" negativeBarBorderColorSameAsPositive="0">
              <x14:cfvo type="autoMin"/>
              <x14:cfvo type="autoMax"/>
              <x14:borderColor rgb="FF638EC6"/>
              <x14:negativeFillColor rgb="FFFF0000"/>
              <x14:negativeBorderColor rgb="FFFF0000"/>
              <x14:axisColor rgb="FF000000"/>
            </x14:dataBar>
          </x14:cfRule>
          <xm:sqref>D3:D12</xm:sqref>
        </x14:conditionalFormatting>
        <x14:conditionalFormatting xmlns:xm="http://schemas.microsoft.com/office/excel/2006/main">
          <x14:cfRule type="dataBar" id="{C358B078-2CB9-45D0-A45C-12EFFC8E9B75}">
            <x14:dataBar minLength="0" maxLength="100" gradient="0">
              <x14:cfvo type="autoMin"/>
              <x14:cfvo type="autoMax"/>
              <x14:negativeFillColor rgb="FFFF0000"/>
              <x14:axisColor rgb="FF000000"/>
            </x14:dataBar>
          </x14:cfRule>
          <xm:sqref>D15:D25</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41346-3E8E-4F85-99D5-07663D638CBE}">
  <dimension ref="A1:I20"/>
  <sheetViews>
    <sheetView topLeftCell="B1" workbookViewId="0">
      <selection activeCell="I2" sqref="I2"/>
    </sheetView>
  </sheetViews>
  <sheetFormatPr defaultRowHeight="25.5"/>
  <cols>
    <col min="2" max="2" width="11.19921875" customWidth="1"/>
    <col min="3" max="3" width="10.6640625" customWidth="1"/>
    <col min="4" max="4" width="10.33203125" customWidth="1"/>
    <col min="6" max="6" width="13.06640625" customWidth="1"/>
    <col min="7" max="7" width="12.33203125" customWidth="1"/>
    <col min="9" max="9" width="12.265625" bestFit="1" customWidth="1"/>
  </cols>
  <sheetData>
    <row r="1" spans="1:9" ht="26.25">
      <c r="A1" s="108" t="s">
        <v>246</v>
      </c>
      <c r="B1" s="109" t="s">
        <v>247</v>
      </c>
      <c r="C1" s="109" t="s">
        <v>248</v>
      </c>
      <c r="D1" s="109" t="s">
        <v>249</v>
      </c>
      <c r="E1" s="109" t="s">
        <v>250</v>
      </c>
      <c r="F1" s="109" t="s">
        <v>251</v>
      </c>
      <c r="G1" s="110" t="s">
        <v>252</v>
      </c>
      <c r="I1" s="111" t="s">
        <v>251</v>
      </c>
    </row>
    <row r="2" spans="1:9">
      <c r="A2" s="112">
        <v>1001</v>
      </c>
      <c r="B2" s="113">
        <v>18705</v>
      </c>
      <c r="C2" s="113" t="s">
        <v>253</v>
      </c>
      <c r="D2" s="113" t="s">
        <v>254</v>
      </c>
      <c r="E2" s="113" t="s">
        <v>255</v>
      </c>
      <c r="F2" s="113" t="s">
        <v>256</v>
      </c>
      <c r="G2" s="114">
        <v>28060</v>
      </c>
      <c r="I2" s="115" t="s">
        <v>262</v>
      </c>
    </row>
    <row r="3" spans="1:9">
      <c r="A3" s="116">
        <v>1005</v>
      </c>
      <c r="B3" s="117">
        <v>13875</v>
      </c>
      <c r="C3" s="117" t="s">
        <v>258</v>
      </c>
      <c r="D3" s="117" t="s">
        <v>259</v>
      </c>
      <c r="E3" s="117" t="s">
        <v>255</v>
      </c>
      <c r="F3" s="117" t="s">
        <v>256</v>
      </c>
      <c r="G3" s="118">
        <v>28262</v>
      </c>
    </row>
    <row r="4" spans="1:9">
      <c r="A4" s="112">
        <v>1002</v>
      </c>
      <c r="B4" s="113">
        <v>29515</v>
      </c>
      <c r="C4" s="113" t="s">
        <v>260</v>
      </c>
      <c r="D4" s="113" t="s">
        <v>261</v>
      </c>
      <c r="E4" s="113" t="s">
        <v>255</v>
      </c>
      <c r="F4" s="113" t="s">
        <v>262</v>
      </c>
      <c r="G4" s="114">
        <v>31088</v>
      </c>
    </row>
    <row r="5" spans="1:9">
      <c r="A5" s="116">
        <v>1021</v>
      </c>
      <c r="B5" s="117">
        <v>16401</v>
      </c>
      <c r="C5" s="117" t="s">
        <v>263</v>
      </c>
      <c r="D5" s="117" t="s">
        <v>264</v>
      </c>
      <c r="E5" s="117" t="s">
        <v>255</v>
      </c>
      <c r="F5" s="117" t="s">
        <v>262</v>
      </c>
      <c r="G5" s="118">
        <v>24846</v>
      </c>
    </row>
    <row r="6" spans="1:9">
      <c r="A6" s="112">
        <v>1004</v>
      </c>
      <c r="B6" s="113">
        <v>32122</v>
      </c>
      <c r="C6" s="113" t="s">
        <v>265</v>
      </c>
      <c r="D6" s="113" t="s">
        <v>266</v>
      </c>
      <c r="E6" s="113" t="s">
        <v>255</v>
      </c>
      <c r="F6" s="113" t="s">
        <v>267</v>
      </c>
      <c r="G6" s="114">
        <v>32481</v>
      </c>
    </row>
    <row r="7" spans="1:9">
      <c r="A7" s="116">
        <v>1003</v>
      </c>
      <c r="B7" s="117">
        <v>21555</v>
      </c>
      <c r="C7" s="117" t="s">
        <v>268</v>
      </c>
      <c r="D7" s="117" t="s">
        <v>269</v>
      </c>
      <c r="E7" s="117" t="s">
        <v>255</v>
      </c>
      <c r="F7" s="117" t="s">
        <v>257</v>
      </c>
      <c r="G7" s="118">
        <v>30920</v>
      </c>
    </row>
    <row r="8" spans="1:9">
      <c r="A8" s="112">
        <v>1015</v>
      </c>
      <c r="B8" s="113">
        <v>22811</v>
      </c>
      <c r="C8" s="113" t="s">
        <v>268</v>
      </c>
      <c r="D8" s="113" t="s">
        <v>270</v>
      </c>
      <c r="E8" s="113" t="s">
        <v>255</v>
      </c>
      <c r="F8" s="113" t="s">
        <v>257</v>
      </c>
      <c r="G8" s="114">
        <v>34693</v>
      </c>
    </row>
    <row r="9" spans="1:9">
      <c r="A9" s="116">
        <v>1017</v>
      </c>
      <c r="B9" s="117">
        <v>32060</v>
      </c>
      <c r="C9" s="117" t="s">
        <v>271</v>
      </c>
      <c r="D9" s="117" t="s">
        <v>272</v>
      </c>
      <c r="E9" s="117" t="s">
        <v>255</v>
      </c>
      <c r="F9" s="117" t="s">
        <v>262</v>
      </c>
      <c r="G9" s="118">
        <v>33326</v>
      </c>
    </row>
    <row r="10" spans="1:9">
      <c r="A10" s="112">
        <v>1014</v>
      </c>
      <c r="B10" s="113">
        <v>30536</v>
      </c>
      <c r="C10" s="113" t="s">
        <v>273</v>
      </c>
      <c r="D10" s="113" t="s">
        <v>274</v>
      </c>
      <c r="E10" s="113" t="s">
        <v>255</v>
      </c>
      <c r="F10" s="113" t="s">
        <v>257</v>
      </c>
      <c r="G10" s="114">
        <v>30654</v>
      </c>
    </row>
    <row r="11" spans="1:9">
      <c r="A11" s="116">
        <v>1007</v>
      </c>
      <c r="B11" s="117">
        <v>14790</v>
      </c>
      <c r="C11" s="117" t="s">
        <v>275</v>
      </c>
      <c r="D11" s="117" t="s">
        <v>276</v>
      </c>
      <c r="E11" s="117" t="s">
        <v>255</v>
      </c>
      <c r="F11" s="117" t="s">
        <v>262</v>
      </c>
      <c r="G11" s="118">
        <v>31270</v>
      </c>
    </row>
    <row r="12" spans="1:9">
      <c r="A12" s="112">
        <v>1010</v>
      </c>
      <c r="B12" s="113">
        <v>12064</v>
      </c>
      <c r="C12" s="113" t="s">
        <v>277</v>
      </c>
      <c r="D12" s="113" t="s">
        <v>278</v>
      </c>
      <c r="E12" s="113" t="s">
        <v>255</v>
      </c>
      <c r="F12" s="113" t="s">
        <v>256</v>
      </c>
      <c r="G12" s="114">
        <v>29526</v>
      </c>
    </row>
    <row r="13" spans="1:9">
      <c r="A13" s="116">
        <v>1006</v>
      </c>
      <c r="B13" s="117">
        <v>10509</v>
      </c>
      <c r="C13" s="117" t="s">
        <v>279</v>
      </c>
      <c r="D13" s="117" t="s">
        <v>280</v>
      </c>
      <c r="E13" s="117" t="s">
        <v>255</v>
      </c>
      <c r="F13" s="117" t="s">
        <v>267</v>
      </c>
      <c r="G13" s="118">
        <v>33900</v>
      </c>
    </row>
    <row r="14" spans="1:9">
      <c r="A14" s="112">
        <v>1013</v>
      </c>
      <c r="B14" s="113">
        <v>24406</v>
      </c>
      <c r="C14" s="113" t="s">
        <v>253</v>
      </c>
      <c r="D14" s="113" t="s">
        <v>281</v>
      </c>
      <c r="E14" s="113" t="s">
        <v>255</v>
      </c>
      <c r="F14" s="113" t="s">
        <v>257</v>
      </c>
      <c r="G14" s="114">
        <v>26953</v>
      </c>
    </row>
    <row r="15" spans="1:9">
      <c r="A15" s="116">
        <v>1008</v>
      </c>
      <c r="B15" s="117">
        <v>35335</v>
      </c>
      <c r="C15" s="117" t="s">
        <v>282</v>
      </c>
      <c r="D15" s="117" t="s">
        <v>283</v>
      </c>
      <c r="E15" s="117" t="s">
        <v>255</v>
      </c>
      <c r="F15" s="117" t="s">
        <v>257</v>
      </c>
      <c r="G15" s="118">
        <v>32944</v>
      </c>
    </row>
    <row r="16" spans="1:9">
      <c r="A16" s="112">
        <v>1009</v>
      </c>
      <c r="B16" s="113">
        <v>20206</v>
      </c>
      <c r="C16" s="113" t="s">
        <v>284</v>
      </c>
      <c r="D16" s="113" t="s">
        <v>285</v>
      </c>
      <c r="E16" s="113" t="s">
        <v>255</v>
      </c>
      <c r="F16" s="113" t="s">
        <v>267</v>
      </c>
      <c r="G16" s="114">
        <v>29352</v>
      </c>
    </row>
    <row r="17" spans="1:7">
      <c r="A17" s="116">
        <v>1011</v>
      </c>
      <c r="B17" s="117">
        <v>12481</v>
      </c>
      <c r="C17" s="117" t="s">
        <v>286</v>
      </c>
      <c r="D17" s="117" t="s">
        <v>287</v>
      </c>
      <c r="E17" s="117" t="s">
        <v>255</v>
      </c>
      <c r="F17" s="117" t="s">
        <v>257</v>
      </c>
      <c r="G17" s="118">
        <v>30910</v>
      </c>
    </row>
    <row r="18" spans="1:7">
      <c r="A18" s="112">
        <v>1012</v>
      </c>
      <c r="B18" s="113">
        <v>38582</v>
      </c>
      <c r="C18" s="113" t="s">
        <v>288</v>
      </c>
      <c r="D18" s="113" t="s">
        <v>289</v>
      </c>
      <c r="E18" s="113" t="s">
        <v>255</v>
      </c>
      <c r="F18" s="113" t="s">
        <v>256</v>
      </c>
      <c r="G18" s="114">
        <v>31103</v>
      </c>
    </row>
    <row r="19" spans="1:7" ht="26.25" thickBot="1">
      <c r="A19" s="116">
        <v>1013</v>
      </c>
      <c r="B19" s="117">
        <v>25181</v>
      </c>
      <c r="C19" s="117" t="s">
        <v>136</v>
      </c>
      <c r="D19" s="117" t="s">
        <v>290</v>
      </c>
      <c r="E19" s="117" t="s">
        <v>255</v>
      </c>
      <c r="F19" s="117" t="s">
        <v>257</v>
      </c>
      <c r="G19" s="118">
        <v>32419</v>
      </c>
    </row>
    <row r="20" spans="1:7" ht="27" thickTop="1">
      <c r="A20" s="119"/>
      <c r="B20" s="120">
        <f>SUBTOTAL(101,'- Use List'!$B$2:$B$19)</f>
        <v>22840.777777777777</v>
      </c>
      <c r="C20" s="120"/>
      <c r="D20" s="120"/>
      <c r="E20" s="120"/>
      <c r="F20" s="120"/>
      <c r="G20" s="121"/>
    </row>
  </sheetData>
  <conditionalFormatting sqref="A2:G19">
    <cfRule type="expression" dxfId="0" priority="1">
      <formula>$I$2=$F2</formula>
    </cfRule>
  </conditionalFormatting>
  <dataValidations count="1">
    <dataValidation type="list" allowBlank="1" showInputMessage="1" showErrorMessage="1" sqref="I2" xr:uid="{9B788B95-49E5-4B44-AE6A-8EFF1E22C185}">
      <formula1>$F$2:$F$19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Cell Formatting-Copy, Cut, Pst</vt:lpstr>
      <vt:lpstr>Add_Del_Col_Row</vt:lpstr>
      <vt:lpstr>Absolute vs Related</vt:lpstr>
      <vt:lpstr>PERSONAL FINANCE</vt:lpstr>
      <vt:lpstr>Flash Fill </vt:lpstr>
      <vt:lpstr>Autofill</vt:lpstr>
      <vt:lpstr>Auto fil</vt:lpstr>
      <vt:lpstr>Conditional - Formatting</vt:lpstr>
      <vt:lpstr>- Use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Debasish</dc:creator>
  <cp:lastModifiedBy>omarrashedsizan@gmail.com</cp:lastModifiedBy>
  <dcterms:created xsi:type="dcterms:W3CDTF">2024-05-07T08:54:51Z</dcterms:created>
  <dcterms:modified xsi:type="dcterms:W3CDTF">2025-04-22T15:45:07Z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2024-05-07T10:30:34Z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d93919cb-7092-401e-9f4d-4365ca05c146</vt:lpwstr>
  </property>
  <property fmtid="{D5CDD505-2E9C-101B-9397-08002B2CF9AE}" pid="7" name="MSIP_Label_defa4170-0d19-0005-0004-bc88714345d2_ActionId">
    <vt:lpwstr>5e83f75b-95f3-434b-b402-4861850fb058</vt:lpwstr>
  </property>
  <property fmtid="{D5CDD505-2E9C-101B-9397-08002B2CF9AE}" pid="8" name="MSIP_Label_defa4170-0d19-0005-0004-bc88714345d2_ContentBits">
    <vt:lpwstr>0</vt:lpwstr>
  </property>
</Properties>
</file>