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f\Desktop\Ressource\Semestre 2\R2.08 -Outils numerique et statistiques descriptives\TP4 - Quelque Fonction sur Excel\"/>
    </mc:Choice>
  </mc:AlternateContent>
  <xr:revisionPtr revIDLastSave="0" documentId="13_ncr:1_{23D547CF-2A97-43D7-9F02-C7F9FA306E5D}" xr6:coauthVersionLast="47" xr6:coauthVersionMax="47" xr10:uidLastSave="{00000000-0000-0000-0000-000000000000}"/>
  <bookViews>
    <workbookView xWindow="-108" yWindow="-108" windowWidth="23256" windowHeight="12456" tabRatio="500" firstSheet="1" activeTab="3" xr2:uid="{00000000-000D-0000-FFFF-FFFF00000000}"/>
  </bookViews>
  <sheets>
    <sheet name="1 - Échauffement" sheetId="1" r:id="rId1"/>
    <sheet name="2.1 - Fonction SOMME" sheetId="2" r:id="rId2"/>
    <sheet name="2.2 - Fonction NB" sheetId="3" r:id="rId3"/>
    <sheet name="2.3 - Fonction RECHERCHEV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4" l="1"/>
  <c r="H13" i="4"/>
  <c r="H14" i="4"/>
  <c r="H15" i="4"/>
  <c r="H16" i="4"/>
  <c r="H11" i="4"/>
  <c r="G14" i="4"/>
  <c r="G15" i="4"/>
  <c r="G16" i="4"/>
  <c r="G11" i="4"/>
  <c r="G12" i="4"/>
  <c r="G13" i="4"/>
  <c r="I12" i="4"/>
  <c r="I13" i="4"/>
  <c r="I14" i="4"/>
  <c r="I15" i="4"/>
  <c r="I16" i="4"/>
  <c r="I11" i="4"/>
  <c r="M21" i="3"/>
  <c r="M20" i="3"/>
  <c r="M19" i="3"/>
  <c r="M18" i="3"/>
  <c r="M17" i="3"/>
  <c r="M16" i="3"/>
  <c r="M14" i="3"/>
  <c r="M15" i="3"/>
  <c r="M13" i="3"/>
  <c r="M12" i="3"/>
  <c r="M11" i="3"/>
  <c r="M10" i="3"/>
  <c r="M9" i="3"/>
  <c r="M8" i="3"/>
  <c r="M7" i="3"/>
  <c r="M6" i="3"/>
  <c r="M5" i="3"/>
  <c r="M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4" i="3"/>
  <c r="O4" i="2"/>
  <c r="L12" i="2"/>
  <c r="O5" i="2"/>
  <c r="O6" i="2"/>
  <c r="O7" i="2"/>
  <c r="O8" i="2"/>
  <c r="L13" i="2"/>
  <c r="L9" i="2"/>
  <c r="L11" i="2"/>
  <c r="L10" i="2"/>
  <c r="L8" i="2"/>
  <c r="L7" i="2"/>
  <c r="L6" i="2"/>
  <c r="L5" i="2"/>
  <c r="L4" i="2"/>
  <c r="F18" i="2"/>
  <c r="G18" i="2"/>
  <c r="H18" i="2" s="1"/>
  <c r="E18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O17" i="1"/>
  <c r="P17" i="1"/>
  <c r="Q17" i="1"/>
  <c r="R17" i="1"/>
  <c r="N17" i="1"/>
  <c r="O16" i="1"/>
  <c r="P16" i="1"/>
  <c r="Q16" i="1"/>
  <c r="R16" i="1"/>
  <c r="N16" i="1"/>
  <c r="O15" i="1"/>
  <c r="P15" i="1"/>
  <c r="Q15" i="1"/>
  <c r="R15" i="1"/>
  <c r="N15" i="1"/>
  <c r="O13" i="1"/>
  <c r="P13" i="1"/>
  <c r="Q13" i="1"/>
  <c r="R13" i="1"/>
  <c r="N13" i="1"/>
  <c r="O12" i="1"/>
  <c r="P12" i="1"/>
  <c r="Q12" i="1"/>
  <c r="R12" i="1"/>
  <c r="N12" i="1"/>
  <c r="O11" i="1"/>
  <c r="P11" i="1"/>
  <c r="Q11" i="1"/>
  <c r="R11" i="1"/>
  <c r="N11" i="1"/>
  <c r="R10" i="1"/>
  <c r="O10" i="1"/>
  <c r="P10" i="1"/>
  <c r="Q10" i="1"/>
  <c r="N10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<sst xmlns="http://schemas.openxmlformats.org/spreadsheetml/2006/main" count="407" uniqueCount="248">
  <si>
    <t>Rank</t>
  </si>
  <si>
    <t>Name</t>
  </si>
  <si>
    <t>Platform</t>
  </si>
  <si>
    <t>Year</t>
  </si>
  <si>
    <t>Genre</t>
  </si>
  <si>
    <t>Publisher</t>
  </si>
  <si>
    <t>Global_Sales</t>
  </si>
  <si>
    <t>NA_Sales</t>
  </si>
  <si>
    <t>EU_Sales</t>
  </si>
  <si>
    <t>JP_Sales</t>
  </si>
  <si>
    <t>Other_Sales</t>
  </si>
  <si>
    <t>Super Mario Bros.</t>
  </si>
  <si>
    <t>NES</t>
  </si>
  <si>
    <t>Nintendo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</si>
  <si>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</si>
  <si>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</si>
  <si>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</si>
  <si>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</si>
  <si>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</si>
  <si>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</si>
  <si>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</si>
  <si>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Duck Hunt</t>
  </si>
  <si>
    <t>Shooter</t>
  </si>
  <si>
    <t>Nintendogs</t>
  </si>
  <si>
    <t>Simulation</t>
  </si>
  <si>
    <t>Mario Kart DS</t>
  </si>
  <si>
    <t>Racing</t>
  </si>
  <si>
    <t>Pokemon Gold/Pokemon Silver</t>
  </si>
  <si>
    <t>Moyenne</t>
  </si>
  <si>
    <t>Kinect Adventures!</t>
  </si>
  <si>
    <t>X360</t>
  </si>
  <si>
    <t>Misc</t>
  </si>
  <si>
    <t>Microsoft Game Studios</t>
  </si>
  <si>
    <t>Variance</t>
  </si>
  <si>
    <t>Grand Theft Auto V</t>
  </si>
  <si>
    <t>PS3</t>
  </si>
  <si>
    <t>Action</t>
  </si>
  <si>
    <t>Take-Two Interactive</t>
  </si>
  <si>
    <t>Médiane</t>
  </si>
  <si>
    <t>Grand Theft Auto: San Andreas</t>
  </si>
  <si>
    <t>PS2</t>
  </si>
  <si>
    <r>
      <rPr>
        <b/>
        <sz val="11"/>
        <color rgb="FFFFFFFF"/>
        <rFont val="Calibri"/>
        <family val="2"/>
        <charset val="1"/>
      </rPr>
      <t>1</t>
    </r>
    <r>
      <rPr>
        <b/>
        <vertAlign val="superscript"/>
        <sz val="11"/>
        <color rgb="FFFFFFFF"/>
        <rFont val="Calibri"/>
        <family val="2"/>
        <charset val="1"/>
      </rPr>
      <t>er</t>
    </r>
    <r>
      <rPr>
        <b/>
        <sz val="11"/>
        <color rgb="FFFFFFFF"/>
        <rFont val="Calibri"/>
        <family val="2"/>
        <charset val="1"/>
      </rPr>
      <t xml:space="preserve"> Quartile</t>
    </r>
  </si>
  <si>
    <t>Super Mario World</t>
  </si>
  <si>
    <t>SNES</t>
  </si>
  <si>
    <t>3ème Quartile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</si>
  <si>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</si>
  <si>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</si>
  <si>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</si>
  <si>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</si>
  <si>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</si>
  <si>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</si>
  <si>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</si>
  <si>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</si>
  <si>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</si>
  <si>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</si>
  <si>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</si>
  <si>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</si>
  <si>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</si>
  <si>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Pokémon Yellow: Special Pikachu Edition</t>
  </si>
  <si>
    <t>Call of Duty: Black Ops</t>
  </si>
  <si>
    <t>Classement</t>
  </si>
  <si>
    <t>Nation</t>
  </si>
  <si>
    <t>Continent</t>
  </si>
  <si>
    <t>Sportifs engagés</t>
  </si>
  <si>
    <t>Médailles d’or</t>
  </si>
  <si>
    <t>Médailles d’argent</t>
  </si>
  <si>
    <t xml:space="preserve">Médailles de bronze </t>
  </si>
  <si>
    <t>Total de médailles</t>
  </si>
  <si>
    <t>Question</t>
  </si>
  <si>
    <t>Réponse</t>
  </si>
  <si>
    <t>États-Unis</t>
  </si>
  <si>
    <t>Amérique</t>
  </si>
  <si>
    <t>Total de médailles pour l'Asie</t>
  </si>
  <si>
    <t>Allemagne</t>
  </si>
  <si>
    <t>Europe</t>
  </si>
  <si>
    <t>Australie</t>
  </si>
  <si>
    <t>Océanie</t>
  </si>
  <si>
    <t>Total de médailles d'or pour les nations européennes
ayant au moins 366 sportifs engagés</t>
  </si>
  <si>
    <t>Chine</t>
  </si>
  <si>
    <t>Asie</t>
  </si>
  <si>
    <t>France</t>
  </si>
  <si>
    <t>Total de médailles pour les 3 premiers du classement</t>
  </si>
  <si>
    <t>Royaume-Uni</t>
  </si>
  <si>
    <t>Total de médailles de bronze obtenues par les nations
européennes ayant moins de 10 médailles d'or</t>
  </si>
  <si>
    <t>Japon</t>
  </si>
  <si>
    <t>Italie</t>
  </si>
  <si>
    <t>Total de médailles d'or pour les pays classés 9e</t>
  </si>
  <si>
    <t>Espagne</t>
  </si>
  <si>
    <t>Russie</t>
  </si>
  <si>
    <t>Total de médailles d'or et d'argent pour la France</t>
  </si>
  <si>
    <t>Pays-Bas</t>
  </si>
  <si>
    <t>Total de sportifs engagés par les nations ayant
plus de 5 médailles d'argent et plus de 10 médailles de bronze</t>
  </si>
  <si>
    <t>Corée du Sud</t>
  </si>
  <si>
    <t>Total de médailles d'or et de bronze</t>
  </si>
  <si>
    <t>Croatie</t>
  </si>
  <si>
    <t>Jamaïque</t>
  </si>
  <si>
    <t>Total de sportifs engagés par les nations
ayant plus de 50 médailles</t>
  </si>
  <si>
    <t>Total</t>
  </si>
  <si>
    <t>Total de sportifs engagés par les nations classées 9e
ayant au moins 20 médailles</t>
  </si>
  <si>
    <t>Date de commande</t>
  </si>
  <si>
    <t>Client</t>
  </si>
  <si>
    <t>Article vendu</t>
  </si>
  <si>
    <t>Prix</t>
  </si>
  <si>
    <t>Date de livraison</t>
  </si>
  <si>
    <t>Adresse de livraison</t>
  </si>
  <si>
    <t>Ville de livraison</t>
  </si>
  <si>
    <t>Livreur</t>
  </si>
  <si>
    <t>Nombre de cellules vides</t>
  </si>
  <si>
    <t>ANIBAL Lecter</t>
  </si>
  <si>
    <t>Pantalon</t>
  </si>
  <si>
    <t>5 Place Kléber</t>
  </si>
  <si>
    <t>Strasbourg</t>
  </si>
  <si>
    <t>Charlotte</t>
  </si>
  <si>
    <t>Nombre de commandes (utiliser la colonne "Date de commande")</t>
  </si>
  <si>
    <t>BALBOAS Rocky</t>
  </si>
  <si>
    <t>Pull</t>
  </si>
  <si>
    <t>À venir</t>
  </si>
  <si>
    <t>Nombre de commandes (utiliser la colonne "Client")</t>
  </si>
  <si>
    <t>CONORE Sarah</t>
  </si>
  <si>
    <t>Tee-shirt</t>
  </si>
  <si>
    <t>Metz</t>
  </si>
  <si>
    <t>Nombre de clients ayant commandé un tee-shirt</t>
  </si>
  <si>
    <t>DEUQUE Daisy</t>
  </si>
  <si>
    <t>25 Avenue Molière</t>
  </si>
  <si>
    <t>Nombre d'adresses de livraison inconnues</t>
  </si>
  <si>
    <t>EUNTE Éthan</t>
  </si>
  <si>
    <t>8 Grande Rue</t>
  </si>
  <si>
    <t>Nancy</t>
  </si>
  <si>
    <t>Anthony</t>
  </si>
  <si>
    <t>Nombre de commandes d'au moins 80 €</t>
  </si>
  <si>
    <t>EVERDINE Katniss</t>
  </si>
  <si>
    <t>20 Place Carnot</t>
  </si>
  <si>
    <t>GRÉ Christian</t>
  </si>
  <si>
    <t>1 Place Saint-Louis</t>
  </si>
  <si>
    <t>INDYANAT Jones</t>
  </si>
  <si>
    <t>12 Avenue Foch</t>
  </si>
  <si>
    <t>Nombre de commandes passées entre Le 15/01/2030 et le 15/02/2030 inclus</t>
  </si>
  <si>
    <t>KROFTE Lara</t>
  </si>
  <si>
    <t>7 Rue Jeanne d'Arc</t>
  </si>
  <si>
    <t>MILLEURE Lucy</t>
  </si>
  <si>
    <t>6 Rue La Salle</t>
  </si>
  <si>
    <t>Nombre d'adresses de livraison renseignées</t>
  </si>
  <si>
    <t>MONTANAS Tony</t>
  </si>
  <si>
    <t>Nombre de commandes pour lesquelles la date de la livraison est "À venir"</t>
  </si>
  <si>
    <t>PAUTER Harry</t>
  </si>
  <si>
    <t>1B Rue Lafayette</t>
  </si>
  <si>
    <t>POPINSE Mary</t>
  </si>
  <si>
    <t>8 Rue Stanislas</t>
  </si>
  <si>
    <t>Nombre de livraisons en janvier</t>
  </si>
  <si>
    <t>POULAIM Amélie</t>
  </si>
  <si>
    <t>Nombre de commandes pour lesquelles la date de la livraison est connue</t>
  </si>
  <si>
    <t>PRIORT Béatrice</t>
  </si>
  <si>
    <t>9 Place du Château</t>
  </si>
  <si>
    <t>Nombre de livraisons pour lequelles la ville est connue mais pas l'adresse</t>
  </si>
  <si>
    <t>SAULOT Han</t>
  </si>
  <si>
    <t>Nombre de commandes à Nancy et à Strasbourg</t>
  </si>
  <si>
    <t>SIMPSONNE Lisa</t>
  </si>
  <si>
    <t>29 Rue de la Visitation</t>
  </si>
  <si>
    <t>Nombre des données manquantes (cellules vides)</t>
  </si>
  <si>
    <t>SOUANE Elizabeth</t>
  </si>
  <si>
    <t>7 Avenue des Vosges</t>
  </si>
  <si>
    <t>Nombre de commandes passées en janvier pour lesquelles la date de livraison est en février</t>
  </si>
  <si>
    <t>SPARO Jack</t>
  </si>
  <si>
    <t>18 Place Mazelle</t>
  </si>
  <si>
    <t>Nombre de livraisons pour lesquelles une ou plusieurs données sont manquantes</t>
  </si>
  <si>
    <t>TUCHES Jeff</t>
  </si>
  <si>
    <t>Nombre de livraisons pour lesquelles la date de livraison est planifiée mais le livreur est inconnu</t>
  </si>
  <si>
    <t>Matricule</t>
  </si>
  <si>
    <t>Nom</t>
  </si>
  <si>
    <t>Prénom</t>
  </si>
  <si>
    <t>Ville</t>
  </si>
  <si>
    <t>MA0001</t>
  </si>
  <si>
    <t>LATOUR</t>
  </si>
  <si>
    <t>Isabelle</t>
  </si>
  <si>
    <t>Paris</t>
  </si>
  <si>
    <t>MA0002</t>
  </si>
  <si>
    <t>FLAUT</t>
  </si>
  <si>
    <t>Brigitte</t>
  </si>
  <si>
    <t>MA0003</t>
  </si>
  <si>
    <t>PARENT</t>
  </si>
  <si>
    <t>Nicolas</t>
  </si>
  <si>
    <t>MA0004</t>
  </si>
  <si>
    <t>LOSSON</t>
  </si>
  <si>
    <t>Lise</t>
  </si>
  <si>
    <t>MA0005</t>
  </si>
  <si>
    <t>LETULLIER</t>
  </si>
  <si>
    <t>Sacha</t>
  </si>
  <si>
    <t>MA0006</t>
  </si>
  <si>
    <t>DUPONT</t>
  </si>
  <si>
    <t>Ville (écrire "Inconnu"
si le "Matricule" n'existe pas)</t>
  </si>
  <si>
    <t>MA0007</t>
  </si>
  <si>
    <t>WEBER</t>
  </si>
  <si>
    <t>Philippe</t>
  </si>
  <si>
    <t>MA0008</t>
  </si>
  <si>
    <t>BRIOT</t>
  </si>
  <si>
    <t>Mathilde</t>
  </si>
  <si>
    <t>MA0009</t>
  </si>
  <si>
    <t>FAST</t>
  </si>
  <si>
    <t>Lucie</t>
  </si>
  <si>
    <t>MA0010</t>
  </si>
  <si>
    <t>QUERAT</t>
  </si>
  <si>
    <t>Jean</t>
  </si>
  <si>
    <t>MA0027</t>
  </si>
  <si>
    <t>MA0011</t>
  </si>
  <si>
    <t>JOLY</t>
  </si>
  <si>
    <t>Dimitri</t>
  </si>
  <si>
    <t>MA0012</t>
  </si>
  <si>
    <t>SPAROT</t>
  </si>
  <si>
    <t>Jacqueline</t>
  </si>
  <si>
    <t>MA0013</t>
  </si>
  <si>
    <t>LALLIER</t>
  </si>
  <si>
    <t>Loic</t>
  </si>
  <si>
    <t>MA0017</t>
  </si>
  <si>
    <t>MA0014</t>
  </si>
  <si>
    <t>GAROU</t>
  </si>
  <si>
    <t>Pierre</t>
  </si>
  <si>
    <t>MA0015</t>
  </si>
  <si>
    <t>CHAPON</t>
  </si>
  <si>
    <t>Louise</t>
  </si>
  <si>
    <t>MA0016</t>
  </si>
  <si>
    <t>TOURBE</t>
  </si>
  <si>
    <t>Valérie</t>
  </si>
  <si>
    <t>GIGOT</t>
  </si>
  <si>
    <t>Fabien</t>
  </si>
  <si>
    <t>MA0018</t>
  </si>
  <si>
    <t>TOMASY</t>
  </si>
  <si>
    <t>Hugo</t>
  </si>
  <si>
    <t>MA0019</t>
  </si>
  <si>
    <t>BONUIT</t>
  </si>
  <si>
    <t>Emma</t>
  </si>
  <si>
    <t>MA0020</t>
  </si>
  <si>
    <t>ILLI</t>
  </si>
  <si>
    <t>Quentin</t>
  </si>
  <si>
    <t>MA0021</t>
  </si>
  <si>
    <t>HUSSON</t>
  </si>
  <si>
    <t>Cyril</t>
  </si>
  <si>
    <t>MA0022</t>
  </si>
  <si>
    <t>LOQUENO</t>
  </si>
  <si>
    <t>Virginie</t>
  </si>
  <si>
    <t>Bonus</t>
  </si>
  <si>
    <t>Ecart-type</t>
  </si>
  <si>
    <t>Coefficient de Variation</t>
  </si>
  <si>
    <t>/</t>
  </si>
  <si>
    <t>Total de sportifs engagé par continent</t>
  </si>
  <si>
    <t>Afrique</t>
  </si>
  <si>
    <t>Total de médailles pour les 2 derniers du classement</t>
  </si>
  <si>
    <t>Nombre de commandes passées le 15/01/2030</t>
  </si>
  <si>
    <t>Nombre de commandes de pantalons livrés à Nancy par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</si>
</sst>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sz val="11"/>
      <color rgb="FF00518B"/>
      <name val="Calibri"/>
      <family val="2"/>
      <charset val="1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3D3"/>
        <bgColor rgb="FF008080"/>
      </patternFill>
    </fill>
    <fill>
      <patternFill patternType="solid">
        <fgColor rgb="FFFFFFFF"/>
        <bgColor rgb="FFDEEBF7"/>
      </patternFill>
    </fill>
    <fill>
      <patternFill patternType="solid">
        <fgColor rgb="FFFBE5D6"/>
        <bgColor rgb="FFDEEBF7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DEEBF7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64" fontId="0" fillId="0" borderId="2" xfId="0" applyNumberFormat="1" applyBorder="1" applyAlignment="1" applyProtection="1">
      <alignment horizontal="center" vertical="center"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3" fontId="0" fillId="0" borderId="2" xfId="0" applyNumberFormat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2" fontId="0" fillId="0" borderId="0" xfId="0" applyNumberFormat="1"/>
    <xf numFmtId="4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z val="11"/>
        <color rgb="FF00518B"/>
        <name val="Calibri"/>
        <family val="2"/>
        <charset val="1"/>
      </font>
      <fill>
        <patternFill>
          <bgColor rgb="FFDE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rgb="FF008080"/>
          <bgColor rgb="FF0073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73D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18B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C250A-0666-4156-BC7C-0DA29DAF39B6}" name="Tableau2" displayName="Tableau2" ref="A3:D25" totalsRowShown="0" headerRowDxfId="32" headerRowBorderDxfId="31" tableBorderDxfId="30" totalsRowBorderDxfId="29">
  <autoFilter ref="A3:D25" xr:uid="{A6DC250A-0666-4156-BC7C-0DA29DAF39B6}"/>
  <tableColumns count="4">
    <tableColumn id="1" xr3:uid="{0061148B-48B5-4CEE-924E-C401B9594A72}" name="Matricule" dataDxfId="28"/>
    <tableColumn id="2" xr3:uid="{EE8BE839-7316-4F8E-B7BF-40354DFCCB91}" name="Nom" dataDxfId="27"/>
    <tableColumn id="3" xr3:uid="{86358E0D-9D82-4F8A-95E9-9B9CCEB4B61F}" name="Prénom" dataDxfId="26"/>
    <tableColumn id="4" xr3:uid="{83B4EC86-95B6-4984-BFC8-C19456710018}" name="Ville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zoomScale="70" zoomScaleNormal="70" workbookViewId="0">
      <selection activeCell="Q22" sqref="Q22"/>
    </sheetView>
  </sheetViews>
  <sheetFormatPr baseColWidth="10" defaultColWidth="11.5546875" defaultRowHeight="14.4" x14ac:dyDescent="0.3"/>
  <cols>
    <col min="1" max="1" width="7.44140625" customWidth="1"/>
    <col min="2" max="2" width="19" style="2" customWidth="1"/>
    <col min="6" max="6" width="16" style="2" customWidth="1"/>
    <col min="7" max="7" width="12.88671875" customWidth="1"/>
    <col min="13" max="13" width="26" customWidth="1"/>
    <col min="14" max="14" width="12.21875" customWidth="1"/>
    <col min="17" max="17" width="9.6640625" customWidth="1"/>
  </cols>
  <sheetData>
    <row r="1" spans="1:18" ht="18.600000000000001" customHeight="1" x14ac:dyDescent="0.3">
      <c r="B1"/>
      <c r="F1"/>
    </row>
    <row r="2" spans="1:18" ht="19.5" customHeight="1" x14ac:dyDescent="0.3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8" ht="19.5" customHeight="1" x14ac:dyDescent="0.3">
      <c r="A3" s="5">
        <v>2</v>
      </c>
      <c r="B3" s="6" t="s">
        <v>11</v>
      </c>
      <c r="C3" s="7" t="s">
        <v>12</v>
      </c>
      <c r="D3" s="7">
        <v>1985</v>
      </c>
      <c r="E3" s="7" t="s">
        <v>2</v>
      </c>
      <c r="F3" s="6" t="s">
        <v>13</v>
      </c>
      <c r="G3" s="7">
        <v>40.24</v>
      </c>
      <c r="H3" s="7">
        <v>29.08</v>
      </c>
      <c r="I3" s="7">
        <v>3.58</v>
      </c>
      <c r="J3" s="7">
        <v>6.81</v>
      </c>
      <c r="K3" s="7">
        <v>0.77</v>
      </c>
    </row>
    <row r="4" spans="1:18" ht="19.5" customHeight="1" x14ac:dyDescent="0.3">
      <c r="A4" s="5">
        <v>5</v>
      </c>
      <c r="B4" s="6" t="s">
        <v>14</v>
      </c>
      <c r="C4" s="7" t="s">
        <v>15</v>
      </c>
      <c r="D4" s="7">
        <v>1996</v>
      </c>
      <c r="E4" s="7" t="s">
        <v>16</v>
      </c>
      <c r="F4" s="6" t="s">
        <v>13</v>
      </c>
      <c r="G4" s="7">
        <v>31.38</v>
      </c>
      <c r="H4" s="7">
        <v>11.27</v>
      </c>
      <c r="I4" s="7">
        <v>8.89</v>
      </c>
      <c r="J4" s="7">
        <v>10.220000000000001</v>
      </c>
      <c r="K4" s="7">
        <v>1</v>
      </c>
    </row>
    <row r="5" spans="1:18" ht="19.5" customHeight="1" x14ac:dyDescent="0.3">
      <c r="A5" s="5">
        <v>6</v>
      </c>
      <c r="B5" s="6" t="s">
        <v>17</v>
      </c>
      <c r="C5" s="7" t="s">
        <v>15</v>
      </c>
      <c r="D5" s="7">
        <v>1989</v>
      </c>
      <c r="E5" s="7" t="s">
        <v>18</v>
      </c>
      <c r="F5" s="6" t="s">
        <v>13</v>
      </c>
      <c r="G5" s="7">
        <v>30.26</v>
      </c>
      <c r="H5" s="7">
        <v>23.2</v>
      </c>
      <c r="I5" s="7">
        <v>2.2599999999999998</v>
      </c>
      <c r="J5" s="7">
        <v>4.22</v>
      </c>
      <c r="K5" s="7">
        <v>0.57999999999999996</v>
      </c>
    </row>
    <row r="6" spans="1:18" ht="19.5" customHeight="1" x14ac:dyDescent="0.3">
      <c r="A6" s="5">
        <v>7</v>
      </c>
      <c r="B6" s="6" t="s">
        <v>19</v>
      </c>
      <c r="C6" s="7" t="s">
        <v>20</v>
      </c>
      <c r="D6" s="7">
        <v>2006</v>
      </c>
      <c r="E6" s="7" t="s">
        <v>2</v>
      </c>
      <c r="F6" s="6" t="s">
        <v>13</v>
      </c>
      <c r="G6" s="7">
        <v>30.01</v>
      </c>
      <c r="H6" s="7">
        <v>11.38</v>
      </c>
      <c r="I6" s="7">
        <v>9.23</v>
      </c>
      <c r="J6" s="7">
        <v>6.5</v>
      </c>
      <c r="K6" s="7">
        <v>2.9</v>
      </c>
    </row>
    <row r="7" spans="1:18" ht="19.5" customHeight="1" x14ac:dyDescent="0.3">
      <c r="A7" s="5">
        <v>10</v>
      </c>
      <c r="B7" s="6" t="s">
        <v>21</v>
      </c>
      <c r="C7" s="7" t="s">
        <v>12</v>
      </c>
      <c r="D7" s="7">
        <v>1984</v>
      </c>
      <c r="E7" s="7" t="s">
        <v>22</v>
      </c>
      <c r="F7" s="6" t="s">
        <v>13</v>
      </c>
      <c r="G7" s="7">
        <v>29.31</v>
      </c>
      <c r="H7" s="7">
        <v>26.93</v>
      </c>
      <c r="I7" s="7">
        <v>0.63</v>
      </c>
      <c r="J7" s="7">
        <v>0.28000000000000003</v>
      </c>
      <c r="K7" s="7">
        <v>0.47</v>
      </c>
    </row>
    <row r="8" spans="1:18" ht="19.5" customHeight="1" x14ac:dyDescent="0.3">
      <c r="A8" s="5">
        <v>11</v>
      </c>
      <c r="B8" s="6" t="s">
        <v>23</v>
      </c>
      <c r="C8" s="7" t="s">
        <v>20</v>
      </c>
      <c r="D8" s="7">
        <v>2005</v>
      </c>
      <c r="E8" s="7" t="s">
        <v>24</v>
      </c>
      <c r="F8" s="6" t="s">
        <v>13</v>
      </c>
      <c r="G8" s="7">
        <v>24.75</v>
      </c>
      <c r="H8" s="7">
        <v>9.07</v>
      </c>
      <c r="I8" s="7">
        <v>11</v>
      </c>
      <c r="J8" s="7">
        <v>1.93</v>
      </c>
      <c r="K8" s="7">
        <v>2.75</v>
      </c>
    </row>
    <row r="9" spans="1:18" ht="19.5" customHeight="1" x14ac:dyDescent="0.3">
      <c r="A9" s="5">
        <v>12</v>
      </c>
      <c r="B9" s="6" t="s">
        <v>25</v>
      </c>
      <c r="C9" s="7" t="s">
        <v>20</v>
      </c>
      <c r="D9" s="7">
        <v>2005</v>
      </c>
      <c r="E9" s="7" t="s">
        <v>26</v>
      </c>
      <c r="F9" s="6" t="s">
        <v>13</v>
      </c>
      <c r="G9" s="7">
        <v>23.43</v>
      </c>
      <c r="H9" s="7">
        <v>9.81</v>
      </c>
      <c r="I9" s="7">
        <v>7.57</v>
      </c>
      <c r="J9" s="7">
        <v>4.13</v>
      </c>
      <c r="K9" s="7">
        <v>1.92</v>
      </c>
      <c r="N9" s="3" t="s">
        <v>6</v>
      </c>
      <c r="O9" s="3" t="s">
        <v>7</v>
      </c>
      <c r="P9" s="3" t="s">
        <v>8</v>
      </c>
      <c r="Q9" s="3" t="s">
        <v>9</v>
      </c>
      <c r="R9" s="3" t="s">
        <v>10</v>
      </c>
    </row>
    <row r="10" spans="1:18" ht="19.5" customHeight="1" x14ac:dyDescent="0.3">
      <c r="A10" s="5">
        <v>13</v>
      </c>
      <c r="B10" s="6" t="s">
        <v>27</v>
      </c>
      <c r="C10" s="7" t="s">
        <v>15</v>
      </c>
      <c r="D10" s="7">
        <v>1999</v>
      </c>
      <c r="E10" s="7" t="s">
        <v>16</v>
      </c>
      <c r="F10" s="6" t="s">
        <v>13</v>
      </c>
      <c r="G10" s="7">
        <v>23.09</v>
      </c>
      <c r="H10" s="7">
        <v>9</v>
      </c>
      <c r="I10" s="7">
        <v>6.18</v>
      </c>
      <c r="J10" s="7">
        <v>7.2</v>
      </c>
      <c r="K10" s="7">
        <v>0.71</v>
      </c>
      <c r="M10" s="3" t="s">
        <v>28</v>
      </c>
      <c r="N10" s="8">
        <f>AVERAGE(G3:G27)</f>
        <v>21.0244</v>
      </c>
      <c r="O10" s="8">
        <f t="shared" ref="O10:R10" si="0">AVERAGE(H3:H27)</f>
        <v>10.800799999999999</v>
      </c>
      <c r="P10" s="8">
        <f t="shared" si="0"/>
        <v>5.1643999999999997</v>
      </c>
      <c r="Q10" s="8">
        <f t="shared" si="0"/>
        <v>3.4712000000000005</v>
      </c>
      <c r="R10" s="8">
        <f>AVERAGE(K3:K27)</f>
        <v>1.6876000000000002</v>
      </c>
    </row>
    <row r="11" spans="1:18" ht="19.5" customHeight="1" x14ac:dyDescent="0.3">
      <c r="A11" s="5">
        <v>16</v>
      </c>
      <c r="B11" s="6" t="s">
        <v>29</v>
      </c>
      <c r="C11" s="7" t="s">
        <v>30</v>
      </c>
      <c r="D11" s="7">
        <v>2010</v>
      </c>
      <c r="E11" s="7" t="s">
        <v>31</v>
      </c>
      <c r="F11" s="6" t="s">
        <v>32</v>
      </c>
      <c r="G11" s="7">
        <v>21.82</v>
      </c>
      <c r="H11" s="7">
        <v>14.97</v>
      </c>
      <c r="I11" s="7">
        <v>4.9400000000000004</v>
      </c>
      <c r="J11" s="7">
        <v>0.24</v>
      </c>
      <c r="K11" s="7">
        <v>1.67</v>
      </c>
      <c r="M11" s="3" t="s">
        <v>33</v>
      </c>
      <c r="N11" s="8">
        <f>VAR(G3:G27)</f>
        <v>45.632625666666705</v>
      </c>
      <c r="O11" s="8">
        <f t="shared" ref="O11:R11" si="1">VAR(H3:H27)</f>
        <v>41.915949333333309</v>
      </c>
      <c r="P11" s="8">
        <f t="shared" si="1"/>
        <v>7.4482256666666826</v>
      </c>
      <c r="Q11" s="8">
        <f t="shared" si="1"/>
        <v>7.6962443333333255</v>
      </c>
      <c r="R11" s="8">
        <f t="shared" si="1"/>
        <v>4.234885666666667</v>
      </c>
    </row>
    <row r="12" spans="1:18" ht="19.5" customHeight="1" x14ac:dyDescent="0.3">
      <c r="A12" s="5">
        <v>17</v>
      </c>
      <c r="B12" s="6" t="s">
        <v>34</v>
      </c>
      <c r="C12" s="7" t="s">
        <v>35</v>
      </c>
      <c r="D12" s="7">
        <v>2013</v>
      </c>
      <c r="E12" s="7" t="s">
        <v>36</v>
      </c>
      <c r="F12" s="6" t="s">
        <v>37</v>
      </c>
      <c r="G12" s="7">
        <v>21.39</v>
      </c>
      <c r="H12" s="7">
        <v>7.01</v>
      </c>
      <c r="I12" s="7">
        <v>9.27</v>
      </c>
      <c r="J12" s="7">
        <v>0.97</v>
      </c>
      <c r="K12" s="7">
        <v>4.1399999999999997</v>
      </c>
      <c r="M12" s="3" t="s">
        <v>240</v>
      </c>
      <c r="N12" s="8">
        <f>STDEV(G3:G27)</f>
        <v>6.7551924966403956</v>
      </c>
      <c r="O12" s="8">
        <f t="shared" ref="O12:R12" si="2">STDEV(H3:H27)</f>
        <v>6.4742528011604019</v>
      </c>
      <c r="P12" s="8">
        <f t="shared" si="2"/>
        <v>2.7291437607181273</v>
      </c>
      <c r="Q12" s="8">
        <f t="shared" si="2"/>
        <v>2.7742105784048414</v>
      </c>
      <c r="R12" s="8">
        <f t="shared" si="2"/>
        <v>2.0578837835666683</v>
      </c>
    </row>
    <row r="13" spans="1:18" ht="19.5" customHeight="1" x14ac:dyDescent="0.3">
      <c r="A13" s="5">
        <v>18</v>
      </c>
      <c r="B13" s="6" t="s">
        <v>39</v>
      </c>
      <c r="C13" s="7" t="s">
        <v>40</v>
      </c>
      <c r="D13" s="7">
        <v>2004</v>
      </c>
      <c r="E13" s="7" t="s">
        <v>36</v>
      </c>
      <c r="F13" s="6" t="s">
        <v>37</v>
      </c>
      <c r="G13" s="7">
        <v>19.809999999999999</v>
      </c>
      <c r="H13" s="7">
        <v>9.43</v>
      </c>
      <c r="I13" s="7">
        <v>0.4</v>
      </c>
      <c r="J13" s="7">
        <v>0.41</v>
      </c>
      <c r="K13" s="7">
        <v>10.57</v>
      </c>
      <c r="M13" s="3" t="s">
        <v>241</v>
      </c>
      <c r="N13" s="8">
        <f>N12/N10</f>
        <v>0.321302510256673</v>
      </c>
      <c r="O13" s="8">
        <f t="shared" ref="O13:R13" si="3">O12/O10</f>
        <v>0.59942345022224308</v>
      </c>
      <c r="P13" s="8">
        <f t="shared" si="3"/>
        <v>0.52845321057976291</v>
      </c>
      <c r="Q13" s="8">
        <f t="shared" si="3"/>
        <v>0.79920793339618601</v>
      </c>
      <c r="R13" s="8">
        <f t="shared" si="3"/>
        <v>1.2194144249624721</v>
      </c>
    </row>
    <row r="14" spans="1:18" ht="19.5" customHeight="1" x14ac:dyDescent="0.3">
      <c r="A14" s="5">
        <v>19</v>
      </c>
      <c r="B14" s="6" t="s">
        <v>42</v>
      </c>
      <c r="C14" s="7" t="s">
        <v>43</v>
      </c>
      <c r="D14" s="7">
        <v>1990</v>
      </c>
      <c r="E14" s="7" t="s">
        <v>2</v>
      </c>
      <c r="F14" s="6" t="s">
        <v>13</v>
      </c>
      <c r="G14" s="7">
        <v>20.62</v>
      </c>
      <c r="H14" s="7">
        <v>12.78</v>
      </c>
      <c r="I14" s="7">
        <v>3.75</v>
      </c>
      <c r="J14" s="7">
        <v>3.54</v>
      </c>
      <c r="K14" s="7">
        <v>0.55000000000000004</v>
      </c>
      <c r="M14" s="32"/>
      <c r="N14" s="8" t="s">
        <v>242</v>
      </c>
      <c r="O14" s="8" t="s">
        <v>242</v>
      </c>
      <c r="P14" s="8" t="s">
        <v>242</v>
      </c>
      <c r="Q14" s="8" t="s">
        <v>242</v>
      </c>
      <c r="R14" s="8" t="s">
        <v>242</v>
      </c>
    </row>
    <row r="15" spans="1:18" ht="19.5" customHeight="1" x14ac:dyDescent="0.3">
      <c r="A15" s="5">
        <v>20</v>
      </c>
      <c r="B15" s="6" t="s">
        <v>45</v>
      </c>
      <c r="C15" s="7" t="s">
        <v>20</v>
      </c>
      <c r="D15" s="7">
        <v>2005</v>
      </c>
      <c r="E15" s="7" t="s">
        <v>31</v>
      </c>
      <c r="F15" s="6" t="s">
        <v>13</v>
      </c>
      <c r="G15" s="7">
        <v>20.22</v>
      </c>
      <c r="H15" s="7">
        <v>4.75</v>
      </c>
      <c r="I15" s="7">
        <v>9.26</v>
      </c>
      <c r="J15" s="7">
        <v>4.16</v>
      </c>
      <c r="K15" s="7">
        <v>2.0499999999999998</v>
      </c>
      <c r="M15" s="3" t="s">
        <v>38</v>
      </c>
      <c r="N15" s="8">
        <f>MEDIAN(G3:G27)</f>
        <v>19.809999999999999</v>
      </c>
      <c r="O15" s="8">
        <f t="shared" ref="O15:R15" si="4">MEDIAN(H3:H27)</f>
        <v>9.43</v>
      </c>
      <c r="P15" s="8">
        <f t="shared" si="4"/>
        <v>4.9400000000000004</v>
      </c>
      <c r="Q15" s="8">
        <f t="shared" si="4"/>
        <v>3.84</v>
      </c>
      <c r="R15" s="8">
        <f t="shared" si="4"/>
        <v>1.1599999999999999</v>
      </c>
    </row>
    <row r="16" spans="1:18" ht="19.5" customHeight="1" x14ac:dyDescent="0.3">
      <c r="A16" s="5">
        <v>21</v>
      </c>
      <c r="B16" s="6" t="s">
        <v>46</v>
      </c>
      <c r="C16" s="7" t="s">
        <v>20</v>
      </c>
      <c r="D16" s="7">
        <v>2006</v>
      </c>
      <c r="E16" s="7" t="s">
        <v>16</v>
      </c>
      <c r="F16" s="6" t="s">
        <v>13</v>
      </c>
      <c r="G16" s="7">
        <v>18.45</v>
      </c>
      <c r="H16" s="7">
        <v>6.42</v>
      </c>
      <c r="I16" s="7">
        <v>4.5199999999999996</v>
      </c>
      <c r="J16" s="7">
        <v>6.04</v>
      </c>
      <c r="K16" s="7">
        <v>1.37</v>
      </c>
      <c r="M16" s="3" t="s">
        <v>41</v>
      </c>
      <c r="N16" s="8">
        <f>QUARTILE(G3:G27,1)</f>
        <v>15.84</v>
      </c>
      <c r="O16" s="8">
        <f t="shared" ref="O16:R16" si="5">QUARTILE(H3:H27,1)</f>
        <v>6.85</v>
      </c>
      <c r="P16" s="8">
        <f t="shared" si="5"/>
        <v>3.58</v>
      </c>
      <c r="Q16" s="8">
        <f t="shared" si="5"/>
        <v>0.47</v>
      </c>
      <c r="R16" s="8">
        <f t="shared" si="5"/>
        <v>0.59</v>
      </c>
    </row>
    <row r="17" spans="1:18" ht="22.2" customHeight="1" x14ac:dyDescent="0.3">
      <c r="A17" s="5">
        <v>22</v>
      </c>
      <c r="B17" s="6" t="s">
        <v>47</v>
      </c>
      <c r="C17" s="7" t="s">
        <v>15</v>
      </c>
      <c r="D17" s="7">
        <v>1989</v>
      </c>
      <c r="E17" s="7" t="s">
        <v>2</v>
      </c>
      <c r="F17" s="6" t="s">
        <v>13</v>
      </c>
      <c r="G17" s="7">
        <v>18.14</v>
      </c>
      <c r="H17" s="7">
        <v>10.83</v>
      </c>
      <c r="I17" s="7">
        <v>2.71</v>
      </c>
      <c r="J17" s="7">
        <v>4.18</v>
      </c>
      <c r="K17" s="7">
        <v>0.42</v>
      </c>
      <c r="M17" s="3" t="s">
        <v>44</v>
      </c>
      <c r="N17" s="8">
        <f>QUARTILE(G3:G27,3)</f>
        <v>23.43</v>
      </c>
      <c r="O17" s="8">
        <f t="shared" ref="O17:R17" si="6">QUARTILE(H3:H27,3)</f>
        <v>11.27</v>
      </c>
      <c r="P17" s="8">
        <f t="shared" si="6"/>
        <v>6.18</v>
      </c>
      <c r="Q17" s="8">
        <f t="shared" si="6"/>
        <v>5.38</v>
      </c>
      <c r="R17" s="8">
        <f t="shared" si="6"/>
        <v>1.78</v>
      </c>
    </row>
    <row r="18" spans="1:18" ht="19.5" customHeight="1" x14ac:dyDescent="0.3">
      <c r="A18" s="5">
        <v>23</v>
      </c>
      <c r="B18" s="6" t="s">
        <v>48</v>
      </c>
      <c r="C18" s="7" t="s">
        <v>12</v>
      </c>
      <c r="D18" s="7">
        <v>1988</v>
      </c>
      <c r="E18" s="7" t="s">
        <v>2</v>
      </c>
      <c r="F18" s="6" t="s">
        <v>13</v>
      </c>
      <c r="G18" s="7">
        <v>12.78</v>
      </c>
      <c r="H18" s="7">
        <v>9.5399999999999991</v>
      </c>
      <c r="I18" s="7">
        <v>3.44</v>
      </c>
      <c r="J18" s="7">
        <v>3.84</v>
      </c>
      <c r="K18" s="7">
        <v>0.46</v>
      </c>
      <c r="N18" s="31"/>
      <c r="O18" s="31"/>
      <c r="P18" s="31"/>
      <c r="Q18" s="31"/>
      <c r="R18" s="31"/>
    </row>
    <row r="19" spans="1:18" ht="19.5" customHeight="1" x14ac:dyDescent="0.3">
      <c r="A19" s="5">
        <v>24</v>
      </c>
      <c r="B19" s="6" t="s">
        <v>34</v>
      </c>
      <c r="C19" s="7" t="s">
        <v>30</v>
      </c>
      <c r="D19" s="7">
        <v>2013</v>
      </c>
      <c r="E19" s="7" t="s">
        <v>36</v>
      </c>
      <c r="F19" s="6" t="s">
        <v>37</v>
      </c>
      <c r="G19" s="7">
        <v>16.38</v>
      </c>
      <c r="H19" s="7">
        <v>9.6300000000000008</v>
      </c>
      <c r="I19" s="7">
        <v>5.31</v>
      </c>
      <c r="J19" s="7">
        <v>0.06</v>
      </c>
      <c r="K19" s="7">
        <v>1.38</v>
      </c>
    </row>
    <row r="20" spans="1:18" ht="19.5" customHeight="1" x14ac:dyDescent="0.3">
      <c r="A20" s="5">
        <v>25</v>
      </c>
      <c r="B20" s="6" t="s">
        <v>49</v>
      </c>
      <c r="C20" s="7" t="s">
        <v>40</v>
      </c>
      <c r="D20" s="7">
        <v>2002</v>
      </c>
      <c r="E20" s="7" t="s">
        <v>36</v>
      </c>
      <c r="F20" s="6" t="s">
        <v>37</v>
      </c>
      <c r="G20" s="7">
        <v>16.25</v>
      </c>
      <c r="H20" s="7">
        <v>8.41</v>
      </c>
      <c r="I20" s="7">
        <v>5.49</v>
      </c>
      <c r="J20" s="7">
        <v>0.47</v>
      </c>
      <c r="K20" s="7">
        <v>1.78</v>
      </c>
    </row>
    <row r="21" spans="1:18" ht="19.5" customHeight="1" x14ac:dyDescent="0.3">
      <c r="A21" s="5">
        <v>26</v>
      </c>
      <c r="B21" s="6" t="s">
        <v>50</v>
      </c>
      <c r="C21" s="7" t="s">
        <v>51</v>
      </c>
      <c r="D21" s="7">
        <v>2002</v>
      </c>
      <c r="E21" s="7" t="s">
        <v>16</v>
      </c>
      <c r="F21" s="6" t="s">
        <v>13</v>
      </c>
      <c r="G21" s="7">
        <v>15.84</v>
      </c>
      <c r="H21" s="7">
        <v>6.06</v>
      </c>
      <c r="I21" s="7">
        <v>3.9</v>
      </c>
      <c r="J21" s="7">
        <v>5.38</v>
      </c>
      <c r="K21" s="7">
        <v>0.5</v>
      </c>
    </row>
    <row r="22" spans="1:18" ht="19.5" customHeight="1" x14ac:dyDescent="0.3">
      <c r="A22" s="5">
        <v>27</v>
      </c>
      <c r="B22" s="6" t="s">
        <v>52</v>
      </c>
      <c r="C22" s="7" t="s">
        <v>20</v>
      </c>
      <c r="D22" s="7">
        <v>2010</v>
      </c>
      <c r="E22" s="7" t="s">
        <v>16</v>
      </c>
      <c r="F22" s="6" t="s">
        <v>13</v>
      </c>
      <c r="G22" s="7">
        <v>15.32</v>
      </c>
      <c r="H22" s="7">
        <v>5.57</v>
      </c>
      <c r="I22" s="7">
        <v>3.28</v>
      </c>
      <c r="J22" s="7">
        <v>5.65</v>
      </c>
      <c r="K22" s="7">
        <v>0.82</v>
      </c>
    </row>
    <row r="23" spans="1:18" ht="19.5" customHeight="1" x14ac:dyDescent="0.3">
      <c r="A23" s="5">
        <v>28</v>
      </c>
      <c r="B23" s="6" t="s">
        <v>53</v>
      </c>
      <c r="C23" s="7" t="s">
        <v>20</v>
      </c>
      <c r="D23" s="7">
        <v>2005</v>
      </c>
      <c r="E23" s="7" t="s">
        <v>18</v>
      </c>
      <c r="F23" s="6" t="s">
        <v>13</v>
      </c>
      <c r="G23" s="7">
        <v>15.31</v>
      </c>
      <c r="H23" s="7">
        <v>3.44</v>
      </c>
      <c r="I23" s="7">
        <v>5.36</v>
      </c>
      <c r="J23" s="7">
        <v>5.32</v>
      </c>
      <c r="K23" s="7">
        <v>1.18</v>
      </c>
    </row>
    <row r="24" spans="1:18" ht="19.5" customHeight="1" x14ac:dyDescent="0.3">
      <c r="A24" s="5">
        <v>29</v>
      </c>
      <c r="B24" s="6" t="s">
        <v>54</v>
      </c>
      <c r="C24" s="7" t="s">
        <v>40</v>
      </c>
      <c r="D24" s="7">
        <v>2001</v>
      </c>
      <c r="E24" s="7" t="s">
        <v>26</v>
      </c>
      <c r="F24" s="6" t="s">
        <v>55</v>
      </c>
      <c r="G24" s="7">
        <v>14.97</v>
      </c>
      <c r="H24" s="7">
        <v>6.85</v>
      </c>
      <c r="I24" s="7">
        <v>5.09</v>
      </c>
      <c r="J24" s="7">
        <v>1.87</v>
      </c>
      <c r="K24" s="7">
        <v>1.1599999999999999</v>
      </c>
    </row>
    <row r="25" spans="1:18" ht="19.5" customHeight="1" x14ac:dyDescent="0.3">
      <c r="A25" s="5">
        <v>30</v>
      </c>
      <c r="B25" s="6" t="s">
        <v>56</v>
      </c>
      <c r="C25" s="7" t="s">
        <v>30</v>
      </c>
      <c r="D25" s="7">
        <v>2011</v>
      </c>
      <c r="E25" s="7" t="s">
        <v>22</v>
      </c>
      <c r="F25" s="6" t="s">
        <v>57</v>
      </c>
      <c r="G25" s="7">
        <v>14.76</v>
      </c>
      <c r="H25" s="7">
        <v>9.0299999999999994</v>
      </c>
      <c r="I25" s="7">
        <v>4.28</v>
      </c>
      <c r="J25" s="7">
        <v>0.13</v>
      </c>
      <c r="K25" s="7">
        <v>1.32</v>
      </c>
    </row>
    <row r="26" spans="1:18" ht="19.5" customHeight="1" x14ac:dyDescent="0.3">
      <c r="A26" s="5">
        <v>31</v>
      </c>
      <c r="B26" s="6" t="s">
        <v>58</v>
      </c>
      <c r="C26" s="7" t="s">
        <v>15</v>
      </c>
      <c r="D26" s="7">
        <v>1998</v>
      </c>
      <c r="E26" s="7" t="s">
        <v>16</v>
      </c>
      <c r="F26" s="6" t="s">
        <v>13</v>
      </c>
      <c r="G26" s="7">
        <v>16.440000000000001</v>
      </c>
      <c r="H26" s="7">
        <v>5.89</v>
      </c>
      <c r="I26" s="7">
        <v>5.04</v>
      </c>
      <c r="J26" s="7">
        <v>3.12</v>
      </c>
      <c r="K26" s="7">
        <v>0.59</v>
      </c>
    </row>
    <row r="27" spans="1:18" ht="19.5" customHeight="1" x14ac:dyDescent="0.3">
      <c r="A27" s="5">
        <v>32</v>
      </c>
      <c r="B27" s="6" t="s">
        <v>59</v>
      </c>
      <c r="C27" s="7" t="s">
        <v>30</v>
      </c>
      <c r="D27" s="7">
        <v>2010</v>
      </c>
      <c r="E27" s="7" t="s">
        <v>22</v>
      </c>
      <c r="F27" s="6" t="s">
        <v>57</v>
      </c>
      <c r="G27" s="7">
        <v>14.64</v>
      </c>
      <c r="H27" s="7">
        <v>9.67</v>
      </c>
      <c r="I27" s="7">
        <v>3.73</v>
      </c>
      <c r="J27" s="7">
        <v>0.11</v>
      </c>
      <c r="K27" s="7">
        <v>1.1299999999999999</v>
      </c>
    </row>
    <row r="28" spans="1:18" ht="19.5" customHeight="1" x14ac:dyDescent="0.3"/>
    <row r="29" spans="1:18" ht="19.5" customHeight="1" x14ac:dyDescent="0.3"/>
    <row r="30" spans="1:18" ht="19.5" customHeight="1" x14ac:dyDescent="0.3"/>
    <row r="31" spans="1:18" ht="19.5" customHeight="1" x14ac:dyDescent="0.3">
      <c r="A31" s="9"/>
      <c r="B31" s="10"/>
      <c r="C31" s="9"/>
      <c r="D31" s="9"/>
      <c r="E31" s="9"/>
      <c r="F31" s="10"/>
      <c r="G31" s="9"/>
      <c r="H31" s="9"/>
      <c r="I31" s="9"/>
      <c r="J31" s="9"/>
      <c r="K31" s="9"/>
    </row>
    <row r="32" spans="1:18" ht="19.5" customHeight="1" x14ac:dyDescent="0.3">
      <c r="A32" s="9"/>
      <c r="B32" s="10"/>
      <c r="C32" s="9"/>
      <c r="D32" s="9"/>
      <c r="E32" s="9"/>
      <c r="F32"/>
    </row>
    <row r="33" spans="1:6" ht="19.5" customHeight="1" x14ac:dyDescent="0.3">
      <c r="A33" s="9"/>
      <c r="B33" s="10"/>
      <c r="C33" s="9"/>
      <c r="D33" s="9"/>
      <c r="E33" s="9"/>
      <c r="F33"/>
    </row>
    <row r="34" spans="1:6" ht="19.5" customHeight="1" x14ac:dyDescent="0.3">
      <c r="A34" s="9"/>
      <c r="B34" s="10"/>
      <c r="C34" s="9"/>
      <c r="D34" s="9"/>
      <c r="E34" s="9"/>
      <c r="F34"/>
    </row>
    <row r="35" spans="1:6" ht="19.5" customHeight="1" x14ac:dyDescent="0.3">
      <c r="F35"/>
    </row>
    <row r="36" spans="1:6" ht="19.5" customHeight="1" x14ac:dyDescent="0.3">
      <c r="F36"/>
    </row>
  </sheetData>
  <conditionalFormatting sqref="N10:R11">
    <cfRule type="expression" dxfId="24" priority="3">
      <formula>$I10=1</formula>
    </cfRule>
  </conditionalFormatting>
  <conditionalFormatting sqref="M14 N12:R14">
    <cfRule type="expression" dxfId="23" priority="36">
      <formula>#REF!=1</formula>
    </cfRule>
  </conditionalFormatting>
  <conditionalFormatting sqref="N15:R17">
    <cfRule type="expression" dxfId="22" priority="35">
      <formula>$I12=1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8"/>
  <sheetViews>
    <sheetView zoomScale="90" zoomScaleNormal="90" workbookViewId="0">
      <selection activeCell="O9" sqref="O9"/>
    </sheetView>
  </sheetViews>
  <sheetFormatPr baseColWidth="10" defaultColWidth="17.33203125" defaultRowHeight="14.4" x14ac:dyDescent="0.3"/>
  <cols>
    <col min="1" max="1" width="11.21875" bestFit="1" customWidth="1"/>
    <col min="2" max="2" width="12.6640625" bestFit="1" customWidth="1"/>
    <col min="3" max="3" width="9.77734375" bestFit="1" customWidth="1"/>
    <col min="4" max="4" width="10.21875" customWidth="1"/>
    <col min="5" max="5" width="10.33203125" customWidth="1"/>
    <col min="6" max="6" width="14.44140625" customWidth="1"/>
    <col min="7" max="7" width="13" customWidth="1"/>
    <col min="8" max="8" width="12.21875" customWidth="1"/>
    <col min="9" max="9" width="7.5546875" customWidth="1"/>
    <col min="10" max="10" width="9.88671875" bestFit="1" customWidth="1"/>
    <col min="11" max="11" width="51.6640625" customWidth="1"/>
    <col min="12" max="12" width="8.77734375" bestFit="1" customWidth="1"/>
    <col min="13" max="13" width="6.21875" customWidth="1"/>
    <col min="14" max="14" width="9.77734375" bestFit="1" customWidth="1"/>
    <col min="15" max="15" width="23.109375" customWidth="1"/>
  </cols>
  <sheetData>
    <row r="2" spans="1:15" x14ac:dyDescent="0.3">
      <c r="A2" s="37" t="s">
        <v>60</v>
      </c>
      <c r="B2" s="37" t="s">
        <v>61</v>
      </c>
      <c r="C2" s="37" t="s">
        <v>62</v>
      </c>
      <c r="D2" s="37" t="s">
        <v>63</v>
      </c>
      <c r="E2" s="37" t="s">
        <v>64</v>
      </c>
      <c r="F2" s="37" t="s">
        <v>65</v>
      </c>
      <c r="G2" s="37" t="s">
        <v>66</v>
      </c>
      <c r="H2" s="37" t="s">
        <v>67</v>
      </c>
      <c r="I2" s="1"/>
      <c r="J2" s="1"/>
      <c r="K2" s="37" t="s">
        <v>68</v>
      </c>
      <c r="L2" s="37" t="s">
        <v>69</v>
      </c>
      <c r="N2" s="37" t="s">
        <v>62</v>
      </c>
      <c r="O2" s="37" t="s">
        <v>243</v>
      </c>
    </row>
    <row r="3" spans="1:15" x14ac:dyDescent="0.3">
      <c r="A3" s="37"/>
      <c r="B3" s="37"/>
      <c r="C3" s="37"/>
      <c r="D3" s="37"/>
      <c r="E3" s="37"/>
      <c r="F3" s="37"/>
      <c r="G3" s="37"/>
      <c r="H3" s="37"/>
      <c r="J3" s="18"/>
      <c r="K3" s="37"/>
      <c r="L3" s="37"/>
      <c r="N3" s="37"/>
      <c r="O3" s="37"/>
    </row>
    <row r="4" spans="1:15" x14ac:dyDescent="0.3">
      <c r="A4" s="15">
        <f t="shared" ref="A4:A17" si="0">RANK(E4,$E$4:$E$17,0)</f>
        <v>1</v>
      </c>
      <c r="B4" s="16" t="s">
        <v>70</v>
      </c>
      <c r="C4" s="16" t="s">
        <v>71</v>
      </c>
      <c r="D4" s="12">
        <v>554</v>
      </c>
      <c r="E4" s="17">
        <v>46</v>
      </c>
      <c r="F4" s="17">
        <v>37</v>
      </c>
      <c r="G4" s="17">
        <v>38</v>
      </c>
      <c r="H4" s="14">
        <f>SUM(E4:G4)</f>
        <v>121</v>
      </c>
      <c r="K4" s="19" t="s">
        <v>72</v>
      </c>
      <c r="L4" s="14">
        <f>SUMIF(C4:C17,"Asie", H4:H17)</f>
        <v>189</v>
      </c>
      <c r="N4" s="19" t="s">
        <v>244</v>
      </c>
      <c r="O4" s="14">
        <f>SUMIF($C$4:$C$17,N4,$D$4:$D$17)</f>
        <v>0</v>
      </c>
    </row>
    <row r="5" spans="1:15" ht="28.8" x14ac:dyDescent="0.3">
      <c r="A5" s="15">
        <f t="shared" si="0"/>
        <v>5</v>
      </c>
      <c r="B5" s="16" t="s">
        <v>73</v>
      </c>
      <c r="C5" s="16" t="s">
        <v>74</v>
      </c>
      <c r="D5" s="12">
        <v>425</v>
      </c>
      <c r="E5" s="17">
        <v>17</v>
      </c>
      <c r="F5" s="17">
        <v>10</v>
      </c>
      <c r="G5" s="17">
        <v>15</v>
      </c>
      <c r="H5" s="14">
        <f t="shared" ref="H5:H18" si="1">SUM(E5:G5)</f>
        <v>42</v>
      </c>
      <c r="K5" s="19" t="s">
        <v>77</v>
      </c>
      <c r="L5" s="14">
        <f>SUMIFS(E4:E17, D4:D17,"&gt;=366", C4:C17, "Europe")</f>
        <v>54</v>
      </c>
      <c r="N5" s="19" t="s">
        <v>71</v>
      </c>
      <c r="O5" s="14">
        <f t="shared" ref="O5:O8" si="2">SUMIF($C$4:$C$17,N5,$D$4:$D$17)</f>
        <v>617</v>
      </c>
    </row>
    <row r="6" spans="1:15" x14ac:dyDescent="0.3">
      <c r="A6" s="15">
        <f t="shared" si="0"/>
        <v>9</v>
      </c>
      <c r="B6" s="16" t="s">
        <v>75</v>
      </c>
      <c r="C6" s="16" t="s">
        <v>76</v>
      </c>
      <c r="D6" s="12">
        <v>424</v>
      </c>
      <c r="E6" s="17">
        <v>8</v>
      </c>
      <c r="F6" s="17">
        <v>11</v>
      </c>
      <c r="G6" s="17">
        <v>10</v>
      </c>
      <c r="H6" s="14">
        <f t="shared" si="1"/>
        <v>29</v>
      </c>
      <c r="K6" s="19" t="s">
        <v>81</v>
      </c>
      <c r="L6" s="14">
        <f>SUMIF(A4:A17,"&lt;=3",H4:H17)</f>
        <v>258</v>
      </c>
      <c r="N6" s="19" t="s">
        <v>79</v>
      </c>
      <c r="O6" s="14">
        <f t="shared" si="2"/>
        <v>1219</v>
      </c>
    </row>
    <row r="7" spans="1:15" ht="28.8" x14ac:dyDescent="0.3">
      <c r="A7" s="15">
        <f t="shared" si="0"/>
        <v>3</v>
      </c>
      <c r="B7" s="16" t="s">
        <v>78</v>
      </c>
      <c r="C7" s="16" t="s">
        <v>79</v>
      </c>
      <c r="D7" s="12">
        <v>413</v>
      </c>
      <c r="E7" s="17">
        <v>26</v>
      </c>
      <c r="F7" s="17">
        <v>18</v>
      </c>
      <c r="G7" s="17">
        <v>26</v>
      </c>
      <c r="H7" s="14">
        <f t="shared" si="1"/>
        <v>70</v>
      </c>
      <c r="K7" s="19" t="s">
        <v>83</v>
      </c>
      <c r="L7" s="14">
        <f>SUMIFS(G4:G17, C4:C17,"Europe", E4:E17, "&gt;=10")</f>
        <v>46</v>
      </c>
      <c r="N7" s="19" t="s">
        <v>74</v>
      </c>
      <c r="O7" s="14">
        <f t="shared" si="2"/>
        <v>2133</v>
      </c>
    </row>
    <row r="8" spans="1:15" x14ac:dyDescent="0.3">
      <c r="A8" s="15">
        <f t="shared" si="0"/>
        <v>7</v>
      </c>
      <c r="B8" s="16" t="s">
        <v>80</v>
      </c>
      <c r="C8" s="16" t="s">
        <v>74</v>
      </c>
      <c r="D8" s="12">
        <v>396</v>
      </c>
      <c r="E8" s="17">
        <v>10</v>
      </c>
      <c r="F8" s="17">
        <v>18</v>
      </c>
      <c r="G8" s="17">
        <v>14</v>
      </c>
      <c r="H8" s="14">
        <f t="shared" si="1"/>
        <v>42</v>
      </c>
      <c r="K8" s="19" t="s">
        <v>86</v>
      </c>
      <c r="L8" s="14">
        <f>SUMIF(A4:A17, "=9", E4:E17)</f>
        <v>24</v>
      </c>
      <c r="N8" s="19" t="s">
        <v>76</v>
      </c>
      <c r="O8" s="14">
        <f t="shared" si="2"/>
        <v>424</v>
      </c>
    </row>
    <row r="9" spans="1:15" ht="28.8" x14ac:dyDescent="0.3">
      <c r="A9" s="15">
        <f t="shared" si="0"/>
        <v>2</v>
      </c>
      <c r="B9" s="16" t="s">
        <v>82</v>
      </c>
      <c r="C9" s="16" t="s">
        <v>74</v>
      </c>
      <c r="D9" s="12">
        <v>366</v>
      </c>
      <c r="E9" s="17">
        <v>27</v>
      </c>
      <c r="F9" s="17">
        <v>23</v>
      </c>
      <c r="G9" s="17">
        <v>17</v>
      </c>
      <c r="H9" s="14">
        <f t="shared" si="1"/>
        <v>67</v>
      </c>
      <c r="K9" s="19" t="s">
        <v>98</v>
      </c>
      <c r="L9" s="14">
        <f>SUMIFS(D4:D17, A4:A17, "=9", H4:H17, "&gt;=20")</f>
        <v>737</v>
      </c>
    </row>
    <row r="10" spans="1:15" x14ac:dyDescent="0.3">
      <c r="A10" s="15">
        <f t="shared" si="0"/>
        <v>6</v>
      </c>
      <c r="B10" s="16" t="s">
        <v>84</v>
      </c>
      <c r="C10" s="16" t="s">
        <v>79</v>
      </c>
      <c r="D10" s="12">
        <v>330</v>
      </c>
      <c r="E10" s="17">
        <v>12</v>
      </c>
      <c r="F10" s="17">
        <v>8</v>
      </c>
      <c r="G10" s="17">
        <v>21</v>
      </c>
      <c r="H10" s="14">
        <f t="shared" si="1"/>
        <v>41</v>
      </c>
      <c r="K10" s="19" t="s">
        <v>89</v>
      </c>
      <c r="L10" s="14">
        <f>SUMIF(B4:B17,"France", E4:E17)+SUMIF(B4:B17,"France", F4:F17)</f>
        <v>28</v>
      </c>
    </row>
    <row r="11" spans="1:15" ht="28.8" x14ac:dyDescent="0.3">
      <c r="A11" s="15">
        <f t="shared" si="0"/>
        <v>9</v>
      </c>
      <c r="B11" s="16" t="s">
        <v>85</v>
      </c>
      <c r="C11" s="16" t="s">
        <v>74</v>
      </c>
      <c r="D11" s="12">
        <v>313</v>
      </c>
      <c r="E11" s="17">
        <v>8</v>
      </c>
      <c r="F11" s="17">
        <v>12</v>
      </c>
      <c r="G11" s="17">
        <v>8</v>
      </c>
      <c r="H11" s="14">
        <f t="shared" si="1"/>
        <v>28</v>
      </c>
      <c r="K11" s="19" t="s">
        <v>91</v>
      </c>
      <c r="L11" s="14">
        <f>SUMIFS(D4:D17,F4:F17,"&gt;5",G4:G17,"&gt;10")</f>
        <v>2755</v>
      </c>
    </row>
    <row r="12" spans="1:15" x14ac:dyDescent="0.3">
      <c r="A12" s="15">
        <f t="shared" si="0"/>
        <v>12</v>
      </c>
      <c r="B12" s="16" t="s">
        <v>87</v>
      </c>
      <c r="C12" s="16" t="s">
        <v>74</v>
      </c>
      <c r="D12" s="12">
        <v>306</v>
      </c>
      <c r="E12" s="17">
        <v>7</v>
      </c>
      <c r="F12" s="17">
        <v>4</v>
      </c>
      <c r="G12" s="17">
        <v>6</v>
      </c>
      <c r="H12" s="14">
        <f t="shared" si="1"/>
        <v>17</v>
      </c>
      <c r="K12" s="19" t="s">
        <v>93</v>
      </c>
      <c r="L12" s="14">
        <f>SUM(E4:E17,G4:G17)</f>
        <v>400</v>
      </c>
    </row>
    <row r="13" spans="1:15" ht="28.8" x14ac:dyDescent="0.3">
      <c r="A13" s="15">
        <f t="shared" si="0"/>
        <v>4</v>
      </c>
      <c r="B13" s="16" t="s">
        <v>88</v>
      </c>
      <c r="C13" s="16" t="s">
        <v>79</v>
      </c>
      <c r="D13" s="12">
        <v>271</v>
      </c>
      <c r="E13" s="17">
        <v>19</v>
      </c>
      <c r="F13" s="17">
        <v>18</v>
      </c>
      <c r="G13" s="17">
        <v>20</v>
      </c>
      <c r="H13" s="14">
        <f t="shared" si="1"/>
        <v>57</v>
      </c>
      <c r="K13" s="19" t="s">
        <v>96</v>
      </c>
      <c r="L13" s="14">
        <f>SUMIF(H4:H17,"&gt;50",D4:D17)</f>
        <v>1604</v>
      </c>
    </row>
    <row r="14" spans="1:15" ht="23.4" x14ac:dyDescent="0.3">
      <c r="A14" s="15">
        <f t="shared" si="0"/>
        <v>9</v>
      </c>
      <c r="B14" s="16" t="s">
        <v>90</v>
      </c>
      <c r="C14" s="16" t="s">
        <v>74</v>
      </c>
      <c r="D14" s="12">
        <v>241</v>
      </c>
      <c r="E14" s="17">
        <v>8</v>
      </c>
      <c r="F14" s="17">
        <v>7</v>
      </c>
      <c r="G14" s="17">
        <v>4</v>
      </c>
      <c r="H14" s="14">
        <f t="shared" si="1"/>
        <v>19</v>
      </c>
      <c r="J14" s="33" t="s">
        <v>239</v>
      </c>
      <c r="K14" s="19" t="s">
        <v>245</v>
      </c>
      <c r="L14" s="14"/>
    </row>
    <row r="15" spans="1:15" x14ac:dyDescent="0.3">
      <c r="A15" s="15">
        <f t="shared" si="0"/>
        <v>8</v>
      </c>
      <c r="B15" s="16" t="s">
        <v>92</v>
      </c>
      <c r="C15" s="16" t="s">
        <v>79</v>
      </c>
      <c r="D15" s="12">
        <v>205</v>
      </c>
      <c r="E15" s="17">
        <v>9</v>
      </c>
      <c r="F15" s="17">
        <v>3</v>
      </c>
      <c r="G15" s="17">
        <v>9</v>
      </c>
      <c r="H15" s="14">
        <f t="shared" si="1"/>
        <v>21</v>
      </c>
    </row>
    <row r="16" spans="1:15" x14ac:dyDescent="0.3">
      <c r="A16" s="15">
        <f t="shared" si="0"/>
        <v>14</v>
      </c>
      <c r="B16" s="16" t="s">
        <v>94</v>
      </c>
      <c r="C16" s="16" t="s">
        <v>74</v>
      </c>
      <c r="D16" s="12">
        <v>86</v>
      </c>
      <c r="E16" s="17">
        <v>5</v>
      </c>
      <c r="F16" s="17">
        <v>3</v>
      </c>
      <c r="G16" s="17">
        <v>2</v>
      </c>
      <c r="H16" s="14">
        <f t="shared" si="1"/>
        <v>10</v>
      </c>
    </row>
    <row r="17" spans="1:8" x14ac:dyDescent="0.3">
      <c r="A17" s="15">
        <f t="shared" si="0"/>
        <v>13</v>
      </c>
      <c r="B17" s="16" t="s">
        <v>95</v>
      </c>
      <c r="C17" s="16" t="s">
        <v>71</v>
      </c>
      <c r="D17" s="12">
        <v>63</v>
      </c>
      <c r="E17" s="17">
        <v>6</v>
      </c>
      <c r="F17" s="17">
        <v>3</v>
      </c>
      <c r="G17" s="17">
        <v>2</v>
      </c>
      <c r="H17" s="14">
        <f t="shared" si="1"/>
        <v>11</v>
      </c>
    </row>
    <row r="18" spans="1:8" ht="23.4" x14ac:dyDescent="0.3">
      <c r="A18" s="34" t="s">
        <v>97</v>
      </c>
      <c r="B18" s="35"/>
      <c r="C18" s="35"/>
      <c r="D18" s="36"/>
      <c r="E18" s="14">
        <f>SUM(E4:E17)</f>
        <v>208</v>
      </c>
      <c r="F18" s="14">
        <f t="shared" ref="F18:G18" si="3">SUM(F4:F17)</f>
        <v>175</v>
      </c>
      <c r="G18" s="14">
        <f t="shared" si="3"/>
        <v>192</v>
      </c>
      <c r="H18" s="14">
        <f t="shared" si="1"/>
        <v>575</v>
      </c>
    </row>
  </sheetData>
  <mergeCells count="13">
    <mergeCell ref="O2:O3"/>
    <mergeCell ref="N2:N3"/>
    <mergeCell ref="K2:K3"/>
    <mergeCell ref="L2:L3"/>
    <mergeCell ref="E2:E3"/>
    <mergeCell ref="F2:F3"/>
    <mergeCell ref="G2:G3"/>
    <mergeCell ref="H2:H3"/>
    <mergeCell ref="A18:D18"/>
    <mergeCell ref="A2:A3"/>
    <mergeCell ref="B2:B3"/>
    <mergeCell ref="C2:C3"/>
    <mergeCell ref="D2:D3"/>
  </mergeCells>
  <conditionalFormatting sqref="E18:G18">
    <cfRule type="expression" dxfId="21" priority="8">
      <formula>E$19=1</formula>
    </cfRule>
  </conditionalFormatting>
  <conditionalFormatting sqref="H4:H18">
    <cfRule type="expression" dxfId="20" priority="7">
      <formula>$I4=1</formula>
    </cfRule>
  </conditionalFormatting>
  <conditionalFormatting sqref="K4:L4">
    <cfRule type="expression" dxfId="18" priority="5">
      <formula>$M4=1</formula>
    </cfRule>
  </conditionalFormatting>
  <conditionalFormatting sqref="K5:L5">
    <cfRule type="expression" dxfId="17" priority="14">
      <formula>$M6=1</formula>
    </cfRule>
  </conditionalFormatting>
  <conditionalFormatting sqref="K6:L7">
    <cfRule type="expression" dxfId="16" priority="16">
      <formula>$M8=1</formula>
    </cfRule>
  </conditionalFormatting>
  <conditionalFormatting sqref="K8:L12">
    <cfRule type="expression" dxfId="15" priority="17">
      <formula>$M11=1</formula>
    </cfRule>
  </conditionalFormatting>
  <conditionalFormatting sqref="K9:L9">
    <cfRule type="expression" dxfId="14" priority="12">
      <formula>$M18=1</formula>
    </cfRule>
  </conditionalFormatting>
  <conditionalFormatting sqref="K13:L13">
    <cfRule type="expression" dxfId="13" priority="18">
      <formula>$M17=1</formula>
    </cfRule>
  </conditionalFormatting>
  <conditionalFormatting sqref="K14:L14">
    <cfRule type="expression" dxfId="12" priority="10">
      <formula>$M16=1</formula>
    </cfRule>
  </conditionalFormatting>
  <conditionalFormatting sqref="N4:O8">
    <cfRule type="expression" dxfId="11" priority="1">
      <formula>$M4=1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3"/>
  <sheetViews>
    <sheetView zoomScale="85" zoomScaleNormal="85" workbookViewId="0">
      <selection activeCell="M21" sqref="M21"/>
    </sheetView>
  </sheetViews>
  <sheetFormatPr baseColWidth="10" defaultColWidth="11.5546875" defaultRowHeight="14.4" x14ac:dyDescent="0.3"/>
  <cols>
    <col min="2" max="2" width="17.109375" customWidth="1"/>
    <col min="6" max="6" width="19.109375" customWidth="1"/>
    <col min="9" max="9" width="16.77734375" customWidth="1"/>
    <col min="12" max="12" width="55.21875" customWidth="1"/>
  </cols>
  <sheetData>
    <row r="2" spans="1:13" x14ac:dyDescent="0.3">
      <c r="A2" s="37" t="s">
        <v>99</v>
      </c>
      <c r="B2" s="37" t="s">
        <v>100</v>
      </c>
      <c r="C2" s="37" t="s">
        <v>101</v>
      </c>
      <c r="D2" s="37" t="s">
        <v>102</v>
      </c>
      <c r="E2" s="37" t="s">
        <v>103</v>
      </c>
      <c r="F2" s="37" t="s">
        <v>104</v>
      </c>
      <c r="G2" s="37" t="s">
        <v>105</v>
      </c>
      <c r="H2" s="37" t="s">
        <v>106</v>
      </c>
      <c r="I2" s="37" t="s">
        <v>107</v>
      </c>
      <c r="J2" s="9"/>
      <c r="L2" s="37" t="s">
        <v>68</v>
      </c>
      <c r="M2" s="37" t="s">
        <v>69</v>
      </c>
    </row>
    <row r="3" spans="1:13" x14ac:dyDescent="0.3">
      <c r="A3" s="37"/>
      <c r="B3" s="37"/>
      <c r="C3" s="37"/>
      <c r="D3" s="37"/>
      <c r="E3" s="37"/>
      <c r="F3" s="37"/>
      <c r="G3" s="37"/>
      <c r="H3" s="37"/>
      <c r="I3" s="37"/>
      <c r="J3" s="9"/>
      <c r="K3" s="1"/>
      <c r="L3" s="37"/>
      <c r="M3" s="37"/>
    </row>
    <row r="4" spans="1:13" x14ac:dyDescent="0.3">
      <c r="A4" s="11">
        <v>47503</v>
      </c>
      <c r="B4" s="12" t="s">
        <v>108</v>
      </c>
      <c r="C4" s="12" t="s">
        <v>109</v>
      </c>
      <c r="D4" s="13">
        <v>60</v>
      </c>
      <c r="E4" s="11">
        <v>47518</v>
      </c>
      <c r="F4" s="11" t="s">
        <v>110</v>
      </c>
      <c r="G4" s="12" t="s">
        <v>111</v>
      </c>
      <c r="H4" s="12" t="s">
        <v>112</v>
      </c>
      <c r="I4" s="14">
        <f>COUNTBLANK(A4:H4)</f>
        <v>0</v>
      </c>
      <c r="J4" s="9"/>
      <c r="K4" s="9"/>
      <c r="L4" s="30" t="s">
        <v>113</v>
      </c>
      <c r="M4" s="14">
        <f>COUNTA(A4:A23)</f>
        <v>20</v>
      </c>
    </row>
    <row r="5" spans="1:13" x14ac:dyDescent="0.3">
      <c r="A5" s="11">
        <v>47553</v>
      </c>
      <c r="B5" s="12" t="s">
        <v>114</v>
      </c>
      <c r="C5" s="12" t="s">
        <v>115</v>
      </c>
      <c r="D5" s="13">
        <v>30</v>
      </c>
      <c r="E5" s="11" t="s">
        <v>116</v>
      </c>
      <c r="F5" s="11"/>
      <c r="G5" s="12" t="s">
        <v>111</v>
      </c>
      <c r="H5" s="12"/>
      <c r="I5" s="14">
        <f t="shared" ref="I5:I23" si="0">COUNTBLANK(A5:H5)</f>
        <v>2</v>
      </c>
      <c r="J5" s="9"/>
      <c r="K5" s="9"/>
      <c r="L5" s="30" t="s">
        <v>117</v>
      </c>
      <c r="M5" s="14">
        <f>COUNTA(B4:B23)</f>
        <v>20</v>
      </c>
    </row>
    <row r="6" spans="1:13" x14ac:dyDescent="0.3">
      <c r="A6" s="11">
        <v>47524</v>
      </c>
      <c r="B6" s="12" t="s">
        <v>118</v>
      </c>
      <c r="C6" s="12" t="s">
        <v>119</v>
      </c>
      <c r="D6" s="13">
        <v>80</v>
      </c>
      <c r="E6" s="11">
        <v>47547</v>
      </c>
      <c r="F6" s="11"/>
      <c r="G6" s="12" t="s">
        <v>120</v>
      </c>
      <c r="H6" s="12"/>
      <c r="I6" s="14">
        <f t="shared" si="0"/>
        <v>2</v>
      </c>
      <c r="J6" s="9"/>
      <c r="K6" s="9"/>
      <c r="L6" s="30" t="s">
        <v>121</v>
      </c>
      <c r="M6" s="14">
        <f>COUNTIF(C4:C23,"Tee-Shirt")</f>
        <v>8</v>
      </c>
    </row>
    <row r="7" spans="1:13" x14ac:dyDescent="0.3">
      <c r="A7" s="11">
        <v>47496</v>
      </c>
      <c r="B7" s="12" t="s">
        <v>122</v>
      </c>
      <c r="C7" s="12" t="s">
        <v>115</v>
      </c>
      <c r="D7" s="13">
        <v>10</v>
      </c>
      <c r="E7" s="11">
        <v>47503</v>
      </c>
      <c r="F7" s="11" t="s">
        <v>123</v>
      </c>
      <c r="G7" s="12" t="s">
        <v>111</v>
      </c>
      <c r="H7" s="12"/>
      <c r="I7" s="14">
        <f t="shared" si="0"/>
        <v>1</v>
      </c>
      <c r="J7" s="9"/>
      <c r="K7" s="9"/>
      <c r="L7" s="30" t="s">
        <v>124</v>
      </c>
      <c r="M7" s="14">
        <f>COUNTBLANK(F4:F23)</f>
        <v>6</v>
      </c>
    </row>
    <row r="8" spans="1:13" x14ac:dyDescent="0.3">
      <c r="A8" s="11">
        <v>47498</v>
      </c>
      <c r="B8" s="12" t="s">
        <v>125</v>
      </c>
      <c r="C8" s="12" t="s">
        <v>109</v>
      </c>
      <c r="D8" s="13">
        <v>50</v>
      </c>
      <c r="E8" s="11">
        <v>47505</v>
      </c>
      <c r="F8" s="11" t="s">
        <v>126</v>
      </c>
      <c r="G8" s="12" t="s">
        <v>127</v>
      </c>
      <c r="H8" s="12" t="s">
        <v>128</v>
      </c>
      <c r="I8" s="14">
        <f t="shared" si="0"/>
        <v>0</v>
      </c>
      <c r="J8" s="9"/>
      <c r="K8" s="9"/>
      <c r="L8" s="30" t="s">
        <v>129</v>
      </c>
      <c r="M8" s="14">
        <f>COUNTIF(D4:D23,"&gt;=80")</f>
        <v>5</v>
      </c>
    </row>
    <row r="9" spans="1:13" x14ac:dyDescent="0.3">
      <c r="A9" s="11">
        <v>47542</v>
      </c>
      <c r="B9" s="12" t="s">
        <v>130</v>
      </c>
      <c r="C9" s="12" t="s">
        <v>109</v>
      </c>
      <c r="D9" s="13">
        <v>40</v>
      </c>
      <c r="E9" s="11" t="s">
        <v>116</v>
      </c>
      <c r="F9" s="11" t="s">
        <v>131</v>
      </c>
      <c r="G9" s="12" t="s">
        <v>127</v>
      </c>
      <c r="H9" s="12" t="s">
        <v>112</v>
      </c>
      <c r="I9" s="14">
        <f t="shared" si="0"/>
        <v>0</v>
      </c>
      <c r="J9" s="9"/>
      <c r="K9" s="9"/>
      <c r="L9" s="30" t="s">
        <v>246</v>
      </c>
      <c r="M9" s="14">
        <f>COUNTIF(A4:A23,"15/01/2030")</f>
        <v>3</v>
      </c>
    </row>
    <row r="10" spans="1:13" ht="28.8" x14ac:dyDescent="0.3">
      <c r="A10" s="11">
        <v>47529</v>
      </c>
      <c r="B10" s="12" t="s">
        <v>132</v>
      </c>
      <c r="C10" s="12" t="s">
        <v>109</v>
      </c>
      <c r="D10" s="13">
        <v>90</v>
      </c>
      <c r="E10" s="11">
        <v>47536</v>
      </c>
      <c r="F10" s="11" t="s">
        <v>133</v>
      </c>
      <c r="G10" s="12" t="s">
        <v>120</v>
      </c>
      <c r="H10" s="12" t="s">
        <v>112</v>
      </c>
      <c r="I10" s="14">
        <f t="shared" si="0"/>
        <v>0</v>
      </c>
      <c r="J10" s="9"/>
      <c r="K10" s="9"/>
      <c r="L10" s="30" t="s">
        <v>136</v>
      </c>
      <c r="M10" s="14">
        <f>COUNTIFS(A4:A23,"&gt;=15/01/2030", A4:A23, "&lt;=15/02/2030")</f>
        <v>11</v>
      </c>
    </row>
    <row r="11" spans="1:13" x14ac:dyDescent="0.3">
      <c r="A11" s="11">
        <v>47514</v>
      </c>
      <c r="B11" s="12" t="s">
        <v>134</v>
      </c>
      <c r="C11" s="12" t="s">
        <v>119</v>
      </c>
      <c r="D11" s="13">
        <v>90</v>
      </c>
      <c r="E11" s="11">
        <v>47521</v>
      </c>
      <c r="F11" s="11" t="s">
        <v>135</v>
      </c>
      <c r="G11" s="12" t="s">
        <v>120</v>
      </c>
      <c r="H11" s="12" t="s">
        <v>128</v>
      </c>
      <c r="I11" s="14">
        <f t="shared" si="0"/>
        <v>0</v>
      </c>
      <c r="J11" s="9"/>
      <c r="K11" s="9"/>
      <c r="L11" s="30" t="s">
        <v>247</v>
      </c>
      <c r="M11" s="14">
        <f>COUNTIFS(C4:C23,"Pantalon", G4:G23, "Nancy", H4:H23, "Anthony")</f>
        <v>2</v>
      </c>
    </row>
    <row r="12" spans="1:13" x14ac:dyDescent="0.3">
      <c r="A12" s="11">
        <v>47547</v>
      </c>
      <c r="B12" s="12" t="s">
        <v>137</v>
      </c>
      <c r="C12" s="12" t="s">
        <v>109</v>
      </c>
      <c r="D12" s="13">
        <v>70</v>
      </c>
      <c r="E12" s="11" t="s">
        <v>116</v>
      </c>
      <c r="F12" s="11" t="s">
        <v>138</v>
      </c>
      <c r="G12" s="12" t="s">
        <v>127</v>
      </c>
      <c r="H12" s="12" t="s">
        <v>128</v>
      </c>
      <c r="I12" s="14">
        <f t="shared" si="0"/>
        <v>0</v>
      </c>
      <c r="J12" s="9"/>
      <c r="K12" s="9"/>
      <c r="L12" s="30" t="s">
        <v>141</v>
      </c>
      <c r="M12" s="14">
        <f>COUNTA(F4:F23)</f>
        <v>14</v>
      </c>
    </row>
    <row r="13" spans="1:13" ht="28.8" x14ac:dyDescent="0.3">
      <c r="A13" s="11">
        <v>47490</v>
      </c>
      <c r="B13" s="12" t="s">
        <v>139</v>
      </c>
      <c r="C13" s="12" t="s">
        <v>119</v>
      </c>
      <c r="D13" s="13">
        <v>30</v>
      </c>
      <c r="E13" s="11">
        <v>47497</v>
      </c>
      <c r="F13" s="11" t="s">
        <v>140</v>
      </c>
      <c r="G13" s="12" t="s">
        <v>111</v>
      </c>
      <c r="H13" s="12" t="s">
        <v>112</v>
      </c>
      <c r="I13" s="14">
        <f t="shared" si="0"/>
        <v>0</v>
      </c>
      <c r="J13" s="9"/>
      <c r="K13" s="9"/>
      <c r="L13" s="30" t="s">
        <v>143</v>
      </c>
      <c r="M13" s="14">
        <f>COUNTIF(E4:E23, "À venir")</f>
        <v>7</v>
      </c>
    </row>
    <row r="14" spans="1:13" x14ac:dyDescent="0.3">
      <c r="A14" s="11">
        <v>47545</v>
      </c>
      <c r="B14" s="12" t="s">
        <v>142</v>
      </c>
      <c r="C14" s="12" t="s">
        <v>109</v>
      </c>
      <c r="D14" s="13">
        <v>100</v>
      </c>
      <c r="E14" s="11">
        <v>47552</v>
      </c>
      <c r="F14" s="11"/>
      <c r="G14" s="12"/>
      <c r="H14" s="12"/>
      <c r="I14" s="14">
        <f t="shared" si="0"/>
        <v>3</v>
      </c>
      <c r="J14" s="9"/>
      <c r="K14" s="9"/>
      <c r="L14" s="30" t="s">
        <v>148</v>
      </c>
      <c r="M14" s="14">
        <f>COUNTIFS(A4:A23,"&gt;=01/01/2030", A4:A23, "&lt;=31/01/2030")</f>
        <v>12</v>
      </c>
    </row>
    <row r="15" spans="1:13" ht="28.8" x14ac:dyDescent="0.3">
      <c r="A15" s="11">
        <v>47484</v>
      </c>
      <c r="B15" s="12" t="s">
        <v>144</v>
      </c>
      <c r="C15" s="12" t="s">
        <v>119</v>
      </c>
      <c r="D15" s="13">
        <v>50</v>
      </c>
      <c r="E15" s="11">
        <v>47491</v>
      </c>
      <c r="F15" s="11" t="s">
        <v>145</v>
      </c>
      <c r="G15" s="12" t="s">
        <v>120</v>
      </c>
      <c r="H15" s="12" t="s">
        <v>128</v>
      </c>
      <c r="I15" s="14">
        <f t="shared" si="0"/>
        <v>0</v>
      </c>
      <c r="J15" s="9"/>
      <c r="K15" s="1"/>
      <c r="L15" s="30" t="s">
        <v>150</v>
      </c>
      <c r="M15" s="14">
        <f>COUNTIF(E4:E23, "&lt;&gt;À venir")</f>
        <v>13</v>
      </c>
    </row>
    <row r="16" spans="1:13" ht="28.8" x14ac:dyDescent="0.3">
      <c r="A16" s="11">
        <v>47516</v>
      </c>
      <c r="B16" s="12" t="s">
        <v>146</v>
      </c>
      <c r="C16" s="12" t="s">
        <v>119</v>
      </c>
      <c r="D16" s="13">
        <v>50</v>
      </c>
      <c r="E16" s="11">
        <v>47524</v>
      </c>
      <c r="F16" s="11" t="s">
        <v>147</v>
      </c>
      <c r="G16" s="12" t="s">
        <v>127</v>
      </c>
      <c r="H16" s="12" t="s">
        <v>128</v>
      </c>
      <c r="I16" s="14">
        <f t="shared" si="0"/>
        <v>0</v>
      </c>
      <c r="J16" s="9"/>
      <c r="L16" s="30" t="s">
        <v>153</v>
      </c>
      <c r="M16" s="14">
        <f>COUNTIFS(G4:G23, "&lt;&gt;", F4:F23, "=")</f>
        <v>2</v>
      </c>
    </row>
    <row r="17" spans="1:13" x14ac:dyDescent="0.3">
      <c r="A17" s="11">
        <v>47514</v>
      </c>
      <c r="B17" s="12" t="s">
        <v>149</v>
      </c>
      <c r="C17" s="12" t="s">
        <v>119</v>
      </c>
      <c r="D17" s="13">
        <v>30</v>
      </c>
      <c r="E17" s="11" t="s">
        <v>116</v>
      </c>
      <c r="F17" s="11"/>
      <c r="G17" s="12"/>
      <c r="H17" s="12"/>
      <c r="I17" s="14">
        <f t="shared" si="0"/>
        <v>3</v>
      </c>
      <c r="J17" s="9"/>
      <c r="L17" s="30" t="s">
        <v>155</v>
      </c>
      <c r="M17" s="14">
        <f>COUNTIF(G4:G23, "Nancy")+COUNTIF(G4:G23,"Strasbourg")</f>
        <v>11</v>
      </c>
    </row>
    <row r="18" spans="1:13" x14ac:dyDescent="0.3">
      <c r="A18" s="11">
        <v>47513</v>
      </c>
      <c r="B18" s="12" t="s">
        <v>151</v>
      </c>
      <c r="C18" s="12" t="s">
        <v>115</v>
      </c>
      <c r="D18" s="13">
        <v>70</v>
      </c>
      <c r="E18" s="11" t="s">
        <v>116</v>
      </c>
      <c r="F18" s="11" t="s">
        <v>152</v>
      </c>
      <c r="G18" s="12" t="s">
        <v>111</v>
      </c>
      <c r="H18" s="12"/>
      <c r="I18" s="14">
        <f t="shared" si="0"/>
        <v>1</v>
      </c>
      <c r="J18" s="9"/>
      <c r="L18" s="30" t="s">
        <v>158</v>
      </c>
      <c r="M18" s="14">
        <f>COUNTBLANK(A4:H23)</f>
        <v>18</v>
      </c>
    </row>
    <row r="19" spans="1:13" ht="28.8" x14ac:dyDescent="0.3">
      <c r="A19" s="11">
        <v>47499</v>
      </c>
      <c r="B19" s="12" t="s">
        <v>154</v>
      </c>
      <c r="C19" s="12" t="s">
        <v>109</v>
      </c>
      <c r="D19" s="13">
        <v>50</v>
      </c>
      <c r="E19" s="11" t="s">
        <v>116</v>
      </c>
      <c r="F19" s="11"/>
      <c r="G19" s="12"/>
      <c r="H19" s="12"/>
      <c r="I19" s="14">
        <f t="shared" si="0"/>
        <v>3</v>
      </c>
      <c r="J19" s="9"/>
      <c r="L19" s="30" t="s">
        <v>164</v>
      </c>
      <c r="M19" s="14">
        <f>COUNTIFS(A4:H23, "=")</f>
        <v>18</v>
      </c>
    </row>
    <row r="20" spans="1:13" ht="28.8" x14ac:dyDescent="0.3">
      <c r="A20" s="11">
        <v>47498</v>
      </c>
      <c r="B20" s="12" t="s">
        <v>156</v>
      </c>
      <c r="C20" s="12" t="s">
        <v>119</v>
      </c>
      <c r="D20" s="13">
        <v>20</v>
      </c>
      <c r="E20" s="11">
        <v>47508</v>
      </c>
      <c r="F20" s="11" t="s">
        <v>157</v>
      </c>
      <c r="G20" s="12" t="s">
        <v>127</v>
      </c>
      <c r="H20" s="12" t="s">
        <v>112</v>
      </c>
      <c r="I20" s="14">
        <f t="shared" si="0"/>
        <v>0</v>
      </c>
      <c r="J20" s="9"/>
      <c r="L20" s="30" t="s">
        <v>166</v>
      </c>
      <c r="M20" s="14">
        <f>COUNTIFS(E4:E23, "&lt;&gt;À venir", H4:H23, "&lt;&gt;")</f>
        <v>9</v>
      </c>
    </row>
    <row r="21" spans="1:13" ht="28.8" x14ac:dyDescent="0.3">
      <c r="A21" s="11">
        <v>47534</v>
      </c>
      <c r="B21" s="12" t="s">
        <v>159</v>
      </c>
      <c r="C21" s="12" t="s">
        <v>119</v>
      </c>
      <c r="D21" s="13">
        <v>60</v>
      </c>
      <c r="E21" s="11" t="s">
        <v>116</v>
      </c>
      <c r="F21" s="11" t="s">
        <v>160</v>
      </c>
      <c r="G21" s="12" t="s">
        <v>127</v>
      </c>
      <c r="H21" s="12" t="s">
        <v>128</v>
      </c>
      <c r="I21" s="14">
        <f t="shared" si="0"/>
        <v>0</v>
      </c>
      <c r="J21" s="9"/>
      <c r="K21" s="33" t="s">
        <v>239</v>
      </c>
      <c r="L21" s="30" t="s">
        <v>161</v>
      </c>
      <c r="M21" s="14">
        <f>COUNTIFS(A4:A23,"&gt;=01/01/2030", A4:A23, "&lt;=31/01/2030", E4:E23, "&gt;=01/02/2030",E4:E23, "&lt;=31/02/2030" )</f>
        <v>0</v>
      </c>
    </row>
    <row r="22" spans="1:13" x14ac:dyDescent="0.3">
      <c r="A22" s="11">
        <v>47486</v>
      </c>
      <c r="B22" s="12" t="s">
        <v>162</v>
      </c>
      <c r="C22" s="12" t="s">
        <v>115</v>
      </c>
      <c r="D22" s="13">
        <v>80</v>
      </c>
      <c r="E22" s="11">
        <v>47493</v>
      </c>
      <c r="F22" s="11" t="s">
        <v>163</v>
      </c>
      <c r="G22" s="12" t="s">
        <v>120</v>
      </c>
      <c r="H22" s="12"/>
      <c r="I22" s="14">
        <f t="shared" si="0"/>
        <v>1</v>
      </c>
      <c r="J22" s="9"/>
    </row>
    <row r="23" spans="1:13" x14ac:dyDescent="0.3">
      <c r="A23" s="11">
        <v>47498</v>
      </c>
      <c r="B23" s="12" t="s">
        <v>165</v>
      </c>
      <c r="C23" s="12" t="s">
        <v>115</v>
      </c>
      <c r="D23" s="13">
        <v>10</v>
      </c>
      <c r="E23" s="11">
        <v>47515</v>
      </c>
      <c r="F23" s="11"/>
      <c r="G23" s="12"/>
      <c r="H23" s="12" t="s">
        <v>112</v>
      </c>
      <c r="I23" s="14">
        <f t="shared" si="0"/>
        <v>2</v>
      </c>
      <c r="J23" s="9"/>
    </row>
  </sheetData>
  <mergeCells count="11">
    <mergeCell ref="A2:A3"/>
    <mergeCell ref="B2:B3"/>
    <mergeCell ref="C2:C3"/>
    <mergeCell ref="D2:D3"/>
    <mergeCell ref="E2:E3"/>
    <mergeCell ref="L2:L3"/>
    <mergeCell ref="M2:M3"/>
    <mergeCell ref="F2:F3"/>
    <mergeCell ref="G2:G3"/>
    <mergeCell ref="H2:H3"/>
    <mergeCell ref="I2:I3"/>
  </mergeCells>
  <conditionalFormatting sqref="M4:M8 I3:I23">
    <cfRule type="expression" dxfId="10" priority="2">
      <formula>$J3=1</formula>
    </cfRule>
  </conditionalFormatting>
  <conditionalFormatting sqref="L9:L13">
    <cfRule type="expression" dxfId="9" priority="33">
      <formula>$N10=1</formula>
    </cfRule>
  </conditionalFormatting>
  <conditionalFormatting sqref="L14:L18">
    <cfRule type="expression" dxfId="8" priority="23">
      <formula>$N16=1</formula>
    </cfRule>
  </conditionalFormatting>
  <conditionalFormatting sqref="L19:L20">
    <cfRule type="expression" dxfId="7" priority="29">
      <formula>$N22=1</formula>
    </cfRule>
  </conditionalFormatting>
  <conditionalFormatting sqref="L21">
    <cfRule type="expression" dxfId="6" priority="27">
      <formula>$N21=1</formula>
    </cfRule>
  </conditionalFormatting>
  <conditionalFormatting sqref="L3:M3 L4:L8">
    <cfRule type="expression" dxfId="5" priority="3">
      <formula>$N3=1</formula>
    </cfRule>
  </conditionalFormatting>
  <conditionalFormatting sqref="M9:M13">
    <cfRule type="expression" dxfId="4" priority="31">
      <formula>$J10=1</formula>
    </cfRule>
  </conditionalFormatting>
  <conditionalFormatting sqref="M14:M18">
    <cfRule type="expression" dxfId="3" priority="20">
      <formula>$J16=1</formula>
    </cfRule>
  </conditionalFormatting>
  <conditionalFormatting sqref="M19:M20">
    <cfRule type="expression" dxfId="2" priority="28">
      <formula>$J22=1</formula>
    </cfRule>
  </conditionalFormatting>
  <conditionalFormatting sqref="M21">
    <cfRule type="expression" dxfId="1" priority="25">
      <formula>$J21=1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5"/>
  <sheetViews>
    <sheetView tabSelected="1" zoomScale="90" zoomScaleNormal="90" workbookViewId="0">
      <selection activeCell="I13" sqref="I13"/>
    </sheetView>
  </sheetViews>
  <sheetFormatPr baseColWidth="10" defaultColWidth="11.5546875" defaultRowHeight="14.4" x14ac:dyDescent="0.3"/>
  <cols>
    <col min="9" max="9" width="27.88671875" customWidth="1"/>
  </cols>
  <sheetData>
    <row r="3" spans="1:9" ht="13.8" customHeight="1" x14ac:dyDescent="0.3">
      <c r="A3" s="21" t="s">
        <v>167</v>
      </c>
      <c r="B3" s="22" t="s">
        <v>168</v>
      </c>
      <c r="C3" s="22" t="s">
        <v>169</v>
      </c>
      <c r="D3" s="23" t="s">
        <v>170</v>
      </c>
    </row>
    <row r="4" spans="1:9" x14ac:dyDescent="0.3">
      <c r="A4" s="24" t="s">
        <v>171</v>
      </c>
      <c r="B4" s="25" t="s">
        <v>172</v>
      </c>
      <c r="C4" s="25" t="s">
        <v>173</v>
      </c>
      <c r="D4" s="26" t="s">
        <v>174</v>
      </c>
    </row>
    <row r="5" spans="1:9" x14ac:dyDescent="0.3">
      <c r="A5" s="24" t="s">
        <v>175</v>
      </c>
      <c r="B5" s="25" t="s">
        <v>176</v>
      </c>
      <c r="C5" s="25" t="s">
        <v>177</v>
      </c>
      <c r="D5" s="26" t="s">
        <v>120</v>
      </c>
    </row>
    <row r="6" spans="1:9" x14ac:dyDescent="0.3">
      <c r="A6" s="24" t="s">
        <v>178</v>
      </c>
      <c r="B6" s="25" t="s">
        <v>179</v>
      </c>
      <c r="C6" s="25" t="s">
        <v>180</v>
      </c>
      <c r="D6" s="26" t="s">
        <v>120</v>
      </c>
    </row>
    <row r="7" spans="1:9" x14ac:dyDescent="0.3">
      <c r="A7" s="24" t="s">
        <v>181</v>
      </c>
      <c r="B7" s="25" t="s">
        <v>182</v>
      </c>
      <c r="C7" s="25" t="s">
        <v>183</v>
      </c>
      <c r="D7" s="26" t="s">
        <v>174</v>
      </c>
    </row>
    <row r="8" spans="1:9" x14ac:dyDescent="0.3">
      <c r="A8" s="24" t="s">
        <v>184</v>
      </c>
      <c r="B8" s="25" t="s">
        <v>185</v>
      </c>
      <c r="C8" s="25" t="s">
        <v>186</v>
      </c>
      <c r="D8" s="26" t="s">
        <v>120</v>
      </c>
    </row>
    <row r="9" spans="1:9" ht="13.8" customHeight="1" x14ac:dyDescent="0.3">
      <c r="A9" s="24" t="s">
        <v>187</v>
      </c>
      <c r="B9" s="25" t="s">
        <v>188</v>
      </c>
      <c r="C9" s="25" t="s">
        <v>128</v>
      </c>
      <c r="D9" s="26" t="s">
        <v>174</v>
      </c>
      <c r="F9" s="37" t="s">
        <v>167</v>
      </c>
      <c r="G9" s="37" t="s">
        <v>168</v>
      </c>
      <c r="H9" s="37" t="s">
        <v>169</v>
      </c>
      <c r="I9" s="37" t="s">
        <v>189</v>
      </c>
    </row>
    <row r="10" spans="1:9" x14ac:dyDescent="0.3">
      <c r="A10" s="24" t="s">
        <v>190</v>
      </c>
      <c r="B10" s="25" t="s">
        <v>191</v>
      </c>
      <c r="C10" s="25" t="s">
        <v>192</v>
      </c>
      <c r="D10" s="26" t="s">
        <v>174</v>
      </c>
      <c r="F10" s="37"/>
      <c r="G10" s="37"/>
      <c r="H10" s="37"/>
      <c r="I10" s="37"/>
    </row>
    <row r="11" spans="1:9" x14ac:dyDescent="0.3">
      <c r="A11" s="24" t="s">
        <v>193</v>
      </c>
      <c r="B11" s="25" t="s">
        <v>194</v>
      </c>
      <c r="C11" s="25" t="s">
        <v>195</v>
      </c>
      <c r="D11" s="26" t="s">
        <v>174</v>
      </c>
      <c r="F11" s="20" t="s">
        <v>171</v>
      </c>
      <c r="G11" s="14" t="str">
        <f>IFERROR(VLOOKUP(F11, Tableau2[], 2,FALSE), "Inconnu")</f>
        <v>LATOUR</v>
      </c>
      <c r="H11" s="14" t="str">
        <f>IFERROR(VLOOKUP(F11, Tableau2[], 3,FALSE), "Inconnu")</f>
        <v>Isabelle</v>
      </c>
      <c r="I11" s="14" t="str">
        <f>IFERROR(VLOOKUP(F11, Tableau2[], 1,FALSE), "Inconnu")</f>
        <v>MA0001</v>
      </c>
    </row>
    <row r="12" spans="1:9" x14ac:dyDescent="0.3">
      <c r="A12" s="24" t="s">
        <v>196</v>
      </c>
      <c r="B12" s="25" t="s">
        <v>197</v>
      </c>
      <c r="C12" s="25" t="s">
        <v>198</v>
      </c>
      <c r="D12" s="26" t="s">
        <v>120</v>
      </c>
      <c r="F12" s="20" t="s">
        <v>190</v>
      </c>
      <c r="G12" s="14" t="str">
        <f>IFERROR(VLOOKUP(F12, Tableau2[], 2,FALSE), "Inconnu")</f>
        <v>WEBER</v>
      </c>
      <c r="H12" s="14" t="str">
        <f>IFERROR(VLOOKUP(F12, Tableau2[], 3,FALSE), "Inconnu")</f>
        <v>Philippe</v>
      </c>
      <c r="I12" s="14" t="str">
        <f>IFERROR(VLOOKUP(F12, Tableau2[], 1,FALSE), "Inconnu")</f>
        <v>MA0007</v>
      </c>
    </row>
    <row r="13" spans="1:9" x14ac:dyDescent="0.3">
      <c r="A13" s="24" t="s">
        <v>199</v>
      </c>
      <c r="B13" s="25" t="s">
        <v>200</v>
      </c>
      <c r="C13" s="25" t="s">
        <v>201</v>
      </c>
      <c r="D13" s="26" t="s">
        <v>120</v>
      </c>
      <c r="F13" s="20" t="s">
        <v>202</v>
      </c>
      <c r="G13" s="14" t="str">
        <f>IFERROR(VLOOKUP(F13, Tableau2[], 2,FALSE), "Inconnu")</f>
        <v>Inconnu</v>
      </c>
      <c r="H13" s="14" t="str">
        <f>IFERROR(VLOOKUP(F13, Tableau2[], 3,FALSE), "Inconnu")</f>
        <v>Inconnu</v>
      </c>
      <c r="I13" s="14" t="str">
        <f>IFERROR(VLOOKUP(F13, Tableau2[], 1,FALSE), "Inconnu")</f>
        <v>Inconnu</v>
      </c>
    </row>
    <row r="14" spans="1:9" x14ac:dyDescent="0.3">
      <c r="A14" s="24" t="s">
        <v>203</v>
      </c>
      <c r="B14" s="25" t="s">
        <v>204</v>
      </c>
      <c r="C14" s="25" t="s">
        <v>205</v>
      </c>
      <c r="D14" s="26" t="s">
        <v>120</v>
      </c>
      <c r="F14" s="20" t="s">
        <v>203</v>
      </c>
      <c r="G14" s="14" t="str">
        <f>IFERROR(VLOOKUP(F14, Tableau2[], 2,FALSE), "Inconnu")</f>
        <v>JOLY</v>
      </c>
      <c r="H14" s="14" t="str">
        <f>IFERROR(VLOOKUP(F14, Tableau2[], 3,FALSE), "Inconnu")</f>
        <v>Dimitri</v>
      </c>
      <c r="I14" s="14" t="str">
        <f>IFERROR(VLOOKUP(F14, Tableau2[], 1,FALSE), "Inconnu")</f>
        <v>MA0011</v>
      </c>
    </row>
    <row r="15" spans="1:9" x14ac:dyDescent="0.3">
      <c r="A15" s="24" t="s">
        <v>206</v>
      </c>
      <c r="B15" s="25" t="s">
        <v>207</v>
      </c>
      <c r="C15" s="25" t="s">
        <v>208</v>
      </c>
      <c r="D15" s="26" t="s">
        <v>174</v>
      </c>
      <c r="F15" s="20" t="s">
        <v>199</v>
      </c>
      <c r="G15" s="14" t="str">
        <f>IFERROR(VLOOKUP(F15, Tableau2[], 2,FALSE), "Inconnu")</f>
        <v>QUERAT</v>
      </c>
      <c r="H15" s="14" t="str">
        <f>IFERROR(VLOOKUP(F15, Tableau2[], 3,FALSE), "Inconnu")</f>
        <v>Jean</v>
      </c>
      <c r="I15" s="14" t="str">
        <f>IFERROR(VLOOKUP(F15, Tableau2[], 1,FALSE), "Inconnu")</f>
        <v>MA0010</v>
      </c>
    </row>
    <row r="16" spans="1:9" x14ac:dyDescent="0.3">
      <c r="A16" s="24" t="s">
        <v>209</v>
      </c>
      <c r="B16" s="25" t="s">
        <v>210</v>
      </c>
      <c r="C16" s="25" t="s">
        <v>211</v>
      </c>
      <c r="D16" s="26" t="s">
        <v>120</v>
      </c>
      <c r="F16" s="20" t="s">
        <v>212</v>
      </c>
      <c r="G16" s="14" t="str">
        <f>IFERROR(VLOOKUP(F16, Tableau2[], 2,FALSE), "Inconnu")</f>
        <v>GIGOT</v>
      </c>
      <c r="H16" s="14" t="str">
        <f>IFERROR(VLOOKUP(F16, Tableau2[], 3,FALSE), "Inconnu")</f>
        <v>Fabien</v>
      </c>
      <c r="I16" s="14" t="str">
        <f>IFERROR(VLOOKUP(F16, Tableau2[], 1,FALSE), "Inconnu")</f>
        <v>MA0017</v>
      </c>
    </row>
    <row r="17" spans="1:4" x14ac:dyDescent="0.3">
      <c r="A17" s="24" t="s">
        <v>213</v>
      </c>
      <c r="B17" s="25" t="s">
        <v>214</v>
      </c>
      <c r="C17" s="25" t="s">
        <v>215</v>
      </c>
      <c r="D17" s="26" t="s">
        <v>120</v>
      </c>
    </row>
    <row r="18" spans="1:4" x14ac:dyDescent="0.3">
      <c r="A18" s="24" t="s">
        <v>216</v>
      </c>
      <c r="B18" s="25" t="s">
        <v>217</v>
      </c>
      <c r="C18" s="25" t="s">
        <v>218</v>
      </c>
      <c r="D18" s="26" t="s">
        <v>174</v>
      </c>
    </row>
    <row r="19" spans="1:4" x14ac:dyDescent="0.3">
      <c r="A19" s="24" t="s">
        <v>219</v>
      </c>
      <c r="B19" s="25" t="s">
        <v>220</v>
      </c>
      <c r="C19" s="25" t="s">
        <v>221</v>
      </c>
      <c r="D19" s="26" t="s">
        <v>174</v>
      </c>
    </row>
    <row r="20" spans="1:4" x14ac:dyDescent="0.3">
      <c r="A20" s="24" t="s">
        <v>212</v>
      </c>
      <c r="B20" s="25" t="s">
        <v>222</v>
      </c>
      <c r="C20" s="25" t="s">
        <v>223</v>
      </c>
      <c r="D20" s="26" t="s">
        <v>174</v>
      </c>
    </row>
    <row r="21" spans="1:4" x14ac:dyDescent="0.3">
      <c r="A21" s="24" t="s">
        <v>224</v>
      </c>
      <c r="B21" s="25" t="s">
        <v>225</v>
      </c>
      <c r="C21" s="25" t="s">
        <v>226</v>
      </c>
      <c r="D21" s="26" t="s">
        <v>120</v>
      </c>
    </row>
    <row r="22" spans="1:4" x14ac:dyDescent="0.3">
      <c r="A22" s="24" t="s">
        <v>227</v>
      </c>
      <c r="B22" s="25" t="s">
        <v>228</v>
      </c>
      <c r="C22" s="25" t="s">
        <v>229</v>
      </c>
      <c r="D22" s="26" t="s">
        <v>120</v>
      </c>
    </row>
    <row r="23" spans="1:4" x14ac:dyDescent="0.3">
      <c r="A23" s="24" t="s">
        <v>230</v>
      </c>
      <c r="B23" s="25" t="s">
        <v>231</v>
      </c>
      <c r="C23" s="25" t="s">
        <v>232</v>
      </c>
      <c r="D23" s="26" t="s">
        <v>174</v>
      </c>
    </row>
    <row r="24" spans="1:4" x14ac:dyDescent="0.3">
      <c r="A24" s="24" t="s">
        <v>233</v>
      </c>
      <c r="B24" s="25" t="s">
        <v>234</v>
      </c>
      <c r="C24" s="25" t="s">
        <v>235</v>
      </c>
      <c r="D24" s="26" t="s">
        <v>120</v>
      </c>
    </row>
    <row r="25" spans="1:4" x14ac:dyDescent="0.3">
      <c r="A25" s="27" t="s">
        <v>236</v>
      </c>
      <c r="B25" s="28" t="s">
        <v>237</v>
      </c>
      <c r="C25" s="28" t="s">
        <v>238</v>
      </c>
      <c r="D25" s="29" t="s">
        <v>174</v>
      </c>
    </row>
  </sheetData>
  <mergeCells count="4">
    <mergeCell ref="G9:G10"/>
    <mergeCell ref="H9:H10"/>
    <mergeCell ref="I9:I10"/>
    <mergeCell ref="F9:F10"/>
  </mergeCells>
  <conditionalFormatting sqref="G11:I16">
    <cfRule type="expression" dxfId="0" priority="2">
      <formula>$I11=1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1 - Échauffement</vt:lpstr>
      <vt:lpstr>2.1 - Fonction SOMME</vt:lpstr>
      <vt:lpstr>2.2 - Fonction NB</vt:lpstr>
      <vt:lpstr>2.3 - Fonction RECHERCHEV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Ferragut</dc:creator>
  <dc:description/>
  <cp:lastModifiedBy>Omer Faruk GUNES</cp:lastModifiedBy>
  <cp:revision>14</cp:revision>
  <dcterms:created xsi:type="dcterms:W3CDTF">2024-02-07T11:16:41Z</dcterms:created>
  <dcterms:modified xsi:type="dcterms:W3CDTF">2024-02-16T10:13:53Z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