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 Gralnik\Desktop\כלכלה וניהול\שנה 3\סמסטר ב\סמינר-נושאים בכלכלה יישומית-תאונות דרכים, פשע והרתעה\Datasets-Premier League\"/>
    </mc:Choice>
  </mc:AlternateContent>
  <xr:revisionPtr revIDLastSave="0" documentId="13_ncr:1_{7F404D47-0662-4E66-93D1-2EAC96A1E872}" xr6:coauthVersionLast="45" xr6:coauthVersionMax="45" xr10:uidLastSave="{00000000-0000-0000-0000-000000000000}"/>
  <bookViews>
    <workbookView xWindow="20" yWindow="20" windowWidth="19180" windowHeight="10180" activeTab="1" xr2:uid="{00000000-000D-0000-FFFF-FFFF00000000}"/>
  </bookViews>
  <sheets>
    <sheet name="Premier League and Championship" sheetId="1" r:id="rId1"/>
    <sheet name="Arrests by City" sheetId="2" r:id="rId2"/>
  </sheets>
  <definedNames>
    <definedName name="_xlnm._FilterDatabase" localSheetId="0" hidden="1">'Premier League and Championship'!$B$3:$B$48</definedName>
    <definedName name="_xlnm.Extract" localSheetId="0">'Premier League and Championship'!#REF!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2" l="1"/>
  <c r="P10" i="2"/>
  <c r="P14" i="2"/>
  <c r="P18" i="2"/>
  <c r="P22" i="2"/>
  <c r="P26" i="2"/>
  <c r="P30" i="2"/>
  <c r="U3" i="2"/>
  <c r="V3" i="2" s="1"/>
  <c r="U4" i="2"/>
  <c r="U5" i="2"/>
  <c r="V5" i="2" s="1"/>
  <c r="U6" i="2"/>
  <c r="V6" i="2" s="1"/>
  <c r="U7" i="2"/>
  <c r="V7" i="2" s="1"/>
  <c r="U8" i="2"/>
  <c r="U9" i="2"/>
  <c r="V9" i="2" s="1"/>
  <c r="U10" i="2"/>
  <c r="V10" i="2" s="1"/>
  <c r="U11" i="2"/>
  <c r="V11" i="2" s="1"/>
  <c r="U12" i="2"/>
  <c r="U13" i="2"/>
  <c r="V13" i="2" s="1"/>
  <c r="U14" i="2"/>
  <c r="V14" i="2" s="1"/>
  <c r="U15" i="2"/>
  <c r="V15" i="2" s="1"/>
  <c r="U16" i="2"/>
  <c r="U17" i="2"/>
  <c r="V17" i="2" s="1"/>
  <c r="U18" i="2"/>
  <c r="V18" i="2" s="1"/>
  <c r="U19" i="2"/>
  <c r="V19" i="2" s="1"/>
  <c r="U20" i="2"/>
  <c r="U21" i="2"/>
  <c r="V21" i="2" s="1"/>
  <c r="U22" i="2"/>
  <c r="V22" i="2" s="1"/>
  <c r="U23" i="2"/>
  <c r="V23" i="2" s="1"/>
  <c r="U24" i="2"/>
  <c r="U25" i="2"/>
  <c r="V25" i="2" s="1"/>
  <c r="U26" i="2"/>
  <c r="V26" i="2" s="1"/>
  <c r="U27" i="2"/>
  <c r="V27" i="2" s="1"/>
  <c r="U28" i="2"/>
  <c r="U29" i="2"/>
  <c r="V29" i="2" s="1"/>
  <c r="U30" i="2"/>
  <c r="V30" i="2" s="1"/>
  <c r="U31" i="2"/>
  <c r="V31" i="2" s="1"/>
  <c r="U32" i="2"/>
  <c r="R3" i="2"/>
  <c r="S3" i="2" s="1"/>
  <c r="R4" i="2"/>
  <c r="S4" i="2" s="1"/>
  <c r="R5" i="2"/>
  <c r="S5" i="2" s="1"/>
  <c r="R6" i="2"/>
  <c r="R7" i="2"/>
  <c r="S7" i="2" s="1"/>
  <c r="R8" i="2"/>
  <c r="S8" i="2" s="1"/>
  <c r="R9" i="2"/>
  <c r="S9" i="2" s="1"/>
  <c r="R10" i="2"/>
  <c r="R11" i="2"/>
  <c r="S11" i="2" s="1"/>
  <c r="R12" i="2"/>
  <c r="S12" i="2" s="1"/>
  <c r="R13" i="2"/>
  <c r="S13" i="2" s="1"/>
  <c r="R14" i="2"/>
  <c r="R15" i="2"/>
  <c r="S15" i="2" s="1"/>
  <c r="R16" i="2"/>
  <c r="S16" i="2" s="1"/>
  <c r="R17" i="2"/>
  <c r="S17" i="2" s="1"/>
  <c r="R18" i="2"/>
  <c r="R19" i="2"/>
  <c r="S19" i="2" s="1"/>
  <c r="R20" i="2"/>
  <c r="S20" i="2" s="1"/>
  <c r="R21" i="2"/>
  <c r="S21" i="2" s="1"/>
  <c r="R22" i="2"/>
  <c r="R23" i="2"/>
  <c r="S23" i="2" s="1"/>
  <c r="R24" i="2"/>
  <c r="S24" i="2" s="1"/>
  <c r="R25" i="2"/>
  <c r="S25" i="2" s="1"/>
  <c r="R26" i="2"/>
  <c r="R27" i="2"/>
  <c r="S27" i="2" s="1"/>
  <c r="R28" i="2"/>
  <c r="S28" i="2" s="1"/>
  <c r="R29" i="2"/>
  <c r="S29" i="2" s="1"/>
  <c r="R30" i="2"/>
  <c r="R31" i="2"/>
  <c r="S31" i="2" s="1"/>
  <c r="R32" i="2"/>
  <c r="S32" i="2" s="1"/>
  <c r="O3" i="2"/>
  <c r="O33" i="2" s="1"/>
  <c r="P33" i="2" s="1"/>
  <c r="O4" i="2"/>
  <c r="P4" i="2" s="1"/>
  <c r="O5" i="2"/>
  <c r="P5" i="2" s="1"/>
  <c r="O6" i="2"/>
  <c r="O7" i="2"/>
  <c r="P7" i="2" s="1"/>
  <c r="O8" i="2"/>
  <c r="P8" i="2" s="1"/>
  <c r="O9" i="2"/>
  <c r="P9" i="2" s="1"/>
  <c r="O10" i="2"/>
  <c r="O11" i="2"/>
  <c r="P11" i="2" s="1"/>
  <c r="O12" i="2"/>
  <c r="P12" i="2" s="1"/>
  <c r="O13" i="2"/>
  <c r="P13" i="2" s="1"/>
  <c r="O14" i="2"/>
  <c r="O15" i="2"/>
  <c r="P15" i="2" s="1"/>
  <c r="O16" i="2"/>
  <c r="P16" i="2" s="1"/>
  <c r="O17" i="2"/>
  <c r="P17" i="2" s="1"/>
  <c r="O18" i="2"/>
  <c r="O19" i="2"/>
  <c r="P19" i="2" s="1"/>
  <c r="O20" i="2"/>
  <c r="P20" i="2" s="1"/>
  <c r="O21" i="2"/>
  <c r="P21" i="2" s="1"/>
  <c r="O22" i="2"/>
  <c r="O23" i="2"/>
  <c r="P23" i="2" s="1"/>
  <c r="O24" i="2"/>
  <c r="P24" i="2" s="1"/>
  <c r="O25" i="2"/>
  <c r="P25" i="2" s="1"/>
  <c r="O26" i="2"/>
  <c r="O27" i="2"/>
  <c r="P27" i="2" s="1"/>
  <c r="O28" i="2"/>
  <c r="P28" i="2" s="1"/>
  <c r="O29" i="2"/>
  <c r="P29" i="2" s="1"/>
  <c r="O30" i="2"/>
  <c r="O31" i="2"/>
  <c r="P31" i="2" s="1"/>
  <c r="O32" i="2"/>
  <c r="P32" i="2" s="1"/>
  <c r="L3" i="2"/>
  <c r="T3" i="2"/>
  <c r="T33" i="2" s="1"/>
  <c r="T4" i="2"/>
  <c r="V4" i="2" s="1"/>
  <c r="T5" i="2"/>
  <c r="T6" i="2"/>
  <c r="T7" i="2"/>
  <c r="T8" i="2"/>
  <c r="V8" i="2" s="1"/>
  <c r="T9" i="2"/>
  <c r="T10" i="2"/>
  <c r="T11" i="2"/>
  <c r="T12" i="2"/>
  <c r="V12" i="2" s="1"/>
  <c r="T13" i="2"/>
  <c r="T14" i="2"/>
  <c r="T15" i="2"/>
  <c r="T16" i="2"/>
  <c r="V16" i="2" s="1"/>
  <c r="T17" i="2"/>
  <c r="T18" i="2"/>
  <c r="T19" i="2"/>
  <c r="T20" i="2"/>
  <c r="V20" i="2" s="1"/>
  <c r="T21" i="2"/>
  <c r="T22" i="2"/>
  <c r="T23" i="2"/>
  <c r="T24" i="2"/>
  <c r="V24" i="2" s="1"/>
  <c r="T25" i="2"/>
  <c r="T26" i="2"/>
  <c r="T27" i="2"/>
  <c r="T28" i="2"/>
  <c r="V28" i="2" s="1"/>
  <c r="T29" i="2"/>
  <c r="T30" i="2"/>
  <c r="T31" i="2"/>
  <c r="T32" i="2"/>
  <c r="V32" i="2" s="1"/>
  <c r="Q3" i="2"/>
  <c r="Q33" i="2" s="1"/>
  <c r="Q4" i="2"/>
  <c r="Q5" i="2"/>
  <c r="Q6" i="2"/>
  <c r="S6" i="2" s="1"/>
  <c r="Q7" i="2"/>
  <c r="Q8" i="2"/>
  <c r="Q9" i="2"/>
  <c r="Q10" i="2"/>
  <c r="S10" i="2" s="1"/>
  <c r="Q11" i="2"/>
  <c r="Q12" i="2"/>
  <c r="Q13" i="2"/>
  <c r="Q14" i="2"/>
  <c r="S14" i="2" s="1"/>
  <c r="Q15" i="2"/>
  <c r="Q16" i="2"/>
  <c r="Q17" i="2"/>
  <c r="Q18" i="2"/>
  <c r="S18" i="2" s="1"/>
  <c r="Q19" i="2"/>
  <c r="Q20" i="2"/>
  <c r="Q21" i="2"/>
  <c r="Q22" i="2"/>
  <c r="S22" i="2" s="1"/>
  <c r="Q23" i="2"/>
  <c r="Q24" i="2"/>
  <c r="Q25" i="2"/>
  <c r="Q26" i="2"/>
  <c r="S26" i="2" s="1"/>
  <c r="Q27" i="2"/>
  <c r="Q28" i="2"/>
  <c r="Q29" i="2"/>
  <c r="Q30" i="2"/>
  <c r="S30" i="2" s="1"/>
  <c r="Q31" i="2"/>
  <c r="Q32" i="2"/>
  <c r="N3" i="2"/>
  <c r="N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M6" i="2"/>
  <c r="M7" i="2"/>
  <c r="M10" i="2"/>
  <c r="M11" i="2"/>
  <c r="M14" i="2"/>
  <c r="M15" i="2"/>
  <c r="M18" i="2"/>
  <c r="M19" i="2"/>
  <c r="M22" i="2"/>
  <c r="M23" i="2"/>
  <c r="M26" i="2"/>
  <c r="M27" i="2"/>
  <c r="M30" i="2"/>
  <c r="M31" i="2"/>
  <c r="L4" i="2"/>
  <c r="M4" i="2" s="1"/>
  <c r="L5" i="2"/>
  <c r="M5" i="2" s="1"/>
  <c r="L6" i="2"/>
  <c r="L7" i="2"/>
  <c r="L8" i="2"/>
  <c r="M8" i="2" s="1"/>
  <c r="L9" i="2"/>
  <c r="M9" i="2" s="1"/>
  <c r="L10" i="2"/>
  <c r="L11" i="2"/>
  <c r="L12" i="2"/>
  <c r="M12" i="2" s="1"/>
  <c r="L13" i="2"/>
  <c r="M13" i="2" s="1"/>
  <c r="L14" i="2"/>
  <c r="L15" i="2"/>
  <c r="L16" i="2"/>
  <c r="M16" i="2" s="1"/>
  <c r="L17" i="2"/>
  <c r="M17" i="2" s="1"/>
  <c r="L18" i="2"/>
  <c r="L19" i="2"/>
  <c r="L20" i="2"/>
  <c r="M20" i="2" s="1"/>
  <c r="L21" i="2"/>
  <c r="M21" i="2" s="1"/>
  <c r="L22" i="2"/>
  <c r="L23" i="2"/>
  <c r="L24" i="2"/>
  <c r="M24" i="2" s="1"/>
  <c r="L25" i="2"/>
  <c r="M25" i="2" s="1"/>
  <c r="L26" i="2"/>
  <c r="L27" i="2"/>
  <c r="L28" i="2"/>
  <c r="M28" i="2" s="1"/>
  <c r="L29" i="2"/>
  <c r="M29" i="2" s="1"/>
  <c r="L30" i="2"/>
  <c r="L31" i="2"/>
  <c r="L32" i="2"/>
  <c r="M32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K33" i="2" s="1"/>
  <c r="J7" i="2"/>
  <c r="J11" i="2"/>
  <c r="J15" i="2"/>
  <c r="J19" i="2"/>
  <c r="J23" i="2"/>
  <c r="J27" i="2"/>
  <c r="J31" i="2"/>
  <c r="I3" i="2"/>
  <c r="J3" i="2" s="1"/>
  <c r="I4" i="2"/>
  <c r="J4" i="2" s="1"/>
  <c r="I5" i="2"/>
  <c r="J5" i="2" s="1"/>
  <c r="I6" i="2"/>
  <c r="J6" i="2" s="1"/>
  <c r="I7" i="2"/>
  <c r="I8" i="2"/>
  <c r="J8" i="2" s="1"/>
  <c r="I9" i="2"/>
  <c r="J9" i="2" s="1"/>
  <c r="I10" i="2"/>
  <c r="J10" i="2" s="1"/>
  <c r="I11" i="2"/>
  <c r="I12" i="2"/>
  <c r="J12" i="2" s="1"/>
  <c r="I13" i="2"/>
  <c r="J13" i="2" s="1"/>
  <c r="I14" i="2"/>
  <c r="J14" i="2" s="1"/>
  <c r="I15" i="2"/>
  <c r="I16" i="2"/>
  <c r="J16" i="2" s="1"/>
  <c r="I17" i="2"/>
  <c r="J17" i="2" s="1"/>
  <c r="I18" i="2"/>
  <c r="J18" i="2" s="1"/>
  <c r="I19" i="2"/>
  <c r="I20" i="2"/>
  <c r="J20" i="2" s="1"/>
  <c r="I21" i="2"/>
  <c r="J21" i="2" s="1"/>
  <c r="I22" i="2"/>
  <c r="J22" i="2" s="1"/>
  <c r="I23" i="2"/>
  <c r="I24" i="2"/>
  <c r="J24" i="2" s="1"/>
  <c r="I25" i="2"/>
  <c r="J25" i="2" s="1"/>
  <c r="I26" i="2"/>
  <c r="J26" i="2" s="1"/>
  <c r="I27" i="2"/>
  <c r="I28" i="2"/>
  <c r="J28" i="2" s="1"/>
  <c r="I29" i="2"/>
  <c r="J29" i="2" s="1"/>
  <c r="I30" i="2"/>
  <c r="J30" i="2" s="1"/>
  <c r="I31" i="2"/>
  <c r="I32" i="2"/>
  <c r="J32" i="2" s="1"/>
  <c r="H3" i="2"/>
  <c r="H4" i="2"/>
  <c r="H5" i="2"/>
  <c r="H6" i="2"/>
  <c r="H33" i="2" s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G4" i="2"/>
  <c r="G8" i="2"/>
  <c r="G12" i="2"/>
  <c r="G16" i="2"/>
  <c r="G20" i="2"/>
  <c r="G24" i="2"/>
  <c r="F3" i="2"/>
  <c r="G3" i="2" s="1"/>
  <c r="F4" i="2"/>
  <c r="F5" i="2"/>
  <c r="F6" i="2"/>
  <c r="G6" i="2" s="1"/>
  <c r="F7" i="2"/>
  <c r="G7" i="2" s="1"/>
  <c r="F8" i="2"/>
  <c r="F9" i="2"/>
  <c r="F10" i="2"/>
  <c r="G10" i="2" s="1"/>
  <c r="F11" i="2"/>
  <c r="G11" i="2" s="1"/>
  <c r="F12" i="2"/>
  <c r="F13" i="2"/>
  <c r="F14" i="2"/>
  <c r="G14" i="2" s="1"/>
  <c r="F15" i="2"/>
  <c r="G15" i="2" s="1"/>
  <c r="F16" i="2"/>
  <c r="F17" i="2"/>
  <c r="F18" i="2"/>
  <c r="G18" i="2" s="1"/>
  <c r="F19" i="2"/>
  <c r="G19" i="2" s="1"/>
  <c r="F20" i="2"/>
  <c r="F21" i="2"/>
  <c r="F22" i="2"/>
  <c r="G22" i="2" s="1"/>
  <c r="F23" i="2"/>
  <c r="G23" i="2" s="1"/>
  <c r="F24" i="2"/>
  <c r="F25" i="2"/>
  <c r="F26" i="2"/>
  <c r="G26" i="2" s="1"/>
  <c r="F27" i="2"/>
  <c r="G27" i="2" s="1"/>
  <c r="F28" i="2"/>
  <c r="G28" i="2" s="1"/>
  <c r="F29" i="2"/>
  <c r="F30" i="2"/>
  <c r="G30" i="2" s="1"/>
  <c r="F31" i="2"/>
  <c r="G31" i="2" s="1"/>
  <c r="F32" i="2"/>
  <c r="G32" i="2" s="1"/>
  <c r="E3" i="2"/>
  <c r="E33" i="2" s="1"/>
  <c r="E4" i="2"/>
  <c r="E5" i="2"/>
  <c r="G5" i="2" s="1"/>
  <c r="E6" i="2"/>
  <c r="E7" i="2"/>
  <c r="E8" i="2"/>
  <c r="E9" i="2"/>
  <c r="G9" i="2" s="1"/>
  <c r="E10" i="2"/>
  <c r="E11" i="2"/>
  <c r="E12" i="2"/>
  <c r="E13" i="2"/>
  <c r="G13" i="2" s="1"/>
  <c r="E14" i="2"/>
  <c r="E15" i="2"/>
  <c r="E16" i="2"/>
  <c r="E17" i="2"/>
  <c r="G17" i="2" s="1"/>
  <c r="E18" i="2"/>
  <c r="E19" i="2"/>
  <c r="E20" i="2"/>
  <c r="E21" i="2"/>
  <c r="G21" i="2" s="1"/>
  <c r="E22" i="2"/>
  <c r="E23" i="2"/>
  <c r="E24" i="2"/>
  <c r="E25" i="2"/>
  <c r="G25" i="2" s="1"/>
  <c r="E26" i="2"/>
  <c r="E27" i="2"/>
  <c r="E28" i="2"/>
  <c r="E29" i="2"/>
  <c r="G29" i="2" s="1"/>
  <c r="E30" i="2"/>
  <c r="E31" i="2"/>
  <c r="E32" i="2"/>
  <c r="B3" i="2"/>
  <c r="C3" i="2"/>
  <c r="C4" i="2"/>
  <c r="C5" i="2"/>
  <c r="C6" i="2"/>
  <c r="D6" i="2" s="1"/>
  <c r="C7" i="2"/>
  <c r="C8" i="2"/>
  <c r="C9" i="2"/>
  <c r="C10" i="2"/>
  <c r="D10" i="2" s="1"/>
  <c r="C11" i="2"/>
  <c r="C12" i="2"/>
  <c r="C13" i="2"/>
  <c r="C14" i="2"/>
  <c r="D14" i="2" s="1"/>
  <c r="C15" i="2"/>
  <c r="C16" i="2"/>
  <c r="C17" i="2"/>
  <c r="C18" i="2"/>
  <c r="D18" i="2" s="1"/>
  <c r="C19" i="2"/>
  <c r="C20" i="2"/>
  <c r="C21" i="2"/>
  <c r="C22" i="2"/>
  <c r="D22" i="2" s="1"/>
  <c r="C23" i="2"/>
  <c r="C24" i="2"/>
  <c r="C25" i="2"/>
  <c r="C26" i="2"/>
  <c r="D26" i="2" s="1"/>
  <c r="C27" i="2"/>
  <c r="C28" i="2"/>
  <c r="C29" i="2"/>
  <c r="C30" i="2"/>
  <c r="D30" i="2" s="1"/>
  <c r="C31" i="2"/>
  <c r="C3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D25" i="2" l="1"/>
  <c r="D17" i="2"/>
  <c r="D9" i="2"/>
  <c r="B33" i="2"/>
  <c r="D33" i="2" s="1"/>
  <c r="U33" i="2"/>
  <c r="V33" i="2" s="1"/>
  <c r="D32" i="2"/>
  <c r="D28" i="2"/>
  <c r="D24" i="2"/>
  <c r="D20" i="2"/>
  <c r="D16" i="2"/>
  <c r="D12" i="2"/>
  <c r="D8" i="2"/>
  <c r="D4" i="2"/>
  <c r="I33" i="2"/>
  <c r="J33" i="2" s="1"/>
  <c r="P3" i="2"/>
  <c r="D29" i="2"/>
  <c r="D21" i="2"/>
  <c r="D13" i="2"/>
  <c r="D5" i="2"/>
  <c r="D31" i="2"/>
  <c r="D27" i="2"/>
  <c r="D23" i="2"/>
  <c r="D19" i="2"/>
  <c r="D15" i="2"/>
  <c r="D11" i="2"/>
  <c r="D7" i="2"/>
  <c r="F33" i="2"/>
  <c r="G33" i="2" s="1"/>
  <c r="L33" i="2"/>
  <c r="M33" i="2" s="1"/>
  <c r="R33" i="2"/>
  <c r="S33" i="2" s="1"/>
  <c r="C33" i="2"/>
  <c r="M3" i="2"/>
  <c r="D3" i="2"/>
  <c r="V49" i="1"/>
  <c r="U49" i="1"/>
  <c r="W3" i="1"/>
  <c r="W4" i="1"/>
  <c r="W5" i="1"/>
  <c r="W6" i="1"/>
  <c r="W7" i="1"/>
  <c r="W8" i="1"/>
  <c r="W10" i="1"/>
  <c r="W11" i="1"/>
  <c r="W9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7" i="1"/>
  <c r="W36" i="1"/>
  <c r="W38" i="1"/>
  <c r="W39" i="1"/>
  <c r="W40" i="1"/>
  <c r="W41" i="1"/>
  <c r="W42" i="1"/>
  <c r="W43" i="1"/>
  <c r="W44" i="1"/>
  <c r="W45" i="1"/>
  <c r="W46" i="1"/>
  <c r="W47" i="1"/>
  <c r="W48" i="1"/>
  <c r="T4" i="1"/>
  <c r="T5" i="1"/>
  <c r="T6" i="1"/>
  <c r="T7" i="1"/>
  <c r="T8" i="1"/>
  <c r="T10" i="1"/>
  <c r="T11" i="1"/>
  <c r="T9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7" i="1"/>
  <c r="T36" i="1"/>
  <c r="T38" i="1"/>
  <c r="T39" i="1"/>
  <c r="T40" i="1"/>
  <c r="T41" i="1"/>
  <c r="T42" i="1"/>
  <c r="T43" i="1"/>
  <c r="T44" i="1"/>
  <c r="T45" i="1"/>
  <c r="T46" i="1"/>
  <c r="T47" i="1"/>
  <c r="T48" i="1"/>
  <c r="T3" i="1"/>
  <c r="S49" i="1"/>
  <c r="R49" i="1"/>
  <c r="P49" i="1"/>
  <c r="O49" i="1"/>
  <c r="Q3" i="1"/>
  <c r="Q4" i="1"/>
  <c r="Q5" i="1"/>
  <c r="Q6" i="1"/>
  <c r="Q7" i="1"/>
  <c r="Q8" i="1"/>
  <c r="Q10" i="1"/>
  <c r="Q11" i="1"/>
  <c r="Q9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6" i="1"/>
  <c r="Q38" i="1"/>
  <c r="Q39" i="1"/>
  <c r="Q40" i="1"/>
  <c r="Q41" i="1"/>
  <c r="Q42" i="1"/>
  <c r="Q43" i="1"/>
  <c r="Q44" i="1"/>
  <c r="Q45" i="1"/>
  <c r="Q46" i="1"/>
  <c r="Q47" i="1"/>
  <c r="Q48" i="1"/>
  <c r="N3" i="1"/>
  <c r="N4" i="1"/>
  <c r="N5" i="1"/>
  <c r="N6" i="1"/>
  <c r="N7" i="1"/>
  <c r="N8" i="1"/>
  <c r="N10" i="1"/>
  <c r="N11" i="1"/>
  <c r="N9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6" i="1"/>
  <c r="N38" i="1"/>
  <c r="N39" i="1"/>
  <c r="N40" i="1"/>
  <c r="N41" i="1"/>
  <c r="N42" i="1"/>
  <c r="N43" i="1"/>
  <c r="N44" i="1"/>
  <c r="N45" i="1"/>
  <c r="N46" i="1"/>
  <c r="N47" i="1"/>
  <c r="N48" i="1"/>
  <c r="M49" i="1"/>
  <c r="L49" i="1"/>
  <c r="E37" i="1"/>
  <c r="H37" i="1"/>
  <c r="K37" i="1"/>
  <c r="E10" i="1"/>
  <c r="H10" i="1"/>
  <c r="K10" i="1"/>
  <c r="E11" i="1"/>
  <c r="H11" i="1"/>
  <c r="K11" i="1"/>
  <c r="E48" i="1"/>
  <c r="H48" i="1"/>
  <c r="K48" i="1"/>
  <c r="J49" i="1"/>
  <c r="I49" i="1"/>
  <c r="K4" i="1"/>
  <c r="K5" i="1"/>
  <c r="K6" i="1"/>
  <c r="K7" i="1"/>
  <c r="K8" i="1"/>
  <c r="K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3" i="1"/>
  <c r="G49" i="1"/>
  <c r="F49" i="1"/>
  <c r="D49" i="1"/>
  <c r="C49" i="1"/>
  <c r="H4" i="1"/>
  <c r="H5" i="1"/>
  <c r="H6" i="1"/>
  <c r="H7" i="1"/>
  <c r="H8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3" i="1"/>
  <c r="E45" i="1"/>
  <c r="E9" i="1"/>
  <c r="E4" i="1"/>
  <c r="E5" i="1"/>
  <c r="E6" i="1"/>
  <c r="E7" i="1"/>
  <c r="E8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6" i="1"/>
  <c r="E47" i="1"/>
  <c r="E3" i="1"/>
  <c r="T49" i="1" l="1"/>
  <c r="W49" i="1"/>
  <c r="Q49" i="1"/>
  <c r="N49" i="1"/>
  <c r="K49" i="1"/>
  <c r="E49" i="1"/>
  <c r="H49" i="1"/>
</calcChain>
</file>

<file path=xl/sharedStrings.xml><?xml version="1.0" encoding="utf-8"?>
<sst xmlns="http://schemas.openxmlformats.org/spreadsheetml/2006/main" count="184" uniqueCount="105">
  <si>
    <t>Team</t>
  </si>
  <si>
    <t>City</t>
  </si>
  <si>
    <t>Attendance</t>
  </si>
  <si>
    <t>Arrests</t>
  </si>
  <si>
    <t>% Arrests</t>
  </si>
  <si>
    <t>Attendance2</t>
  </si>
  <si>
    <t>Arrests3</t>
  </si>
  <si>
    <t>% Arrests4</t>
  </si>
  <si>
    <t>Attendance5</t>
  </si>
  <si>
    <t>Arrests6</t>
  </si>
  <si>
    <t>% Arrests7</t>
  </si>
  <si>
    <t>Attendance8</t>
  </si>
  <si>
    <t>Arrests9</t>
  </si>
  <si>
    <t>% Arrests10</t>
  </si>
  <si>
    <t>Attendance11</t>
  </si>
  <si>
    <t>Arrests12</t>
  </si>
  <si>
    <t>% Arrests13</t>
  </si>
  <si>
    <t>Attendance14</t>
  </si>
  <si>
    <t>Arrests15</t>
  </si>
  <si>
    <t>% Arrests16</t>
  </si>
  <si>
    <t>Attendance17</t>
  </si>
  <si>
    <t>Arrests18</t>
  </si>
  <si>
    <t>% Arrests19</t>
  </si>
  <si>
    <t>Barnsley</t>
  </si>
  <si>
    <t>Aston Villa</t>
  </si>
  <si>
    <t>Birmingham</t>
  </si>
  <si>
    <t>West Bromwich Albion</t>
  </si>
  <si>
    <t>Blackburn</t>
  </si>
  <si>
    <t>AFC Bournemouth</t>
  </si>
  <si>
    <t>Bournemouth</t>
  </si>
  <si>
    <t>Coventry</t>
  </si>
  <si>
    <t>Derby County</t>
  </si>
  <si>
    <t>Derby</t>
  </si>
  <si>
    <t>Hull city</t>
  </si>
  <si>
    <t>Hull</t>
  </si>
  <si>
    <t>Ipswich Town</t>
  </si>
  <si>
    <t>Ipswich</t>
  </si>
  <si>
    <t>Leeds United</t>
  </si>
  <si>
    <t>Leeds</t>
  </si>
  <si>
    <t>Leicester City</t>
  </si>
  <si>
    <t>Leicester</t>
  </si>
  <si>
    <t>Everton</t>
  </si>
  <si>
    <t>Liverpool</t>
  </si>
  <si>
    <t>Arsenal</t>
  </si>
  <si>
    <t>London</t>
  </si>
  <si>
    <t>Charlton Athletic</t>
  </si>
  <si>
    <t>Chelsea</t>
  </si>
  <si>
    <t>Crystal Palace</t>
  </si>
  <si>
    <t>Millwall</t>
  </si>
  <si>
    <t>Queens Park Rangers</t>
  </si>
  <si>
    <t>Tottenham Hotspur</t>
  </si>
  <si>
    <t>West Ham</t>
  </si>
  <si>
    <t>Wimbeldon</t>
  </si>
  <si>
    <t>Luton Town</t>
  </si>
  <si>
    <t>Luton</t>
  </si>
  <si>
    <t>Manchester City</t>
  </si>
  <si>
    <t>Manchester</t>
  </si>
  <si>
    <t>Manchester United</t>
  </si>
  <si>
    <t>Oldham Athletic</t>
  </si>
  <si>
    <t>Middlesbrough</t>
  </si>
  <si>
    <t>Newcastle</t>
  </si>
  <si>
    <t>Norwich City</t>
  </si>
  <si>
    <t>Norwich</t>
  </si>
  <si>
    <t>Nottingham Forest</t>
  </si>
  <si>
    <t>Nottingham</t>
  </si>
  <si>
    <t>Oxford United</t>
  </si>
  <si>
    <t>Oxford</t>
  </si>
  <si>
    <t>Plymouth Argyle</t>
  </si>
  <si>
    <t>Plymouth</t>
  </si>
  <si>
    <t>Portsmouth</t>
  </si>
  <si>
    <t>Sheffield United</t>
  </si>
  <si>
    <t>Sheffield</t>
  </si>
  <si>
    <t>Sheffield Wednesday</t>
  </si>
  <si>
    <t>Southampton</t>
  </si>
  <si>
    <t>Stoke City</t>
  </si>
  <si>
    <t>Stoke on Trent</t>
  </si>
  <si>
    <t>Swindon Town</t>
  </si>
  <si>
    <t>Swindon</t>
  </si>
  <si>
    <t>Watford</t>
  </si>
  <si>
    <t>1987/1988</t>
  </si>
  <si>
    <t>1988/1989</t>
  </si>
  <si>
    <t>1989/1990</t>
  </si>
  <si>
    <t>1990/1991</t>
  </si>
  <si>
    <t>1991/1992</t>
  </si>
  <si>
    <t>1992/1993</t>
  </si>
  <si>
    <t>1993/1994</t>
  </si>
  <si>
    <t>Brighton</t>
  </si>
  <si>
    <t>Brighton and Hove Albion</t>
  </si>
  <si>
    <t>Sunderland</t>
  </si>
  <si>
    <t>Total</t>
  </si>
  <si>
    <r>
      <t xml:space="preserve">Premier League and Championship Teams </t>
    </r>
    <r>
      <rPr>
        <b/>
        <u/>
        <sz val="11"/>
        <color theme="1"/>
        <rFont val="Arial"/>
        <family val="2"/>
        <scheme val="minor"/>
      </rPr>
      <t>including</t>
    </r>
    <r>
      <rPr>
        <b/>
        <sz val="11"/>
        <color theme="1"/>
        <rFont val="Arial"/>
        <family val="2"/>
        <scheme val="minor"/>
      </rPr>
      <t xml:space="preserve"> promoted and relegated</t>
    </r>
  </si>
  <si>
    <t>Wolverhampton Wanderers</t>
  </si>
  <si>
    <t>Wolverhampton</t>
  </si>
  <si>
    <t>Bristol</t>
  </si>
  <si>
    <t>Bristol City</t>
  </si>
  <si>
    <t>Bristol Rovers</t>
  </si>
  <si>
    <t>Notts County</t>
  </si>
  <si>
    <t>Blackburn Rovers</t>
  </si>
  <si>
    <t>Arrests %</t>
  </si>
  <si>
    <t>Arrests %4</t>
  </si>
  <si>
    <t>Arrests %7</t>
  </si>
  <si>
    <t>Arrests %10</t>
  </si>
  <si>
    <t>Arrests %13</t>
  </si>
  <si>
    <t>Arrests %16</t>
  </si>
  <si>
    <t>Arrests %19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</si>
</sst>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0" borderId="0" xfId="42" applyNumberFormat="1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38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Percent" xfId="42" builtinId="5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82"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164" formatCode="0.000%"/>
    </dxf>
    <dxf>
      <numFmt numFmtId="164" formatCode="0.00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0" formatCode="General"/>
    </dxf>
    <dxf>
      <numFmt numFmtId="0" formatCode="General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numFmt numFmtId="3" formatCode="#,##0"/>
    </dxf>
    <dxf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64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  <dxf>
      <numFmt numFmtId="164" formatCode="0.000%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טבלה2" displayName="טבלה2" ref="A2:W49" totalsRowCount="1">
  <sortState xmlns:xlrd2="http://schemas.microsoft.com/office/spreadsheetml/2017/richdata2" ref="A3:W48">
    <sortCondition ref="B3:B48"/>
    <sortCondition ref="A3:A48"/>
  </sortState>
  <tableColumns count="23">
    <tableColumn id="1" xr3:uid="{00000000-0010-0000-0000-000001000000}" name="Team" totalsRowLabel="Total"/>
    <tableColumn id="2" xr3:uid="{00000000-0010-0000-0000-000002000000}" name="City"/>
    <tableColumn id="3" xr3:uid="{00000000-0010-0000-0000-000003000000}" name="Attendance" totalsRowFunction="sum" dataDxfId="81" totalsRowDxfId="62"/>
    <tableColumn id="4" xr3:uid="{00000000-0010-0000-0000-000004000000}" name="Arrests" totalsRowFunction="sum" dataDxfId="80" totalsRowDxfId="61"/>
    <tableColumn id="5" xr3:uid="{00000000-0010-0000-0000-000005000000}" name="% Arrests" totalsRowFunction="custom" dataDxfId="79" totalsRowDxfId="60">
      <calculatedColumnFormula>טבלה2[[#This Row],[Arrests]]/טבלה2[[#This Row],[Attendance]]</calculatedColumnFormula>
      <totalsRowFormula>טבלה2[[#Totals],[Arrests]]/טבלה2[[#Totals],[Attendance]]</totalsRowFormula>
    </tableColumn>
    <tableColumn id="6" xr3:uid="{00000000-0010-0000-0000-000006000000}" name="Attendance2" totalsRowFunction="sum" dataDxfId="78" totalsRowDxfId="59"/>
    <tableColumn id="7" xr3:uid="{00000000-0010-0000-0000-000007000000}" name="Arrests3" totalsRowFunction="sum" dataDxfId="77" totalsRowDxfId="58"/>
    <tableColumn id="8" xr3:uid="{00000000-0010-0000-0000-000008000000}" name="% Arrests4" totalsRowFunction="custom" dataDxfId="76" totalsRowDxfId="57" dataCellStyle="Percent">
      <calculatedColumnFormula>טבלה2[[#This Row],[Arrests3]]/טבלה2[[#This Row],[Attendance2]]</calculatedColumnFormula>
      <totalsRowFormula>טבלה2[[#Totals],[Arrests3]]/טבלה2[[#Totals],[Attendance2]]</totalsRowFormula>
    </tableColumn>
    <tableColumn id="9" xr3:uid="{00000000-0010-0000-0000-000009000000}" name="Attendance5" totalsRowFunction="sum" dataDxfId="75" totalsRowDxfId="56"/>
    <tableColumn id="10" xr3:uid="{00000000-0010-0000-0000-00000A000000}" name="Arrests6" totalsRowFunction="sum" dataDxfId="74" totalsRowDxfId="55"/>
    <tableColumn id="11" xr3:uid="{00000000-0010-0000-0000-00000B000000}" name="% Arrests7" totalsRowFunction="custom" dataDxfId="73" totalsRowDxfId="54" dataCellStyle="Percent">
      <calculatedColumnFormula>טבלה2[[#This Row],[Arrests6]]/טבלה2[[#This Row],[Attendance5]]</calculatedColumnFormula>
      <totalsRowFormula>טבלה2[[#Totals],[Arrests6]]/טבלה2[[#Totals],[Attendance5]]</totalsRowFormula>
    </tableColumn>
    <tableColumn id="12" xr3:uid="{00000000-0010-0000-0000-00000C000000}" name="Attendance8" totalsRowFunction="sum" dataDxfId="72" totalsRowDxfId="53"/>
    <tableColumn id="13" xr3:uid="{00000000-0010-0000-0000-00000D000000}" name="Arrests9" totalsRowFunction="sum" dataDxfId="71" totalsRowDxfId="52"/>
    <tableColumn id="14" xr3:uid="{00000000-0010-0000-0000-00000E000000}" name="% Arrests10" totalsRowFunction="custom" dataDxfId="70" totalsRowDxfId="51" dataCellStyle="Percent">
      <calculatedColumnFormula>טבלה2[[#This Row],[Arrests9]]/טבלה2[[#This Row],[Attendance8]]</calculatedColumnFormula>
      <totalsRowFormula>טבלה2[[#Totals],[Arrests9]]/טבלה2[[#Totals],[Attendance8]]</totalsRowFormula>
    </tableColumn>
    <tableColumn id="15" xr3:uid="{00000000-0010-0000-0000-00000F000000}" name="Attendance11" totalsRowFunction="sum" dataDxfId="69" totalsRowDxfId="50"/>
    <tableColumn id="16" xr3:uid="{00000000-0010-0000-0000-000010000000}" name="Arrests12" totalsRowFunction="sum" dataDxfId="68" totalsRowDxfId="49"/>
    <tableColumn id="17" xr3:uid="{00000000-0010-0000-0000-000011000000}" name="% Arrests13" totalsRowFunction="custom" dataDxfId="67" totalsRowDxfId="48" dataCellStyle="Percent">
      <calculatedColumnFormula>טבלה2[[#This Row],[Arrests12]]/טבלה2[[#This Row],[Attendance11]]</calculatedColumnFormula>
      <totalsRowFormula>טבלה2[[#Totals],[Arrests12]]/טבלה2[[#Totals],[Attendance11]]</totalsRowFormula>
    </tableColumn>
    <tableColumn id="18" xr3:uid="{00000000-0010-0000-0000-000012000000}" name="Attendance14" totalsRowFunction="sum" dataDxfId="66" totalsRowDxfId="47"/>
    <tableColumn id="19" xr3:uid="{00000000-0010-0000-0000-000013000000}" name="Arrests15" totalsRowFunction="sum" totalsRowDxfId="46"/>
    <tableColumn id="20" xr3:uid="{00000000-0010-0000-0000-000014000000}" name="% Arrests16" totalsRowFunction="custom" dataDxfId="65" totalsRowDxfId="45" dataCellStyle="Percent">
      <calculatedColumnFormula>טבלה2[[#This Row],[Arrests15]]/טבלה2[[#This Row],[Attendance14]]</calculatedColumnFormula>
      <totalsRowFormula>טבלה2[[#Totals],[Arrests15]]/טבלה2[[#Totals],[Attendance14]]</totalsRowFormula>
    </tableColumn>
    <tableColumn id="21" xr3:uid="{00000000-0010-0000-0000-000015000000}" name="Attendance17" totalsRowFunction="sum" dataDxfId="64" totalsRowDxfId="44"/>
    <tableColumn id="22" xr3:uid="{00000000-0010-0000-0000-000016000000}" name="Arrests18" totalsRowFunction="sum" totalsRowDxfId="43"/>
    <tableColumn id="23" xr3:uid="{00000000-0010-0000-0000-000017000000}" name="% Arrests19" totalsRowFunction="custom" dataDxfId="63" totalsRowDxfId="42" dataCellStyle="Percent">
      <calculatedColumnFormula>טבלה2[[#This Row],[Arrests18]]/טבלה2[[#This Row],[Attendance17]]</calculatedColumnFormula>
      <totalsRowFormula>טבלה2[[#Totals],[Arrests18]]/טבלה2[[#Totals],[Attendance17]]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0F35F82-6D3E-4433-BF17-CD73F343CB2A}" name="טבלה8" displayName="טבלה8" ref="A2:V33" totalsRowCount="1">
  <autoFilter ref="A2:V32" xr:uid="{1D4A2B5A-FE7B-4BEB-84A6-5E51ECB66DD5}"/>
  <tableColumns count="22">
    <tableColumn id="1" xr3:uid="{9F078B0C-6853-4112-84FA-3DAC800E7E9C}" name="City" totalsRowLabel="Total"/>
    <tableColumn id="2" xr3:uid="{5B4A9EE2-A3A2-49C5-B36B-C84685218352}" name="Attendance" totalsRowFunction="sum" dataDxfId="41" totalsRowDxfId="20">
      <calculatedColumnFormula>SUMIF(טבלה2[City],טבלה8[[#This Row],[City]],טבלה2[Attendance])</calculatedColumnFormula>
    </tableColumn>
    <tableColumn id="3" xr3:uid="{338A72F5-DA4F-4D7E-97CC-57445FAEEFC5}" name="Arrests" totalsRowFunction="sum" dataDxfId="40" totalsRowDxfId="19">
      <calculatedColumnFormula>SUMIF(טבלה2[City],טבלה8[[#This Row],[City]],טבלה2[Arrests])</calculatedColumnFormula>
    </tableColumn>
    <tableColumn id="4" xr3:uid="{C31F1C0D-C659-4405-9A84-8A7476812178}" name="Arrests %" totalsRowFunction="custom" dataDxfId="39" totalsRowDxfId="18">
      <calculatedColumnFormula>טבלה8[[#This Row],[Arrests]]/טבלה8[[#This Row],[Attendance]]</calculatedColumnFormula>
      <totalsRowFormula>טבלה8[[#Totals],[Arrests]]/טבלה8[[#Totals],[Attendance]]</totalsRowFormula>
    </tableColumn>
    <tableColumn id="5" xr3:uid="{29C8115E-6B73-4D3F-869C-B80FEC7B75FD}" name="Attendance2" totalsRowFunction="sum" dataDxfId="38" totalsRowDxfId="17">
      <calculatedColumnFormula>SUMIF(טבלה2[City],טבלה8[[#This Row],[City]],טבלה2[Attendance2])</calculatedColumnFormula>
    </tableColumn>
    <tableColumn id="6" xr3:uid="{C02F55D4-0774-4577-87DA-8104DB4319E2}" name="Arrests3" totalsRowFunction="sum" dataDxfId="37" totalsRowDxfId="16">
      <calculatedColumnFormula>SUMIF(טבלה2[City],טבלה8[[#This Row],[City]],טבלה2[Arrests3])</calculatedColumnFormula>
    </tableColumn>
    <tableColumn id="7" xr3:uid="{45B4ACA4-989A-451D-AE85-7FC9B962A8EF}" name="Arrests %4" totalsRowFunction="custom" dataDxfId="36" totalsRowDxfId="15">
      <calculatedColumnFormula>טבלה8[[#This Row],[Arrests3]]/טבלה8[[#This Row],[Attendance2]]</calculatedColumnFormula>
      <totalsRowFormula>טבלה8[[#Totals],[Arrests3]]/טבלה8[[#Totals],[Attendance2]]</totalsRowFormula>
    </tableColumn>
    <tableColumn id="8" xr3:uid="{AD23478C-F624-4A7B-983C-67EA814A07E9}" name="Attendance5" totalsRowFunction="sum" dataDxfId="35" totalsRowDxfId="14">
      <calculatedColumnFormula>SUMIF(טבלה2[City],טבלה8[[#This Row],[City]],טבלה2[Attendance5])</calculatedColumnFormula>
    </tableColumn>
    <tableColumn id="9" xr3:uid="{FEE4165D-8680-4448-9078-14D370EE7630}" name="Arrests6" totalsRowFunction="sum" dataDxfId="34" totalsRowDxfId="13">
      <calculatedColumnFormula>SUMIF(טבלה2[City],טבלה8[[#This Row],[City]],טבלה2[Arrests6])</calculatedColumnFormula>
    </tableColumn>
    <tableColumn id="10" xr3:uid="{01DE4D30-C653-4B30-8396-8F54D7E7D3B2}" name="Arrests %7" totalsRowFunction="custom" dataDxfId="33" totalsRowDxfId="12">
      <calculatedColumnFormula>טבלה8[[#This Row],[Arrests6]]/טבלה8[[#This Row],[Attendance5]]</calculatedColumnFormula>
      <totalsRowFormula>טבלה8[[#Totals],[Arrests6]]/טבלה8[[#Totals],[Attendance5]]</totalsRowFormula>
    </tableColumn>
    <tableColumn id="11" xr3:uid="{C63657EB-7E89-4A33-A09B-0DAA70B659FA}" name="Attendance8" totalsRowFunction="sum" dataDxfId="32" totalsRowDxfId="11">
      <calculatedColumnFormula>SUMIF(טבלה2[City],טבלה8[[#This Row],[City]],טבלה2[Attendance8])</calculatedColumnFormula>
    </tableColumn>
    <tableColumn id="12" xr3:uid="{EDF4AB81-2FDA-416F-AEF8-B10B488F852A}" name="Arrests9" totalsRowFunction="sum" dataDxfId="31" totalsRowDxfId="10">
      <calculatedColumnFormula>SUMIF(טבלה2[City],טבלה8[[#This Row],[City]],טבלה2[Arrests9])</calculatedColumnFormula>
    </tableColumn>
    <tableColumn id="13" xr3:uid="{F2417869-3FA0-4346-99B7-4D919649B84E}" name="Arrests %10" totalsRowFunction="custom" dataDxfId="30" totalsRowDxfId="9">
      <calculatedColumnFormula>טבלה8[[#This Row],[Arrests9]]/טבלה8[[#This Row],[Attendance8]]</calculatedColumnFormula>
      <totalsRowFormula>טבלה8[[#Totals],[Arrests9]]/טבלה8[[#Totals],[Attendance8]]</totalsRowFormula>
    </tableColumn>
    <tableColumn id="14" xr3:uid="{3C524117-2034-4FFB-87F8-64EBBD519F7D}" name="Attendance11" totalsRowFunction="sum" dataDxfId="29" totalsRowDxfId="8">
      <calculatedColumnFormula>SUMIF(טבלה2[City],טבלה8[[#This Row],[City]],טבלה2[Attendance11])</calculatedColumnFormula>
    </tableColumn>
    <tableColumn id="15" xr3:uid="{AF2C03C5-752C-4E1F-BD91-983992D195ED}" name="Arrests12" totalsRowFunction="sum" dataDxfId="26" totalsRowDxfId="7">
      <calculatedColumnFormula>SUMIF(טבלה2[City],טבלה8[[#This Row],[City]],טבלה2[Arrests12])</calculatedColumnFormula>
    </tableColumn>
    <tableColumn id="16" xr3:uid="{1B05CC6D-19D8-4DFD-9B4C-37F85AECB05F}" name="Arrests %13" totalsRowFunction="custom" dataDxfId="23" totalsRowDxfId="6">
      <calculatedColumnFormula>טבלה8[[#This Row],[Arrests12]]/טבלה8[[#This Row],[Attendance11]]</calculatedColumnFormula>
      <totalsRowFormula>טבלה8[[#Totals],[Arrests12]]/טבלה8[[#Totals],[Attendance11]]</totalsRowFormula>
    </tableColumn>
    <tableColumn id="17" xr3:uid="{FEBA207D-3922-49E2-BCF8-887D2CC11E17}" name="Attendance14" totalsRowFunction="sum" dataDxfId="28" totalsRowDxfId="5">
      <calculatedColumnFormula>SUMIF(טבלה2[City],טבלה8[[#This Row],[City]],טבלה2[Attendance14])</calculatedColumnFormula>
    </tableColumn>
    <tableColumn id="18" xr3:uid="{89AF2555-B68D-4872-887B-77EF4457E761}" name="Arrests15" totalsRowFunction="sum" dataDxfId="25" totalsRowDxfId="4">
      <calculatedColumnFormula>SUMIF(טבלה2[City],טבלה8[[#This Row],[City]],טבלה2[Arrests15])</calculatedColumnFormula>
    </tableColumn>
    <tableColumn id="19" xr3:uid="{D4CA8838-6D1F-45CA-ACDF-FD18FCC5232B}" name="Arrests %16" totalsRowFunction="custom" dataDxfId="22" totalsRowDxfId="3">
      <calculatedColumnFormula>טבלה8[[#This Row],[Arrests15]]/טבלה8[[#This Row],[Attendance14]]</calculatedColumnFormula>
      <totalsRowFormula>טבלה8[[#Totals],[Arrests15]]/טבלה8[[#Totals],[Attendance14]]</totalsRowFormula>
    </tableColumn>
    <tableColumn id="20" xr3:uid="{A39D5C26-B7AA-4537-8CB8-3F97238FCCFF}" name="Attendance17" totalsRowFunction="sum" dataDxfId="27" totalsRowDxfId="2">
      <calculatedColumnFormula>SUMIF(טבלה2[City],טבלה8[[#This Row],[City]],טבלה2[Attendance17])</calculatedColumnFormula>
    </tableColumn>
    <tableColumn id="21" xr3:uid="{E5C8F6CB-0560-411B-A740-029F6820B7EB}" name="Arrests18" totalsRowFunction="sum" dataDxfId="24" totalsRowDxfId="1">
      <calculatedColumnFormula>SUMIF(טבלה2[City],טבלה8[[#This Row],[City]],טבלה2[Arrests18])</calculatedColumnFormula>
    </tableColumn>
    <tableColumn id="22" xr3:uid="{A7AC3FFF-B573-4479-BFBB-B63533175A13}" name="Arrests %19" totalsRowFunction="custom" dataDxfId="21" totalsRowDxfId="0">
      <calculatedColumnFormula>טבלה8[[#This Row],[Arrests18]]/טבלה8[[#This Row],[Attendance17]]</calculatedColumnFormula>
      <totalsRowFormula>טבלה8[[#Totals],[Arrests18]]/טבלה8[[#Totals],[Attendance17]]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opLeftCell="B1" zoomScale="76" zoomScaleNormal="100" workbookViewId="0">
      <pane xSplit="1" topLeftCell="H1" activePane="topRight" state="frozen"/>
      <selection activeCell="B9" sqref="B9"/>
      <selection pane="topRight" activeCell="R1" sqref="R1:W1"/>
    </sheetView>
  </sheetViews>
  <sheetFormatPr defaultRowHeight="14" x14ac:dyDescent="0.3"/>
  <cols>
    <col min="1" max="1" width="22.83203125" bestFit="1" customWidth="1"/>
    <col min="2" max="2" width="12.6640625" bestFit="1" customWidth="1"/>
    <col min="3" max="3" width="13.9140625" bestFit="1" customWidth="1"/>
    <col min="4" max="4" width="10.25" customWidth="1"/>
    <col min="5" max="5" width="12.4140625" bestFit="1" customWidth="1"/>
    <col min="6" max="6" width="14.9140625" bestFit="1" customWidth="1"/>
    <col min="7" max="7" width="11.25" bestFit="1" customWidth="1"/>
    <col min="8" max="8" width="13.4140625" bestFit="1" customWidth="1"/>
    <col min="9" max="9" width="14.9140625" bestFit="1" customWidth="1"/>
    <col min="10" max="10" width="11.25" bestFit="1" customWidth="1"/>
    <col min="11" max="11" width="11.5" customWidth="1"/>
    <col min="12" max="12" width="14.9140625" bestFit="1" customWidth="1"/>
    <col min="13" max="13" width="9.33203125" customWidth="1"/>
    <col min="14" max="14" width="12.5" customWidth="1"/>
    <col min="15" max="15" width="13.58203125" customWidth="1"/>
    <col min="16" max="16" width="10.33203125" customWidth="1"/>
    <col min="17" max="17" width="12.5" customWidth="1"/>
    <col min="18" max="18" width="13.58203125" customWidth="1"/>
    <col min="19" max="19" width="10.33203125" customWidth="1"/>
    <col min="20" max="20" width="12.5" customWidth="1"/>
    <col min="21" max="21" width="13.58203125" customWidth="1"/>
    <col min="22" max="22" width="10.33203125" customWidth="1"/>
    <col min="23" max="23" width="12.5" customWidth="1"/>
  </cols>
  <sheetData>
    <row r="1" spans="1:23" x14ac:dyDescent="0.3">
      <c r="A1" s="12"/>
      <c r="B1" s="12"/>
      <c r="C1" s="14" t="s">
        <v>79</v>
      </c>
      <c r="D1" s="14"/>
      <c r="E1" s="14"/>
      <c r="F1" s="15" t="s">
        <v>80</v>
      </c>
      <c r="G1" s="15"/>
      <c r="H1" s="15"/>
      <c r="I1" s="16" t="s">
        <v>81</v>
      </c>
      <c r="J1" s="16"/>
      <c r="K1" s="16"/>
      <c r="L1" s="17" t="s">
        <v>82</v>
      </c>
      <c r="M1" s="17"/>
      <c r="N1" s="17"/>
      <c r="O1" s="18" t="s">
        <v>83</v>
      </c>
      <c r="P1" s="18"/>
      <c r="Q1" s="18"/>
      <c r="R1" s="19" t="s">
        <v>84</v>
      </c>
      <c r="S1" s="19"/>
      <c r="T1" s="19"/>
      <c r="U1" s="13" t="s">
        <v>85</v>
      </c>
      <c r="V1" s="13"/>
      <c r="W1" s="13"/>
    </row>
    <row r="2" spans="1:23" x14ac:dyDescent="0.3">
      <c r="A2" t="s">
        <v>0</v>
      </c>
      <c r="B2" t="s">
        <v>1</v>
      </c>
      <c r="C2" s="4" t="s">
        <v>2</v>
      </c>
      <c r="D2" s="4" t="s">
        <v>3</v>
      </c>
      <c r="E2" s="4" t="s">
        <v>4</v>
      </c>
      <c r="F2" s="6" t="s">
        <v>5</v>
      </c>
      <c r="G2" s="6" t="s">
        <v>6</v>
      </c>
      <c r="H2" s="6" t="s">
        <v>7</v>
      </c>
      <c r="I2" s="7" t="s">
        <v>8</v>
      </c>
      <c r="J2" s="7" t="s">
        <v>9</v>
      </c>
      <c r="K2" s="7" t="s">
        <v>10</v>
      </c>
      <c r="L2" s="5" t="s">
        <v>11</v>
      </c>
      <c r="M2" s="5" t="s">
        <v>12</v>
      </c>
      <c r="N2" s="5" t="s">
        <v>13</v>
      </c>
      <c r="O2" s="9" t="s">
        <v>14</v>
      </c>
      <c r="P2" s="9" t="s">
        <v>15</v>
      </c>
      <c r="Q2" s="9" t="s">
        <v>16</v>
      </c>
      <c r="R2" s="10" t="s">
        <v>17</v>
      </c>
      <c r="S2" s="10" t="s">
        <v>18</v>
      </c>
      <c r="T2" s="10" t="s">
        <v>19</v>
      </c>
      <c r="U2" s="8" t="s">
        <v>20</v>
      </c>
      <c r="V2" s="8" t="s">
        <v>21</v>
      </c>
      <c r="W2" s="8" t="s">
        <v>22</v>
      </c>
    </row>
    <row r="3" spans="1:23" x14ac:dyDescent="0.3">
      <c r="A3" t="s">
        <v>23</v>
      </c>
      <c r="B3" t="s">
        <v>23</v>
      </c>
      <c r="C3" s="1">
        <v>168339</v>
      </c>
      <c r="D3" s="1">
        <v>55</v>
      </c>
      <c r="E3" s="2">
        <f>טבלה2[[#This Row],[Arrests]]/טבלה2[[#This Row],[Attendance]]</f>
        <v>3.2672167471590064E-4</v>
      </c>
      <c r="F3" s="1">
        <v>166129</v>
      </c>
      <c r="G3" s="1">
        <v>21</v>
      </c>
      <c r="H3" s="3">
        <f>טבלה2[[#This Row],[Arrests3]]/טבלה2[[#This Row],[Attendance2]]</f>
        <v>1.2640779153549349E-4</v>
      </c>
      <c r="I3" s="1">
        <v>207389</v>
      </c>
      <c r="J3" s="1">
        <v>54</v>
      </c>
      <c r="K3" s="3">
        <f>טבלה2[[#This Row],[Arrests6]]/טבלה2[[#This Row],[Attendance5]]</f>
        <v>2.6038025160447277E-4</v>
      </c>
      <c r="L3" s="1">
        <v>205464</v>
      </c>
      <c r="M3">
        <v>92</v>
      </c>
      <c r="N3" s="3">
        <f>טבלה2[[#This Row],[Arrests9]]/טבלה2[[#This Row],[Attendance8]]</f>
        <v>4.4776700541214031E-4</v>
      </c>
      <c r="O3" s="1">
        <v>172687</v>
      </c>
      <c r="P3">
        <v>62</v>
      </c>
      <c r="Q3" s="3">
        <f>טבלה2[[#This Row],[Arrests12]]/טבלה2[[#This Row],[Attendance11]]</f>
        <v>3.5903107935165936E-4</v>
      </c>
      <c r="R3" s="1">
        <v>147543</v>
      </c>
      <c r="S3">
        <v>64</v>
      </c>
      <c r="T3" s="3">
        <f>טבלה2[[#This Row],[Arrests15]]/טבלה2[[#This Row],[Attendance14]]</f>
        <v>4.3377184956250043E-4</v>
      </c>
      <c r="U3" s="1">
        <v>175037</v>
      </c>
      <c r="V3">
        <v>77</v>
      </c>
      <c r="W3" s="3">
        <f>טבלה2[[#This Row],[Arrests18]]/טבלה2[[#This Row],[Attendance17]]</f>
        <v>4.3990699109331169E-4</v>
      </c>
    </row>
    <row r="4" spans="1:23" x14ac:dyDescent="0.3">
      <c r="A4" t="s">
        <v>24</v>
      </c>
      <c r="B4" t="s">
        <v>25</v>
      </c>
      <c r="C4" s="1">
        <v>403836</v>
      </c>
      <c r="D4" s="1">
        <v>308</v>
      </c>
      <c r="E4" s="2">
        <f>טבלה2[[#This Row],[Arrests]]/טבלה2[[#This Row],[Attendance]]</f>
        <v>7.626858427678563E-4</v>
      </c>
      <c r="F4" s="1">
        <v>443362</v>
      </c>
      <c r="G4" s="1">
        <v>344</v>
      </c>
      <c r="H4" s="3">
        <f>טבלה2[[#This Row],[Arrests3]]/טבלה2[[#This Row],[Attendance2]]</f>
        <v>7.7588967931396921E-4</v>
      </c>
      <c r="I4" s="1">
        <v>485356</v>
      </c>
      <c r="J4" s="1">
        <v>215</v>
      </c>
      <c r="K4" s="3">
        <f>טבלה2[[#This Row],[Arrests6]]/טבלה2[[#This Row],[Attendance5]]</f>
        <v>4.4297381715689102E-4</v>
      </c>
      <c r="L4" s="1">
        <v>487607</v>
      </c>
      <c r="M4">
        <v>219</v>
      </c>
      <c r="N4" s="3">
        <f>טבלה2[[#This Row],[Arrests9]]/טבלה2[[#This Row],[Attendance8]]</f>
        <v>4.4913219047306542E-4</v>
      </c>
      <c r="O4" s="1">
        <v>521186</v>
      </c>
      <c r="P4">
        <v>151</v>
      </c>
      <c r="Q4" s="3">
        <f>טבלה2[[#This Row],[Arrests12]]/טבלה2[[#This Row],[Attendance11]]</f>
        <v>2.8972382220550819E-4</v>
      </c>
      <c r="R4" s="1">
        <v>621472</v>
      </c>
      <c r="S4">
        <v>136</v>
      </c>
      <c r="T4" s="3">
        <f>טבלה2[[#This Row],[Arrests15]]/טבלה2[[#This Row],[Attendance14]]</f>
        <v>2.1883528139642655E-4</v>
      </c>
      <c r="U4" s="1">
        <v>609314</v>
      </c>
      <c r="V4">
        <v>141</v>
      </c>
      <c r="W4" s="3">
        <f>טבלה2[[#This Row],[Arrests18]]/טבלה2[[#This Row],[Attendance17]]</f>
        <v>2.3140777989673632E-4</v>
      </c>
    </row>
    <row r="5" spans="1:23" x14ac:dyDescent="0.3">
      <c r="A5" t="s">
        <v>25</v>
      </c>
      <c r="B5" t="s">
        <v>25</v>
      </c>
      <c r="C5" s="1">
        <v>188722</v>
      </c>
      <c r="D5" s="1">
        <v>101</v>
      </c>
      <c r="E5" s="2">
        <f>טבלה2[[#This Row],[Arrests]]/טבלה2[[#This Row],[Attendance]]</f>
        <v>5.3517872850012186E-4</v>
      </c>
      <c r="F5" s="1">
        <v>144577</v>
      </c>
      <c r="G5" s="1">
        <v>65</v>
      </c>
      <c r="H5" s="3">
        <f>טבלה2[[#This Row],[Arrests3]]/טבלה2[[#This Row],[Attendance2]]</f>
        <v>4.4958741708570521E-4</v>
      </c>
      <c r="I5" s="1">
        <v>195242</v>
      </c>
      <c r="J5" s="1">
        <v>152</v>
      </c>
      <c r="K5" s="3">
        <f>טבלה2[[#This Row],[Arrests6]]/טבלה2[[#This Row],[Attendance5]]</f>
        <v>7.7852101494555479E-4</v>
      </c>
      <c r="L5" s="1">
        <v>145335</v>
      </c>
      <c r="M5">
        <v>50</v>
      </c>
      <c r="N5" s="3">
        <f>טבלה2[[#This Row],[Arrests9]]/טבלה2[[#This Row],[Attendance8]]</f>
        <v>3.4403275191798261E-4</v>
      </c>
      <c r="O5" s="1">
        <v>285199</v>
      </c>
      <c r="P5">
        <v>94</v>
      </c>
      <c r="Q5" s="3">
        <f>טבלה2[[#This Row],[Arrests12]]/טבלה2[[#This Row],[Attendance11]]</f>
        <v>3.2959442354285953E-4</v>
      </c>
      <c r="R5" s="1">
        <v>283551</v>
      </c>
      <c r="S5">
        <v>107</v>
      </c>
      <c r="T5" s="3">
        <f>טבלה2[[#This Row],[Arrests15]]/טבלה2[[#This Row],[Attendance14]]</f>
        <v>3.7735715973493306E-4</v>
      </c>
      <c r="U5" s="1">
        <v>333636</v>
      </c>
      <c r="V5">
        <v>92</v>
      </c>
      <c r="W5" s="3">
        <f>טבלה2[[#This Row],[Arrests18]]/טבלה2[[#This Row],[Attendance17]]</f>
        <v>2.7574961934563418E-4</v>
      </c>
    </row>
    <row r="6" spans="1:23" x14ac:dyDescent="0.3">
      <c r="A6" t="s">
        <v>26</v>
      </c>
      <c r="B6" t="s">
        <v>25</v>
      </c>
      <c r="C6" s="1">
        <v>222261</v>
      </c>
      <c r="D6" s="1">
        <v>132</v>
      </c>
      <c r="E6" s="2">
        <f>טבלה2[[#This Row],[Arrests]]/טבלה2[[#This Row],[Attendance]]</f>
        <v>5.9389636508429277E-4</v>
      </c>
      <c r="F6" s="1">
        <v>290683</v>
      </c>
      <c r="G6" s="1">
        <v>145</v>
      </c>
      <c r="H6" s="3">
        <f>טבלה2[[#This Row],[Arrests3]]/טבלה2[[#This Row],[Attendance2]]</f>
        <v>4.9882518069512146E-4</v>
      </c>
      <c r="I6" s="1">
        <v>259724</v>
      </c>
      <c r="J6" s="1">
        <v>116</v>
      </c>
      <c r="K6" s="3">
        <f>טבלה2[[#This Row],[Arrests6]]/טבלה2[[#This Row],[Attendance5]]</f>
        <v>4.4662795891022776E-4</v>
      </c>
      <c r="L6" s="1">
        <v>276029</v>
      </c>
      <c r="M6">
        <v>128</v>
      </c>
      <c r="N6" s="3">
        <f>טבלה2[[#This Row],[Arrests9]]/טבלה2[[#This Row],[Attendance8]]</f>
        <v>4.6371939180303519E-4</v>
      </c>
      <c r="O6" s="1">
        <v>292361</v>
      </c>
      <c r="P6">
        <v>113</v>
      </c>
      <c r="Q6" s="3">
        <f>טבלה2[[#This Row],[Arrests12]]/טבלה2[[#This Row],[Attendance11]]</f>
        <v>3.865084604307688E-4</v>
      </c>
      <c r="R6" s="1">
        <v>348707</v>
      </c>
      <c r="S6">
        <v>88</v>
      </c>
      <c r="T6" s="3">
        <f>טבלה2[[#This Row],[Arrests15]]/טבלה2[[#This Row],[Attendance14]]</f>
        <v>2.5236086456538009E-4</v>
      </c>
      <c r="U6" s="1">
        <v>387327</v>
      </c>
      <c r="V6">
        <v>123</v>
      </c>
      <c r="W6" s="3">
        <f>טבלה2[[#This Row],[Arrests18]]/טבלה2[[#This Row],[Attendance17]]</f>
        <v>3.1756113051762465E-4</v>
      </c>
    </row>
    <row r="7" spans="1:23" x14ac:dyDescent="0.3">
      <c r="A7" t="s">
        <v>97</v>
      </c>
      <c r="B7" t="s">
        <v>27</v>
      </c>
      <c r="C7" s="1">
        <v>211120</v>
      </c>
      <c r="D7" s="1">
        <v>79</v>
      </c>
      <c r="E7" s="2">
        <f>טבלה2[[#This Row],[Arrests]]/טבלה2[[#This Row],[Attendance]]</f>
        <v>3.741947707464949E-4</v>
      </c>
      <c r="F7" s="1">
        <v>191379</v>
      </c>
      <c r="G7" s="1">
        <v>37</v>
      </c>
      <c r="H7" s="3">
        <f>טבלה2[[#This Row],[Arrests3]]/טבלה2[[#This Row],[Attendance2]]</f>
        <v>1.9333364684735526E-4</v>
      </c>
      <c r="I7" s="1">
        <v>221054</v>
      </c>
      <c r="J7" s="1">
        <v>51</v>
      </c>
      <c r="K7" s="3">
        <f>טבלה2[[#This Row],[Arrests6]]/טבלה2[[#This Row],[Attendance5]]</f>
        <v>2.3071285749183459E-4</v>
      </c>
      <c r="L7" s="1">
        <v>179512</v>
      </c>
      <c r="M7">
        <v>45</v>
      </c>
      <c r="N7" s="3">
        <f>טבלה2[[#This Row],[Arrests9]]/טבלה2[[#This Row],[Attendance8]]</f>
        <v>2.5067962030393513E-4</v>
      </c>
      <c r="O7" s="1">
        <v>304763</v>
      </c>
      <c r="P7">
        <v>79</v>
      </c>
      <c r="Q7" s="3">
        <f>טבלה2[[#This Row],[Arrests12]]/טבלה2[[#This Row],[Attendance11]]</f>
        <v>2.59217818435965E-4</v>
      </c>
      <c r="R7" s="1">
        <v>341163</v>
      </c>
      <c r="S7">
        <v>64</v>
      </c>
      <c r="T7" s="3">
        <f>טבלה2[[#This Row],[Arrests15]]/טבלה2[[#This Row],[Attendance14]]</f>
        <v>1.8759361360991668E-4</v>
      </c>
      <c r="U7" s="1">
        <v>372145</v>
      </c>
      <c r="V7">
        <v>59</v>
      </c>
      <c r="W7" s="3">
        <f>טבלה2[[#This Row],[Arrests18]]/טבלה2[[#This Row],[Attendance17]]</f>
        <v>1.5854035389431539E-4</v>
      </c>
    </row>
    <row r="8" spans="1:23" x14ac:dyDescent="0.3">
      <c r="A8" t="s">
        <v>28</v>
      </c>
      <c r="B8" t="s">
        <v>29</v>
      </c>
      <c r="C8" s="1">
        <v>168757</v>
      </c>
      <c r="D8" s="1">
        <v>149</v>
      </c>
      <c r="E8" s="2">
        <f>טבלה2[[#This Row],[Arrests]]/טבלה2[[#This Row],[Attendance]]</f>
        <v>8.8292633787042903E-4</v>
      </c>
      <c r="F8" s="1">
        <v>186002</v>
      </c>
      <c r="G8" s="1">
        <v>35</v>
      </c>
      <c r="H8" s="3">
        <f>טבלה2[[#This Row],[Arrests3]]/טבלה2[[#This Row],[Attendance2]]</f>
        <v>1.8817001967720776E-4</v>
      </c>
      <c r="I8" s="1">
        <v>171432</v>
      </c>
      <c r="J8" s="1">
        <v>213</v>
      </c>
      <c r="K8" s="3">
        <f>טבלה2[[#This Row],[Arrests6]]/טבלה2[[#This Row],[Attendance5]]</f>
        <v>1.2424751504969901E-3</v>
      </c>
      <c r="L8" s="1">
        <v>124558</v>
      </c>
      <c r="M8">
        <v>9</v>
      </c>
      <c r="N8" s="3">
        <f>טבלה2[[#This Row],[Arrests9]]/טבלה2[[#This Row],[Attendance8]]</f>
        <v>7.2255495431847015E-5</v>
      </c>
      <c r="O8" s="1">
        <v>125839</v>
      </c>
      <c r="P8">
        <v>19</v>
      </c>
      <c r="Q8" s="3">
        <f>טבלה2[[#This Row],[Arrests12]]/טבלה2[[#This Row],[Attendance11]]</f>
        <v>1.5098657808787418E-4</v>
      </c>
      <c r="R8" s="1">
        <v>102446</v>
      </c>
      <c r="S8">
        <v>24</v>
      </c>
      <c r="T8" s="3">
        <f>טבלה2[[#This Row],[Arrests15]]/טבלה2[[#This Row],[Attendance14]]</f>
        <v>2.3426976163051755E-4</v>
      </c>
      <c r="U8" s="1">
        <v>100156</v>
      </c>
      <c r="V8">
        <v>28</v>
      </c>
      <c r="W8" s="3">
        <f>טבלה2[[#This Row],[Arrests18]]/טבלה2[[#This Row],[Attendance17]]</f>
        <v>2.7956388034665921E-4</v>
      </c>
    </row>
    <row r="9" spans="1:23" x14ac:dyDescent="0.3">
      <c r="A9" t="s">
        <v>87</v>
      </c>
      <c r="B9" t="s">
        <v>86</v>
      </c>
      <c r="C9" s="1">
        <v>205263</v>
      </c>
      <c r="D9" s="1">
        <v>34</v>
      </c>
      <c r="E9" s="2">
        <f>טבלה2[[#This Row],[Arrests]]/טבלה2[[#This Row],[Attendance]]</f>
        <v>1.6564115305729723E-4</v>
      </c>
      <c r="F9" s="1">
        <v>208022</v>
      </c>
      <c r="G9" s="1">
        <v>47</v>
      </c>
      <c r="H9" s="3">
        <f>טבלה2[[#This Row],[Arrests3]]/טבלה2[[#This Row],[Attendance2]]</f>
        <v>2.2593764121102577E-4</v>
      </c>
      <c r="I9" s="1">
        <v>198105</v>
      </c>
      <c r="J9" s="1">
        <v>55</v>
      </c>
      <c r="K9" s="3">
        <f>טבלה2[[#This Row],[Arrests6]]/טבלה2[[#This Row],[Attendance5]]</f>
        <v>2.7763054945609652E-4</v>
      </c>
      <c r="L9" s="1">
        <v>191448</v>
      </c>
      <c r="M9">
        <v>34</v>
      </c>
      <c r="N9" s="3">
        <f>טבלה2[[#This Row],[Arrests9]]/טבלה2[[#This Row],[Attendance8]]</f>
        <v>1.775939158413773E-4</v>
      </c>
      <c r="O9" s="1">
        <v>184043</v>
      </c>
      <c r="P9">
        <v>34</v>
      </c>
      <c r="Q9" s="3">
        <f>טבלה2[[#This Row],[Arrests12]]/טבלה2[[#This Row],[Attendance11]]</f>
        <v>1.8473943589269898E-4</v>
      </c>
      <c r="R9" s="1">
        <v>154337</v>
      </c>
      <c r="S9">
        <v>19</v>
      </c>
      <c r="T9" s="3">
        <f>טבלה2[[#This Row],[Arrests15]]/טבלה2[[#This Row],[Attendance14]]</f>
        <v>1.2310722639418935E-4</v>
      </c>
      <c r="U9" s="1">
        <v>177301</v>
      </c>
      <c r="V9">
        <v>21</v>
      </c>
      <c r="W9" s="3">
        <f>טבלה2[[#This Row],[Arrests18]]/טבלה2[[#This Row],[Attendance17]]</f>
        <v>1.1844264837761772E-4</v>
      </c>
    </row>
    <row r="10" spans="1:23" x14ac:dyDescent="0.3">
      <c r="A10" t="s">
        <v>94</v>
      </c>
      <c r="B10" t="s">
        <v>93</v>
      </c>
      <c r="C10" s="1">
        <v>225861</v>
      </c>
      <c r="D10" s="1">
        <v>21</v>
      </c>
      <c r="E10" s="2">
        <f>טבלה2[[#This Row],[Arrests]]/טבלה2[[#This Row],[Attendance]]</f>
        <v>9.2977539283010352E-5</v>
      </c>
      <c r="F10" s="1">
        <v>186371</v>
      </c>
      <c r="G10" s="1">
        <v>73</v>
      </c>
      <c r="H10" s="3">
        <f>טבלה2[[#This Row],[Arrests3]]/טבלה2[[#This Row],[Attendance2]]</f>
        <v>3.9169184046874245E-4</v>
      </c>
      <c r="I10" s="1">
        <v>262037</v>
      </c>
      <c r="J10" s="1">
        <v>114</v>
      </c>
      <c r="K10" s="3">
        <f>טבלה2[[#This Row],[Arrests6]]/טבלה2[[#This Row],[Attendance5]]</f>
        <v>4.3505306502516822E-4</v>
      </c>
      <c r="L10" s="1">
        <v>308822</v>
      </c>
      <c r="M10">
        <v>124</v>
      </c>
      <c r="N10" s="3">
        <f>טבלה2[[#This Row],[Arrests9]]/טבלה2[[#This Row],[Attendance8]]</f>
        <v>4.015257980325236E-4</v>
      </c>
      <c r="O10" s="1">
        <v>264006</v>
      </c>
      <c r="P10">
        <v>86</v>
      </c>
      <c r="Q10" s="3">
        <f>טבלה2[[#This Row],[Arrests12]]/טבלה2[[#This Row],[Attendance11]]</f>
        <v>3.257501723445679E-4</v>
      </c>
      <c r="R10" s="1">
        <v>253086</v>
      </c>
      <c r="S10">
        <v>51</v>
      </c>
      <c r="T10" s="3">
        <f>טבלה2[[#This Row],[Arrests15]]/טבלה2[[#This Row],[Attendance14]]</f>
        <v>2.0151252933785354E-4</v>
      </c>
      <c r="U10" s="1">
        <v>203596</v>
      </c>
      <c r="V10">
        <v>47</v>
      </c>
      <c r="W10" s="3">
        <f>טבלה2[[#This Row],[Arrests18]]/טבלה2[[#This Row],[Attendance17]]</f>
        <v>2.3084932906343935E-4</v>
      </c>
    </row>
    <row r="11" spans="1:23" x14ac:dyDescent="0.3">
      <c r="A11" t="s">
        <v>95</v>
      </c>
      <c r="B11" t="s">
        <v>93</v>
      </c>
      <c r="C11" s="1">
        <v>84753</v>
      </c>
      <c r="D11" s="1">
        <v>18</v>
      </c>
      <c r="E11" s="2">
        <f>טבלה2[[#This Row],[Arrests]]/טבלה2[[#This Row],[Attendance]]</f>
        <v>2.1238186258893492E-4</v>
      </c>
      <c r="F11" s="1">
        <v>121856</v>
      </c>
      <c r="G11" s="1">
        <v>67</v>
      </c>
      <c r="H11" s="3">
        <f>טבלה2[[#This Row],[Arrests3]]/טבלה2[[#This Row],[Attendance2]]</f>
        <v>5.4982930672268907E-4</v>
      </c>
      <c r="I11" s="1">
        <v>142791</v>
      </c>
      <c r="J11" s="1">
        <v>50</v>
      </c>
      <c r="K11" s="3">
        <f>טבלה2[[#This Row],[Arrests6]]/טבלה2[[#This Row],[Attendance5]]</f>
        <v>3.501621250639046E-4</v>
      </c>
      <c r="L11" s="1">
        <v>136750</v>
      </c>
      <c r="M11">
        <v>51</v>
      </c>
      <c r="N11" s="3">
        <f>טבלה2[[#This Row],[Arrests9]]/טבלה2[[#This Row],[Attendance8]]</f>
        <v>3.7294332723948809E-4</v>
      </c>
      <c r="O11" s="1">
        <v>134560</v>
      </c>
      <c r="P11">
        <v>32</v>
      </c>
      <c r="Q11" s="3">
        <f>טבלה2[[#This Row],[Arrests12]]/טבלה2[[#This Row],[Attendance11]]</f>
        <v>2.3781212841854935E-4</v>
      </c>
      <c r="R11" s="1">
        <v>132125</v>
      </c>
      <c r="S11">
        <v>39</v>
      </c>
      <c r="T11" s="3">
        <f>טבלה2[[#This Row],[Arrests15]]/טבלה2[[#This Row],[Attendance14]]</f>
        <v>2.9517502365184487E-4</v>
      </c>
      <c r="U11" s="1">
        <v>122214</v>
      </c>
      <c r="V11">
        <v>8</v>
      </c>
      <c r="W11" s="3">
        <f>טבלה2[[#This Row],[Arrests18]]/טבלה2[[#This Row],[Attendance17]]</f>
        <v>6.5458949056572895E-5</v>
      </c>
    </row>
    <row r="12" spans="1:23" x14ac:dyDescent="0.3">
      <c r="A12" t="s">
        <v>30</v>
      </c>
      <c r="B12" t="s">
        <v>30</v>
      </c>
      <c r="C12" s="1">
        <v>350165</v>
      </c>
      <c r="D12" s="1">
        <v>194</v>
      </c>
      <c r="E12" s="2">
        <f>טבלה2[[#This Row],[Arrests]]/טבלה2[[#This Row],[Attendance]]</f>
        <v>5.5402453129239069E-4</v>
      </c>
      <c r="F12" s="1">
        <v>302902</v>
      </c>
      <c r="G12" s="1">
        <v>190</v>
      </c>
      <c r="H12" s="3">
        <f>טבלה2[[#This Row],[Arrests3]]/טבלה2[[#This Row],[Attendance2]]</f>
        <v>6.2726558424837072E-4</v>
      </c>
      <c r="I12" s="1">
        <v>271543</v>
      </c>
      <c r="J12" s="1">
        <v>192</v>
      </c>
      <c r="K12" s="3">
        <f>טבלה2[[#This Row],[Arrests6]]/טבלה2[[#This Row],[Attendance5]]</f>
        <v>7.0707033508505103E-4</v>
      </c>
      <c r="L12" s="1">
        <v>263712</v>
      </c>
      <c r="M12">
        <v>149</v>
      </c>
      <c r="N12" s="3">
        <f>טבלה2[[#This Row],[Arrests9]]/טבלה2[[#This Row],[Attendance8]]</f>
        <v>5.6501031428224727E-4</v>
      </c>
      <c r="O12" s="1">
        <v>291396</v>
      </c>
      <c r="P12">
        <v>78</v>
      </c>
      <c r="Q12" s="3">
        <f>טבלה2[[#This Row],[Arrests12]]/טבלה2[[#This Row],[Attendance11]]</f>
        <v>2.6767697566198578E-4</v>
      </c>
      <c r="R12" s="1">
        <v>313963</v>
      </c>
      <c r="S12">
        <v>125</v>
      </c>
      <c r="T12" s="3">
        <f>טבלה2[[#This Row],[Arrests15]]/טבלה2[[#This Row],[Attendance14]]</f>
        <v>3.9813608609931745E-4</v>
      </c>
      <c r="U12" s="1">
        <v>280392</v>
      </c>
      <c r="V12">
        <v>90</v>
      </c>
      <c r="W12" s="3">
        <f>טבלה2[[#This Row],[Arrests18]]/טבלה2[[#This Row],[Attendance17]]</f>
        <v>3.2097920054780448E-4</v>
      </c>
    </row>
    <row r="13" spans="1:23" x14ac:dyDescent="0.3">
      <c r="A13" t="s">
        <v>31</v>
      </c>
      <c r="B13" t="s">
        <v>32</v>
      </c>
      <c r="C13" s="1">
        <v>343107</v>
      </c>
      <c r="D13" s="1">
        <v>86</v>
      </c>
      <c r="E13" s="2">
        <f>טבלה2[[#This Row],[Arrests]]/טבלה2[[#This Row],[Attendance]]</f>
        <v>2.5065067165636377E-4</v>
      </c>
      <c r="F13" s="1">
        <v>335964</v>
      </c>
      <c r="G13" s="1">
        <v>132</v>
      </c>
      <c r="H13" s="3">
        <f>טבלה2[[#This Row],[Arrests3]]/טבלה2[[#This Row],[Attendance2]]</f>
        <v>3.9289923920420044E-4</v>
      </c>
      <c r="I13" s="1">
        <v>329912</v>
      </c>
      <c r="J13" s="1">
        <v>89</v>
      </c>
      <c r="K13" s="3">
        <f>טבלה2[[#This Row],[Arrests6]]/טבלה2[[#This Row],[Attendance5]]</f>
        <v>2.697689080724557E-4</v>
      </c>
      <c r="L13" s="1">
        <v>311581</v>
      </c>
      <c r="M13">
        <v>28</v>
      </c>
      <c r="N13" s="3">
        <f>טבלה2[[#This Row],[Arrests9]]/טבלה2[[#This Row],[Attendance8]]</f>
        <v>8.9864272853607891E-5</v>
      </c>
      <c r="O13" s="1">
        <v>337281</v>
      </c>
      <c r="P13">
        <v>43</v>
      </c>
      <c r="Q13" s="3">
        <f>טבלה2[[#This Row],[Arrests12]]/טבלה2[[#This Row],[Attendance11]]</f>
        <v>1.2749013433902294E-4</v>
      </c>
      <c r="R13" s="1">
        <v>345470</v>
      </c>
      <c r="S13">
        <v>34</v>
      </c>
      <c r="T13" s="3">
        <f>טבלה2[[#This Row],[Arrests15]]/טבלה2[[#This Row],[Attendance14]]</f>
        <v>9.8416649781457143E-5</v>
      </c>
      <c r="U13" s="1">
        <v>365549</v>
      </c>
      <c r="V13">
        <v>54</v>
      </c>
      <c r="W13" s="3">
        <f>טבלה2[[#This Row],[Arrests18]]/טבלה2[[#This Row],[Attendance17]]</f>
        <v>1.4772301387775647E-4</v>
      </c>
    </row>
    <row r="14" spans="1:23" x14ac:dyDescent="0.3">
      <c r="A14" t="s">
        <v>33</v>
      </c>
      <c r="B14" t="s">
        <v>34</v>
      </c>
      <c r="C14" s="1">
        <v>157507</v>
      </c>
      <c r="D14" s="1">
        <v>38</v>
      </c>
      <c r="E14" s="2">
        <f>טבלה2[[#This Row],[Arrests]]/טבלה2[[#This Row],[Attendance]]</f>
        <v>2.4125911864234604E-4</v>
      </c>
      <c r="F14" s="1">
        <v>135915</v>
      </c>
      <c r="G14" s="1">
        <v>18</v>
      </c>
      <c r="H14" s="3">
        <f>טבלה2[[#This Row],[Arrests3]]/טבלה2[[#This Row],[Attendance2]]</f>
        <v>1.3243571349740648E-4</v>
      </c>
      <c r="I14" s="1">
        <v>144198</v>
      </c>
      <c r="J14" s="1">
        <v>57</v>
      </c>
      <c r="K14" s="3">
        <f>טבלה2[[#This Row],[Arrests6]]/טבלה2[[#This Row],[Attendance5]]</f>
        <v>3.9528980984479675E-4</v>
      </c>
      <c r="L14" s="1">
        <v>141770</v>
      </c>
      <c r="M14">
        <v>59</v>
      </c>
      <c r="N14" s="3">
        <f>טבלה2[[#This Row],[Arrests9]]/טבלה2[[#This Row],[Attendance8]]</f>
        <v>4.1616703110672218E-4</v>
      </c>
      <c r="O14" s="1">
        <v>94648</v>
      </c>
      <c r="P14">
        <v>16</v>
      </c>
      <c r="Q14" s="3">
        <f>טבלה2[[#This Row],[Arrests12]]/טבלה2[[#This Row],[Attendance11]]</f>
        <v>1.690474178006931E-4</v>
      </c>
      <c r="R14" s="1">
        <v>107452</v>
      </c>
      <c r="S14">
        <v>16</v>
      </c>
      <c r="T14" s="3">
        <f>טבלה2[[#This Row],[Arrests15]]/טבלה2[[#This Row],[Attendance14]]</f>
        <v>1.4890369653426647E-4</v>
      </c>
      <c r="U14" s="1">
        <v>136199</v>
      </c>
      <c r="V14">
        <v>15</v>
      </c>
      <c r="W14" s="3">
        <f>טבלה2[[#This Row],[Arrests18]]/טבלה2[[#This Row],[Attendance17]]</f>
        <v>1.1013296720240237E-4</v>
      </c>
    </row>
    <row r="15" spans="1:23" x14ac:dyDescent="0.3">
      <c r="A15" t="s">
        <v>35</v>
      </c>
      <c r="B15" t="s">
        <v>36</v>
      </c>
      <c r="C15" s="1">
        <v>258037</v>
      </c>
      <c r="D15" s="1">
        <v>99</v>
      </c>
      <c r="E15" s="2">
        <f>טבלה2[[#This Row],[Arrests]]/טבלה2[[#This Row],[Attendance]]</f>
        <v>3.8366590837748076E-4</v>
      </c>
      <c r="F15" s="1">
        <v>288319</v>
      </c>
      <c r="G15" s="1">
        <v>31</v>
      </c>
      <c r="H15" s="3">
        <f>טבלה2[[#This Row],[Arrests3]]/טבלה2[[#This Row],[Attendance2]]</f>
        <v>1.0751979578175562E-4</v>
      </c>
      <c r="I15" s="1">
        <v>293597</v>
      </c>
      <c r="J15" s="1">
        <v>30</v>
      </c>
      <c r="K15" s="3">
        <f>טבלה2[[#This Row],[Arrests6]]/טבלה2[[#This Row],[Attendance5]]</f>
        <v>1.0218088059482896E-4</v>
      </c>
      <c r="L15" s="1">
        <v>272132</v>
      </c>
      <c r="M15">
        <v>39</v>
      </c>
      <c r="N15" s="3">
        <f>טבלה2[[#This Row],[Arrests9]]/טבלה2[[#This Row],[Attendance8]]</f>
        <v>1.4331280408037277E-4</v>
      </c>
      <c r="O15" s="1">
        <v>328298</v>
      </c>
      <c r="P15">
        <v>62</v>
      </c>
      <c r="Q15" s="3">
        <f>טבלה2[[#This Row],[Arrests12]]/טבלה2[[#This Row],[Attendance11]]</f>
        <v>1.8885281055626291E-4</v>
      </c>
      <c r="R15" s="1">
        <v>382692</v>
      </c>
      <c r="S15">
        <v>105</v>
      </c>
      <c r="T15" s="3">
        <f>טבלה2[[#This Row],[Arrests15]]/טבלה2[[#This Row],[Attendance14]]</f>
        <v>2.7437207989714965E-4</v>
      </c>
      <c r="U15" s="1">
        <v>344025</v>
      </c>
      <c r="V15">
        <v>28</v>
      </c>
      <c r="W15" s="3">
        <f>טבלה2[[#This Row],[Arrests18]]/טבלה2[[#This Row],[Attendance17]]</f>
        <v>8.1389433907419519E-5</v>
      </c>
    </row>
    <row r="16" spans="1:23" x14ac:dyDescent="0.3">
      <c r="A16" t="s">
        <v>37</v>
      </c>
      <c r="B16" t="s">
        <v>38</v>
      </c>
      <c r="C16" s="1">
        <v>443094</v>
      </c>
      <c r="D16" s="1">
        <v>184</v>
      </c>
      <c r="E16" s="2">
        <f>טבלה2[[#This Row],[Arrests]]/טבלה2[[#This Row],[Attendance]]</f>
        <v>4.1526177289694739E-4</v>
      </c>
      <c r="F16" s="1">
        <v>500906</v>
      </c>
      <c r="G16" s="1">
        <v>159</v>
      </c>
      <c r="H16" s="3">
        <f>טבלה2[[#This Row],[Arrests3]]/טבלה2[[#This Row],[Attendance2]]</f>
        <v>3.174248262148986E-4</v>
      </c>
      <c r="I16" s="1">
        <v>635833</v>
      </c>
      <c r="J16" s="1">
        <v>168</v>
      </c>
      <c r="K16" s="3">
        <f>טבלה2[[#This Row],[Arrests6]]/טבלה2[[#This Row],[Attendance5]]</f>
        <v>2.6422032200279006E-4</v>
      </c>
      <c r="L16" s="1">
        <v>546434</v>
      </c>
      <c r="M16">
        <v>87</v>
      </c>
      <c r="N16" s="3">
        <f>טבלה2[[#This Row],[Arrests9]]/טבלה2[[#This Row],[Attendance8]]</f>
        <v>1.5921410453961503E-4</v>
      </c>
      <c r="O16" s="1">
        <v>618636</v>
      </c>
      <c r="P16">
        <v>64</v>
      </c>
      <c r="Q16" s="3">
        <f>טבלה2[[#This Row],[Arrests12]]/טבלה2[[#This Row],[Attendance11]]</f>
        <v>1.0345340394028152E-4</v>
      </c>
      <c r="R16" s="1">
        <v>614244</v>
      </c>
      <c r="S16">
        <v>42</v>
      </c>
      <c r="T16" s="3">
        <f>טבלה2[[#This Row],[Arrests15]]/טבלה2[[#This Row],[Attendance14]]</f>
        <v>6.8376736280696267E-5</v>
      </c>
      <c r="U16" s="1">
        <v>724363</v>
      </c>
      <c r="V16">
        <v>130</v>
      </c>
      <c r="W16" s="3">
        <f>טבלה2[[#This Row],[Arrests18]]/טבלה2[[#This Row],[Attendance17]]</f>
        <v>1.7946802915113003E-4</v>
      </c>
    </row>
    <row r="17" spans="1:23" x14ac:dyDescent="0.3">
      <c r="A17" t="s">
        <v>39</v>
      </c>
      <c r="B17" t="s">
        <v>40</v>
      </c>
      <c r="C17" s="1">
        <v>223049</v>
      </c>
      <c r="D17" s="1">
        <v>31</v>
      </c>
      <c r="E17" s="2">
        <f>טבלה2[[#This Row],[Arrests]]/טבלה2[[#This Row],[Attendance]]</f>
        <v>1.3898291406820923E-4</v>
      </c>
      <c r="F17" s="1">
        <v>239357</v>
      </c>
      <c r="G17" s="1">
        <v>95</v>
      </c>
      <c r="H17" s="3">
        <f>טבלה2[[#This Row],[Arrests3]]/טבלה2[[#This Row],[Attendance2]]</f>
        <v>3.968966857037814E-4</v>
      </c>
      <c r="I17" s="1">
        <v>269387</v>
      </c>
      <c r="J17" s="1">
        <v>115</v>
      </c>
      <c r="K17" s="3">
        <f>טבלה2[[#This Row],[Arrests6]]/טבלה2[[#This Row],[Attendance5]]</f>
        <v>4.268951359939418E-4</v>
      </c>
      <c r="L17" s="1">
        <v>264636</v>
      </c>
      <c r="M17">
        <v>106</v>
      </c>
      <c r="N17" s="3">
        <f>טבלה2[[#This Row],[Arrests9]]/טבלה2[[#This Row],[Attendance8]]</f>
        <v>4.0055018969452382E-4</v>
      </c>
      <c r="O17" s="1">
        <v>349641</v>
      </c>
      <c r="P17">
        <v>128</v>
      </c>
      <c r="Q17" s="3">
        <f>טבלה2[[#This Row],[Arrests12]]/טבלה2[[#This Row],[Attendance11]]</f>
        <v>3.660897892409643E-4</v>
      </c>
      <c r="R17" s="1">
        <v>353324</v>
      </c>
      <c r="S17">
        <v>23</v>
      </c>
      <c r="T17" s="3">
        <f>טבלה2[[#This Row],[Arrests15]]/טבלה2[[#This Row],[Attendance14]]</f>
        <v>6.5096059141184857E-5</v>
      </c>
      <c r="U17" s="1">
        <v>351209</v>
      </c>
      <c r="V17">
        <v>20</v>
      </c>
      <c r="W17" s="3">
        <f>טבלה2[[#This Row],[Arrests18]]/טבלה2[[#This Row],[Attendance17]]</f>
        <v>5.6946148874317001E-5</v>
      </c>
    </row>
    <row r="18" spans="1:23" x14ac:dyDescent="0.3">
      <c r="A18" t="s">
        <v>41</v>
      </c>
      <c r="B18" t="s">
        <v>42</v>
      </c>
      <c r="C18" s="1">
        <v>555692</v>
      </c>
      <c r="D18" s="1">
        <v>24</v>
      </c>
      <c r="E18" s="2">
        <f>טבלה2[[#This Row],[Arrests]]/טבלה2[[#This Row],[Attendance]]</f>
        <v>4.3189392685156523E-5</v>
      </c>
      <c r="F18" s="1">
        <v>521444</v>
      </c>
      <c r="G18" s="1">
        <v>80</v>
      </c>
      <c r="H18" s="3">
        <f>טבלה2[[#This Row],[Arrests3]]/טבלה2[[#This Row],[Attendance2]]</f>
        <v>1.5342011798007073E-4</v>
      </c>
      <c r="I18" s="1">
        <v>494766</v>
      </c>
      <c r="J18" s="1">
        <v>68</v>
      </c>
      <c r="K18" s="3">
        <f>טבלה2[[#This Row],[Arrests6]]/טבלה2[[#This Row],[Attendance5]]</f>
        <v>1.3743870839952625E-4</v>
      </c>
      <c r="L18" s="1">
        <v>468571</v>
      </c>
      <c r="M18">
        <v>91</v>
      </c>
      <c r="N18" s="3">
        <f>טבלה2[[#This Row],[Arrests9]]/טבלה2[[#This Row],[Attendance8]]</f>
        <v>1.9420749470197687E-4</v>
      </c>
      <c r="O18" s="1">
        <v>486099</v>
      </c>
      <c r="P18">
        <v>169</v>
      </c>
      <c r="Q18" s="3">
        <f>טבלה2[[#This Row],[Arrests12]]/טבלה2[[#This Row],[Attendance11]]</f>
        <v>3.4766580470233432E-4</v>
      </c>
      <c r="R18" s="1">
        <v>429342</v>
      </c>
      <c r="S18">
        <v>95</v>
      </c>
      <c r="T18" s="3">
        <f>טבלה2[[#This Row],[Arrests15]]/טבלה2[[#This Row],[Attendance14]]</f>
        <v>2.2126882531874357E-4</v>
      </c>
      <c r="U18" s="1">
        <v>480391</v>
      </c>
      <c r="V18">
        <v>75</v>
      </c>
      <c r="W18" s="3">
        <f>טבלה2[[#This Row],[Arrests18]]/טבלה2[[#This Row],[Attendance17]]</f>
        <v>1.5612282494884377E-4</v>
      </c>
    </row>
    <row r="19" spans="1:23" x14ac:dyDescent="0.3">
      <c r="A19" t="s">
        <v>42</v>
      </c>
      <c r="B19" t="s">
        <v>42</v>
      </c>
      <c r="C19" s="1">
        <v>791977</v>
      </c>
      <c r="D19" s="1">
        <v>33</v>
      </c>
      <c r="E19" s="2">
        <f>טבלה2[[#This Row],[Arrests]]/טבלה2[[#This Row],[Attendance]]</f>
        <v>4.1667876718642081E-5</v>
      </c>
      <c r="F19" s="1">
        <v>734902</v>
      </c>
      <c r="G19" s="1">
        <v>132</v>
      </c>
      <c r="H19" s="3">
        <f>טבלה2[[#This Row],[Arrests3]]/טבלה2[[#This Row],[Attendance2]]</f>
        <v>1.7961578550609468E-4</v>
      </c>
      <c r="I19" s="1">
        <v>700908</v>
      </c>
      <c r="J19" s="1">
        <v>84</v>
      </c>
      <c r="K19" s="3">
        <f>טבלה2[[#This Row],[Arrests6]]/טבלה2[[#This Row],[Attendance5]]</f>
        <v>1.1984454450512763E-4</v>
      </c>
      <c r="L19" s="1">
        <v>684539</v>
      </c>
      <c r="M19">
        <v>121</v>
      </c>
      <c r="N19" s="3">
        <f>טבלה2[[#This Row],[Arrests9]]/טבלה2[[#This Row],[Attendance8]]</f>
        <v>1.7676129482761393E-4</v>
      </c>
      <c r="O19" s="1">
        <v>730769</v>
      </c>
      <c r="P19">
        <v>258</v>
      </c>
      <c r="Q19" s="3">
        <f>טבלה2[[#This Row],[Arrests12]]/טבלה2[[#This Row],[Attendance11]]</f>
        <v>3.5305274306928727E-4</v>
      </c>
      <c r="R19" s="1">
        <v>777089</v>
      </c>
      <c r="S19">
        <v>211</v>
      </c>
      <c r="T19" s="3">
        <f>טבלה2[[#This Row],[Arrests15]]/טבלה2[[#This Row],[Attendance14]]</f>
        <v>2.7152617010406789E-4</v>
      </c>
      <c r="U19" s="1">
        <v>808361</v>
      </c>
      <c r="V19">
        <v>214</v>
      </c>
      <c r="W19" s="3">
        <f>טבלה2[[#This Row],[Arrests18]]/טבלה2[[#This Row],[Attendance17]]</f>
        <v>2.6473320706961369E-4</v>
      </c>
    </row>
    <row r="20" spans="1:23" x14ac:dyDescent="0.3">
      <c r="A20" t="s">
        <v>43</v>
      </c>
      <c r="B20" t="s">
        <v>44</v>
      </c>
      <c r="C20" s="1">
        <v>598059</v>
      </c>
      <c r="D20" s="1">
        <v>153</v>
      </c>
      <c r="E20" s="2">
        <f>טבלה2[[#This Row],[Arrests]]/טבלה2[[#This Row],[Attendance]]</f>
        <v>2.5582760229341922E-4</v>
      </c>
      <c r="F20" s="1">
        <v>676267</v>
      </c>
      <c r="G20" s="1">
        <v>167</v>
      </c>
      <c r="H20" s="3">
        <f>טבלה2[[#This Row],[Arrests3]]/טבלה2[[#This Row],[Attendance2]]</f>
        <v>2.4694388458996227E-4</v>
      </c>
      <c r="I20" s="1">
        <v>171432</v>
      </c>
      <c r="J20" s="1">
        <v>213</v>
      </c>
      <c r="K20" s="3">
        <f>טבלה2[[#This Row],[Arrests6]]/טבלה2[[#This Row],[Attendance5]]</f>
        <v>1.2424751504969901E-3</v>
      </c>
      <c r="L20" s="1">
        <v>700768</v>
      </c>
      <c r="M20">
        <v>143</v>
      </c>
      <c r="N20" s="3">
        <f>טבלה2[[#This Row],[Arrests9]]/טבלה2[[#This Row],[Attendance8]]</f>
        <v>2.0406182930727431E-4</v>
      </c>
      <c r="O20" s="1">
        <v>670001</v>
      </c>
      <c r="P20">
        <v>125</v>
      </c>
      <c r="Q20" s="3">
        <f>טבלה2[[#This Row],[Arrests12]]/טבלה2[[#This Row],[Attendance11]]</f>
        <v>1.8656688572106609E-4</v>
      </c>
      <c r="R20" s="1">
        <v>512467</v>
      </c>
      <c r="S20">
        <v>95</v>
      </c>
      <c r="T20" s="3">
        <f>טבלה2[[#This Row],[Arrests15]]/טבלה2[[#This Row],[Attendance14]]</f>
        <v>1.8537779017966036E-4</v>
      </c>
      <c r="U20" s="1">
        <v>641833</v>
      </c>
      <c r="V20">
        <v>80</v>
      </c>
      <c r="W20" s="3">
        <f>טבלה2[[#This Row],[Arrests18]]/טבלה2[[#This Row],[Attendance17]]</f>
        <v>1.2464301461595151E-4</v>
      </c>
    </row>
    <row r="21" spans="1:23" x14ac:dyDescent="0.3">
      <c r="A21" t="s">
        <v>45</v>
      </c>
      <c r="B21" t="s">
        <v>44</v>
      </c>
      <c r="C21" s="1">
        <v>173629</v>
      </c>
      <c r="D21" s="1">
        <v>14</v>
      </c>
      <c r="E21" s="2">
        <f>טבלה2[[#This Row],[Arrests]]/טבלה2[[#This Row],[Attendance]]</f>
        <v>8.0631691710486152E-5</v>
      </c>
      <c r="F21" s="1">
        <v>177760</v>
      </c>
      <c r="G21" s="1">
        <v>47</v>
      </c>
      <c r="H21" s="3">
        <f>טבלה2[[#This Row],[Arrests3]]/טבלה2[[#This Row],[Attendance2]]</f>
        <v>2.6440144014401438E-4</v>
      </c>
      <c r="I21" s="1">
        <v>204503</v>
      </c>
      <c r="J21" s="1">
        <v>64</v>
      </c>
      <c r="K21" s="3">
        <f>טבלה2[[#This Row],[Arrests6]]/טבלה2[[#This Row],[Attendance5]]</f>
        <v>3.1295384419788465E-4</v>
      </c>
      <c r="L21" s="1">
        <v>150936</v>
      </c>
      <c r="M21">
        <v>43</v>
      </c>
      <c r="N21" s="3">
        <f>טבלה2[[#This Row],[Arrests9]]/טבלה2[[#This Row],[Attendance8]]</f>
        <v>2.8488895955901841E-4</v>
      </c>
      <c r="O21" s="1">
        <v>156073</v>
      </c>
      <c r="P21">
        <v>31</v>
      </c>
      <c r="Q21" s="3">
        <f>טבלה2[[#This Row],[Arrests12]]/טבלה2[[#This Row],[Attendance11]]</f>
        <v>1.9862500240272181E-4</v>
      </c>
      <c r="R21" s="1">
        <v>161105</v>
      </c>
      <c r="S21">
        <v>16</v>
      </c>
      <c r="T21" s="3">
        <f>טבלה2[[#This Row],[Arrests15]]/טבלה2[[#This Row],[Attendance14]]</f>
        <v>9.9314111914589864E-5</v>
      </c>
      <c r="U21" s="1">
        <v>185279</v>
      </c>
      <c r="V21">
        <v>11</v>
      </c>
      <c r="W21" s="3">
        <f>טבלה2[[#This Row],[Arrests18]]/טבלה2[[#This Row],[Attendance17]]</f>
        <v>5.9369923196908447E-5</v>
      </c>
    </row>
    <row r="22" spans="1:23" x14ac:dyDescent="0.3">
      <c r="A22" t="s">
        <v>46</v>
      </c>
      <c r="B22" t="s">
        <v>44</v>
      </c>
      <c r="C22" s="1">
        <v>408538</v>
      </c>
      <c r="D22" s="1">
        <v>271</v>
      </c>
      <c r="E22" s="2">
        <f>טבלה2[[#This Row],[Arrests]]/טבלה2[[#This Row],[Attendance]]</f>
        <v>6.6334098664016562E-4</v>
      </c>
      <c r="F22" s="1">
        <v>371685</v>
      </c>
      <c r="G22" s="1">
        <v>304</v>
      </c>
      <c r="H22" s="3">
        <f>טבלה2[[#This Row],[Arrests3]]/טבלה2[[#This Row],[Attendance2]]</f>
        <v>8.1789687504203832E-4</v>
      </c>
      <c r="I22" s="1">
        <v>415239</v>
      </c>
      <c r="J22" s="1">
        <v>236</v>
      </c>
      <c r="K22" s="3">
        <f>טבלה2[[#This Row],[Arrests6]]/טבלה2[[#This Row],[Attendance5]]</f>
        <v>5.6834738548161416E-4</v>
      </c>
      <c r="L22" s="1">
        <v>388177</v>
      </c>
      <c r="M22">
        <v>195</v>
      </c>
      <c r="N22" s="3">
        <f>טבלה2[[#This Row],[Arrests9]]/טבלה2[[#This Row],[Attendance8]]</f>
        <v>5.0234815560942564E-4</v>
      </c>
      <c r="O22" s="1">
        <v>392365</v>
      </c>
      <c r="P22">
        <v>180</v>
      </c>
      <c r="Q22" s="3">
        <f>טבלה2[[#This Row],[Arrests12]]/טבלה2[[#This Row],[Attendance11]]</f>
        <v>4.5875651497967451E-4</v>
      </c>
      <c r="R22" s="1">
        <v>394525</v>
      </c>
      <c r="S22">
        <v>114</v>
      </c>
      <c r="T22" s="3">
        <f>טבלה2[[#This Row],[Arrests15]]/טבלה2[[#This Row],[Attendance14]]</f>
        <v>2.8895507255560484E-4</v>
      </c>
      <c r="U22" s="1">
        <v>407732</v>
      </c>
      <c r="V22">
        <v>94</v>
      </c>
      <c r="W22" s="3">
        <f>טבלה2[[#This Row],[Arrests18]]/טבלה2[[#This Row],[Attendance17]]</f>
        <v>2.3054359235968725E-4</v>
      </c>
    </row>
    <row r="23" spans="1:23" x14ac:dyDescent="0.3">
      <c r="A23" t="s">
        <v>47</v>
      </c>
      <c r="B23" t="s">
        <v>44</v>
      </c>
      <c r="C23" s="1">
        <v>215496</v>
      </c>
      <c r="D23" s="1">
        <v>78</v>
      </c>
      <c r="E23" s="2">
        <f>טבלה2[[#This Row],[Arrests]]/טבלה2[[#This Row],[Attendance]]</f>
        <v>3.6195567435126408E-4</v>
      </c>
      <c r="F23" s="1">
        <v>245342</v>
      </c>
      <c r="G23" s="1">
        <v>71</v>
      </c>
      <c r="H23" s="3">
        <f>טבלה2[[#This Row],[Arrests3]]/טבלה2[[#This Row],[Attendance2]]</f>
        <v>2.8939195082782404E-4</v>
      </c>
      <c r="I23" s="1">
        <v>323792</v>
      </c>
      <c r="J23" s="1">
        <v>76</v>
      </c>
      <c r="K23" s="3">
        <f>טבלה2[[#This Row],[Arrests6]]/טבלה2[[#This Row],[Attendance5]]</f>
        <v>2.3471858477046992E-4</v>
      </c>
      <c r="L23" s="1">
        <v>360816</v>
      </c>
      <c r="M23">
        <v>70</v>
      </c>
      <c r="N23" s="3">
        <f>טבלה2[[#This Row],[Arrests9]]/טבלה2[[#This Row],[Attendance8]]</f>
        <v>1.940047004567425E-4</v>
      </c>
      <c r="O23" s="1">
        <v>369986</v>
      </c>
      <c r="P23">
        <v>58</v>
      </c>
      <c r="Q23" s="3">
        <f>טבלה2[[#This Row],[Arrests12]]/טבלה2[[#This Row],[Attendance11]]</f>
        <v>1.5676268831793635E-4</v>
      </c>
      <c r="R23" s="1">
        <v>330698</v>
      </c>
      <c r="S23">
        <v>44</v>
      </c>
      <c r="T23" s="3">
        <f>טבלה2[[#This Row],[Arrests15]]/טבלה2[[#This Row],[Attendance14]]</f>
        <v>1.3305190838771327E-4</v>
      </c>
      <c r="U23" s="1">
        <v>360092</v>
      </c>
      <c r="V23">
        <v>61</v>
      </c>
      <c r="W23" s="3">
        <f>טבלה2[[#This Row],[Arrests18]]/טבלה2[[#This Row],[Attendance17]]</f>
        <v>1.6940115303866791E-4</v>
      </c>
    </row>
    <row r="24" spans="1:23" x14ac:dyDescent="0.3">
      <c r="A24" t="s">
        <v>48</v>
      </c>
      <c r="B24" t="s">
        <v>44</v>
      </c>
      <c r="C24" s="1">
        <v>185165</v>
      </c>
      <c r="D24" s="1">
        <v>44</v>
      </c>
      <c r="E24" s="2">
        <f>טבלה2[[#This Row],[Arrests]]/טבלה2[[#This Row],[Attendance]]</f>
        <v>2.3762590122323335E-4</v>
      </c>
      <c r="F24" s="1">
        <v>293926</v>
      </c>
      <c r="G24" s="1">
        <v>160</v>
      </c>
      <c r="H24" s="3">
        <f>טבלה2[[#This Row],[Arrests3]]/טבלה2[[#This Row],[Attendance2]]</f>
        <v>5.4435470152351271E-4</v>
      </c>
      <c r="I24" s="1">
        <v>236009</v>
      </c>
      <c r="J24" s="1">
        <v>108</v>
      </c>
      <c r="K24" s="3">
        <f>טבלה2[[#This Row],[Arrests6]]/טבלה2[[#This Row],[Attendance5]]</f>
        <v>4.5760966742793707E-4</v>
      </c>
      <c r="L24" s="1">
        <v>249349</v>
      </c>
      <c r="M24">
        <v>71</v>
      </c>
      <c r="N24" s="3">
        <f>טבלה2[[#This Row],[Arrests9]]/טבלה2[[#This Row],[Attendance8]]</f>
        <v>2.8474146677949378E-4</v>
      </c>
      <c r="O24" s="1">
        <v>182176</v>
      </c>
      <c r="P24">
        <v>32</v>
      </c>
      <c r="Q24" s="3">
        <f>טבלה2[[#This Row],[Arrests12]]/טבלה2[[#This Row],[Attendance11]]</f>
        <v>1.756543123133673E-4</v>
      </c>
      <c r="R24" s="1">
        <v>211332</v>
      </c>
      <c r="S24">
        <v>29</v>
      </c>
      <c r="T24" s="3">
        <f>טבלה2[[#This Row],[Arrests15]]/טבלה2[[#This Row],[Attendance14]]</f>
        <v>1.3722484053527151E-4</v>
      </c>
      <c r="U24" s="1">
        <v>225893</v>
      </c>
      <c r="V24">
        <v>98</v>
      </c>
      <c r="W24" s="3">
        <f>טבלה2[[#This Row],[Arrests18]]/טבלה2[[#This Row],[Attendance17]]</f>
        <v>4.3383371773361723E-4</v>
      </c>
    </row>
    <row r="25" spans="1:23" x14ac:dyDescent="0.3">
      <c r="A25" t="s">
        <v>49</v>
      </c>
      <c r="B25" t="s">
        <v>44</v>
      </c>
      <c r="C25" s="1">
        <v>265813</v>
      </c>
      <c r="D25" s="1">
        <v>91</v>
      </c>
      <c r="E25" s="2">
        <f>טבלה2[[#This Row],[Arrests]]/טבלה2[[#This Row],[Attendance]]</f>
        <v>3.4234593492417603E-4</v>
      </c>
      <c r="F25" s="1">
        <v>235018</v>
      </c>
      <c r="G25" s="1">
        <v>95</v>
      </c>
      <c r="H25" s="3">
        <f>טבלה2[[#This Row],[Arrests3]]/טבלה2[[#This Row],[Attendance2]]</f>
        <v>4.0422435728327194E-4</v>
      </c>
      <c r="I25" s="1">
        <v>249760</v>
      </c>
      <c r="J25" s="1">
        <v>70</v>
      </c>
      <c r="K25" s="3">
        <f>טבלה2[[#This Row],[Arrests6]]/טבלה2[[#This Row],[Attendance5]]</f>
        <v>2.8026905829596412E-4</v>
      </c>
      <c r="L25" s="1">
        <v>254722</v>
      </c>
      <c r="M25">
        <v>54</v>
      </c>
      <c r="N25" s="3">
        <f>טבלה2[[#This Row],[Arrests9]]/טבלה2[[#This Row],[Attendance8]]</f>
        <v>2.1199582289711921E-4</v>
      </c>
      <c r="O25" s="1">
        <v>285440</v>
      </c>
      <c r="P25">
        <v>72</v>
      </c>
      <c r="Q25" s="3">
        <f>טבלה2[[#This Row],[Arrests12]]/טבלה2[[#This Row],[Attendance11]]</f>
        <v>2.5224215246636773E-4</v>
      </c>
      <c r="R25" s="1">
        <v>315306</v>
      </c>
      <c r="S25">
        <v>77</v>
      </c>
      <c r="T25" s="3">
        <f>טבלה2[[#This Row],[Arrests15]]/טבלה2[[#This Row],[Attendance14]]</f>
        <v>2.4420721457885358E-4</v>
      </c>
      <c r="U25" s="1">
        <v>298782</v>
      </c>
      <c r="V25">
        <v>59</v>
      </c>
      <c r="W25" s="3">
        <f>טבלה2[[#This Row],[Arrests18]]/טבלה2[[#This Row],[Attendance17]]</f>
        <v>1.9746838832325909E-4</v>
      </c>
    </row>
    <row r="26" spans="1:23" x14ac:dyDescent="0.3">
      <c r="A26" t="s">
        <v>50</v>
      </c>
      <c r="B26" t="s">
        <v>44</v>
      </c>
      <c r="C26" s="1">
        <v>517970</v>
      </c>
      <c r="D26" s="1">
        <v>74</v>
      </c>
      <c r="E26" s="2">
        <f>טבלה2[[#This Row],[Arrests]]/טבלה2[[#This Row],[Attendance]]</f>
        <v>1.428654169160376E-4</v>
      </c>
      <c r="F26" s="1">
        <v>464876</v>
      </c>
      <c r="G26" s="1">
        <v>127</v>
      </c>
      <c r="H26" s="3">
        <f>טבלה2[[#This Row],[Arrests3]]/טבלה2[[#This Row],[Attendance2]]</f>
        <v>2.7319113053803594E-4</v>
      </c>
      <c r="I26" s="1">
        <v>502830</v>
      </c>
      <c r="J26" s="1">
        <v>73</v>
      </c>
      <c r="K26" s="3">
        <f>טבלה2[[#This Row],[Arrests6]]/טבלה2[[#This Row],[Attendance5]]</f>
        <v>1.4517829087365512E-4</v>
      </c>
      <c r="L26" s="1">
        <v>581998</v>
      </c>
      <c r="M26">
        <v>100</v>
      </c>
      <c r="N26" s="3">
        <f>טבלה2[[#This Row],[Arrests9]]/טבלה2[[#This Row],[Attendance8]]</f>
        <v>1.7182189629517627E-4</v>
      </c>
      <c r="O26" s="1">
        <v>582979</v>
      </c>
      <c r="P26">
        <v>111</v>
      </c>
      <c r="Q26" s="3">
        <f>טבלה2[[#This Row],[Arrests12]]/טבלה2[[#This Row],[Attendance11]]</f>
        <v>1.9040136951759841E-4</v>
      </c>
      <c r="R26" s="1">
        <v>582532</v>
      </c>
      <c r="S26">
        <v>80</v>
      </c>
      <c r="T26" s="3">
        <f>טבלה2[[#This Row],[Arrests15]]/טבלה2[[#This Row],[Attendance14]]</f>
        <v>1.3733151140194873E-4</v>
      </c>
      <c r="U26" s="1">
        <v>570359</v>
      </c>
      <c r="V26">
        <v>62</v>
      </c>
      <c r="W26" s="3">
        <f>טבלה2[[#This Row],[Arrests18]]/טבלה2[[#This Row],[Attendance17]]</f>
        <v>1.0870346571194633E-4</v>
      </c>
    </row>
    <row r="27" spans="1:23" x14ac:dyDescent="0.3">
      <c r="A27" t="s">
        <v>51</v>
      </c>
      <c r="B27" t="s">
        <v>44</v>
      </c>
      <c r="C27" s="1">
        <v>396473</v>
      </c>
      <c r="D27" s="1">
        <v>149</v>
      </c>
      <c r="E27" s="2">
        <f>טבלה2[[#This Row],[Arrests]]/טבלה2[[#This Row],[Attendance]]</f>
        <v>3.7581373763156636E-4</v>
      </c>
      <c r="F27" s="1">
        <v>394126</v>
      </c>
      <c r="G27" s="1">
        <v>201</v>
      </c>
      <c r="H27" s="3">
        <f>טבלה2[[#This Row],[Arrests3]]/טבלה2[[#This Row],[Attendance2]]</f>
        <v>5.0998919127385653E-4</v>
      </c>
      <c r="I27" s="1">
        <v>465873</v>
      </c>
      <c r="J27" s="1">
        <v>182</v>
      </c>
      <c r="K27" s="3">
        <f>טבלה2[[#This Row],[Arrests6]]/טבלה2[[#This Row],[Attendance5]]</f>
        <v>3.9066440854052502E-4</v>
      </c>
      <c r="L27" s="1">
        <v>515705</v>
      </c>
      <c r="M27">
        <v>126</v>
      </c>
      <c r="N27" s="3">
        <f>טבלה2[[#This Row],[Arrests9]]/טבלה2[[#This Row],[Attendance8]]</f>
        <v>2.4432572885661378E-4</v>
      </c>
      <c r="O27" s="1">
        <v>448190</v>
      </c>
      <c r="P27">
        <v>164</v>
      </c>
      <c r="Q27" s="3">
        <f>טבלה2[[#This Row],[Arrests12]]/טבלה2[[#This Row],[Attendance11]]</f>
        <v>3.6591624087998391E-4</v>
      </c>
      <c r="R27" s="1">
        <v>368024</v>
      </c>
      <c r="S27">
        <v>62</v>
      </c>
      <c r="T27" s="3">
        <f>טבלה2[[#This Row],[Arrests15]]/טבלה2[[#This Row],[Attendance14]]</f>
        <v>1.6846727387344305E-4</v>
      </c>
      <c r="U27" s="1">
        <v>432008</v>
      </c>
      <c r="V27">
        <v>59</v>
      </c>
      <c r="W27" s="3">
        <f>טבלה2[[#This Row],[Arrests18]]/טבלה2[[#This Row],[Attendance17]]</f>
        <v>1.3657154497138943E-4</v>
      </c>
    </row>
    <row r="28" spans="1:23" x14ac:dyDescent="0.3">
      <c r="A28" t="s">
        <v>52</v>
      </c>
      <c r="B28" t="s">
        <v>44</v>
      </c>
      <c r="C28" s="1">
        <v>159691</v>
      </c>
      <c r="D28" s="1">
        <v>49</v>
      </c>
      <c r="E28" s="2">
        <f>טבלה2[[#This Row],[Arrests]]/טבלה2[[#This Row],[Attendance]]</f>
        <v>3.0684258975145751E-4</v>
      </c>
      <c r="F28" s="1">
        <v>148169</v>
      </c>
      <c r="G28" s="1">
        <v>17</v>
      </c>
      <c r="H28" s="3">
        <f>טבלה2[[#This Row],[Arrests3]]/טבלה2[[#This Row],[Attendance2]]</f>
        <v>1.1473385121044213E-4</v>
      </c>
      <c r="I28" s="1">
        <v>145380</v>
      </c>
      <c r="J28" s="1">
        <v>20</v>
      </c>
      <c r="K28" s="3">
        <f>טבלה2[[#This Row],[Arrests6]]/טבלה2[[#This Row],[Attendance5]]</f>
        <v>1.3757050488375291E-4</v>
      </c>
      <c r="L28" s="1">
        <v>140909</v>
      </c>
      <c r="M28">
        <v>18</v>
      </c>
      <c r="N28" s="3">
        <f>טבלה2[[#This Row],[Arrests9]]/טבלה2[[#This Row],[Attendance8]]</f>
        <v>1.2774201789807606E-4</v>
      </c>
      <c r="O28" s="1">
        <v>145002</v>
      </c>
      <c r="P28">
        <v>23</v>
      </c>
      <c r="Q28" s="3">
        <f>טבלה2[[#This Row],[Arrests12]]/טבלה2[[#This Row],[Attendance11]]</f>
        <v>1.5861850181376807E-4</v>
      </c>
      <c r="R28" s="1">
        <v>176505</v>
      </c>
      <c r="S28">
        <v>32</v>
      </c>
      <c r="T28" s="3">
        <f>טבלה2[[#This Row],[Arrests15]]/טבלה2[[#This Row],[Attendance14]]</f>
        <v>1.8129798022718902E-4</v>
      </c>
      <c r="U28" s="1">
        <v>219961</v>
      </c>
      <c r="V28">
        <v>17</v>
      </c>
      <c r="W28" s="3">
        <f>טבלה2[[#This Row],[Arrests18]]/טבלה2[[#This Row],[Attendance17]]</f>
        <v>7.7286428048608621E-5</v>
      </c>
    </row>
    <row r="29" spans="1:23" x14ac:dyDescent="0.3">
      <c r="A29" t="s">
        <v>53</v>
      </c>
      <c r="B29" t="s">
        <v>54</v>
      </c>
      <c r="C29" s="1">
        <v>161884</v>
      </c>
      <c r="D29" s="1">
        <v>1</v>
      </c>
      <c r="E29" s="2">
        <f>טבלה2[[#This Row],[Arrests]]/טבלה2[[#This Row],[Attendance]]</f>
        <v>6.1772627313384893E-6</v>
      </c>
      <c r="F29" s="1">
        <v>176681</v>
      </c>
      <c r="G29" s="1">
        <v>7</v>
      </c>
      <c r="H29" s="3">
        <f>טבלה2[[#This Row],[Arrests3]]/טבלה2[[#This Row],[Attendance2]]</f>
        <v>3.9619427103084089E-5</v>
      </c>
      <c r="I29" s="1">
        <v>186451</v>
      </c>
      <c r="J29" s="1">
        <v>9</v>
      </c>
      <c r="K29" s="3">
        <f>טבלה2[[#This Row],[Arrests6]]/טבלה2[[#This Row],[Attendance5]]</f>
        <v>4.8270054866962363E-5</v>
      </c>
      <c r="L29" s="1">
        <v>195255</v>
      </c>
      <c r="M29">
        <v>3</v>
      </c>
      <c r="N29" s="3">
        <f>טבלה2[[#This Row],[Arrests9]]/טבלה2[[#This Row],[Attendance8]]</f>
        <v>1.5364523315664132E-5</v>
      </c>
      <c r="O29" s="1">
        <v>204011</v>
      </c>
      <c r="P29">
        <v>10</v>
      </c>
      <c r="Q29" s="3">
        <f>טבלה2[[#This Row],[Arrests12]]/טבלה2[[#This Row],[Attendance11]]</f>
        <v>4.9016964771507421E-5</v>
      </c>
      <c r="R29" s="1">
        <v>188885</v>
      </c>
      <c r="S29">
        <v>23</v>
      </c>
      <c r="T29" s="3">
        <f>טבלה2[[#This Row],[Arrests15]]/טבלה2[[#This Row],[Attendance14]]</f>
        <v>1.217672128543823E-4</v>
      </c>
      <c r="U29" s="1">
        <v>181197</v>
      </c>
      <c r="V29">
        <v>13</v>
      </c>
      <c r="W29" s="3">
        <f>טבלה2[[#This Row],[Arrests18]]/טבלה2[[#This Row],[Attendance17]]</f>
        <v>7.1745117192889506E-5</v>
      </c>
    </row>
    <row r="30" spans="1:23" x14ac:dyDescent="0.3">
      <c r="A30" t="s">
        <v>55</v>
      </c>
      <c r="B30" t="s">
        <v>56</v>
      </c>
      <c r="C30" s="1">
        <v>428655</v>
      </c>
      <c r="D30" s="1">
        <v>35</v>
      </c>
      <c r="E30" s="2">
        <f>טבלה2[[#This Row],[Arrests]]/טבלה2[[#This Row],[Attendance]]</f>
        <v>8.1650744771436234E-5</v>
      </c>
      <c r="F30" s="1">
        <v>540476</v>
      </c>
      <c r="G30" s="1">
        <v>39</v>
      </c>
      <c r="H30" s="3">
        <f>טבלה2[[#This Row],[Arrests3]]/טבלה2[[#This Row],[Attendance2]]</f>
        <v>7.2158615738719204E-5</v>
      </c>
      <c r="I30" s="1">
        <v>531541</v>
      </c>
      <c r="J30" s="1">
        <v>57</v>
      </c>
      <c r="K30" s="3">
        <f>טבלה2[[#This Row],[Arrests6]]/טבלה2[[#This Row],[Attendance5]]</f>
        <v>1.0723537789182772E-4</v>
      </c>
      <c r="L30" s="1">
        <v>530150</v>
      </c>
      <c r="M30">
        <v>33</v>
      </c>
      <c r="N30" s="3">
        <f>טבלה2[[#This Row],[Arrests9]]/טבלה2[[#This Row],[Attendance8]]</f>
        <v>6.224653399981137E-5</v>
      </c>
      <c r="O30" s="1">
        <v>581491</v>
      </c>
      <c r="P30">
        <v>40</v>
      </c>
      <c r="Q30" s="3">
        <f>טבלה2[[#This Row],[Arrests12]]/טבלה2[[#This Row],[Attendance11]]</f>
        <v>6.8788682885891612E-5</v>
      </c>
      <c r="R30" s="1">
        <v>518655</v>
      </c>
      <c r="S30">
        <v>19</v>
      </c>
      <c r="T30" s="3">
        <f>טבלה2[[#This Row],[Arrests15]]/טבלה2[[#This Row],[Attendance14]]</f>
        <v>3.6633214757401356E-5</v>
      </c>
      <c r="U30" s="1">
        <v>560899</v>
      </c>
      <c r="V30">
        <v>46</v>
      </c>
      <c r="W30" s="3">
        <f>טבלה2[[#This Row],[Arrests18]]/טבלה2[[#This Row],[Attendance17]]</f>
        <v>8.2011199877339775E-5</v>
      </c>
    </row>
    <row r="31" spans="1:23" x14ac:dyDescent="0.3">
      <c r="A31" t="s">
        <v>57</v>
      </c>
      <c r="B31" t="s">
        <v>56</v>
      </c>
      <c r="C31" s="1">
        <v>783099</v>
      </c>
      <c r="D31" s="1">
        <v>38</v>
      </c>
      <c r="E31" s="2">
        <f>טבלה2[[#This Row],[Arrests]]/טבלה2[[#This Row],[Attendance]]</f>
        <v>4.8525154546232339E-5</v>
      </c>
      <c r="F31" s="1">
        <v>693257</v>
      </c>
      <c r="G31" s="1">
        <v>60</v>
      </c>
      <c r="H31" s="3">
        <f>טבלה2[[#This Row],[Arrests3]]/טבלה2[[#This Row],[Attendance2]]</f>
        <v>8.6547990139298984E-5</v>
      </c>
      <c r="I31" s="1">
        <v>740476</v>
      </c>
      <c r="J31" s="1">
        <v>60</v>
      </c>
      <c r="K31" s="3">
        <f>טבלה2[[#This Row],[Arrests6]]/טבלה2[[#This Row],[Attendance5]]</f>
        <v>8.1028959750214724E-5</v>
      </c>
      <c r="L31" s="1">
        <v>821589</v>
      </c>
      <c r="M31">
        <v>39</v>
      </c>
      <c r="N31" s="3">
        <f>טבלה2[[#This Row],[Arrests9]]/טבלה2[[#This Row],[Attendance8]]</f>
        <v>4.7468989969437271E-5</v>
      </c>
      <c r="O31" s="1">
        <v>944663</v>
      </c>
      <c r="P31">
        <v>44</v>
      </c>
      <c r="Q31" s="3">
        <f>טבלה2[[#This Row],[Arrests12]]/טבלה2[[#This Row],[Attendance11]]</f>
        <v>4.6577456722661946E-5</v>
      </c>
      <c r="R31" s="1">
        <v>738202</v>
      </c>
      <c r="S31">
        <v>40</v>
      </c>
      <c r="T31" s="3">
        <f>טבלה2[[#This Row],[Arrests15]]/טבלה2[[#This Row],[Attendance14]]</f>
        <v>5.4185710686234936E-5</v>
      </c>
      <c r="U31" s="1">
        <v>929133</v>
      </c>
      <c r="V31">
        <v>59</v>
      </c>
      <c r="W31" s="3">
        <f>טבלה2[[#This Row],[Arrests18]]/טבלה2[[#This Row],[Attendance17]]</f>
        <v>6.3500058656833837E-5</v>
      </c>
    </row>
    <row r="32" spans="1:23" x14ac:dyDescent="0.3">
      <c r="A32" t="s">
        <v>58</v>
      </c>
      <c r="B32" t="s">
        <v>56</v>
      </c>
      <c r="C32" s="1">
        <v>147995</v>
      </c>
      <c r="D32" s="1">
        <v>19</v>
      </c>
      <c r="E32" s="2">
        <f>טבלה2[[#This Row],[Arrests]]/טבלה2[[#This Row],[Attendance]]</f>
        <v>1.2838271563228487E-4</v>
      </c>
      <c r="F32" s="1">
        <v>160325</v>
      </c>
      <c r="G32" s="1">
        <v>12</v>
      </c>
      <c r="H32" s="3">
        <f>טבלה2[[#This Row],[Arrests3]]/טבלה2[[#This Row],[Attendance2]]</f>
        <v>7.4847965070949638E-5</v>
      </c>
      <c r="I32" s="1">
        <v>223557</v>
      </c>
      <c r="J32" s="1">
        <v>8</v>
      </c>
      <c r="K32" s="3">
        <f>טבלה2[[#This Row],[Arrests6]]/טבלה2[[#This Row],[Attendance5]]</f>
        <v>3.5785057054800341E-5</v>
      </c>
      <c r="L32" s="1">
        <v>301465</v>
      </c>
      <c r="M32">
        <v>30</v>
      </c>
      <c r="N32" s="3">
        <f>טבלה2[[#This Row],[Arrests9]]/טבלה2[[#This Row],[Attendance8]]</f>
        <v>9.9514039772444557E-5</v>
      </c>
      <c r="O32" s="1">
        <v>316825</v>
      </c>
      <c r="P32">
        <v>46</v>
      </c>
      <c r="Q32" s="3">
        <f>טבלה2[[#This Row],[Arrests12]]/טבלה2[[#This Row],[Attendance11]]</f>
        <v>1.4519056261343014E-4</v>
      </c>
      <c r="R32" s="1">
        <v>270032</v>
      </c>
      <c r="S32">
        <v>15</v>
      </c>
      <c r="T32" s="3">
        <f>טבלה2[[#This Row],[Arrests15]]/טבלה2[[#This Row],[Attendance14]]</f>
        <v>5.5548971973692007E-5</v>
      </c>
      <c r="U32" s="1">
        <v>263815</v>
      </c>
      <c r="V32">
        <v>19</v>
      </c>
      <c r="W32" s="3">
        <f>טבלה2[[#This Row],[Arrests18]]/טבלה2[[#This Row],[Attendance17]]</f>
        <v>7.2020165646380989E-5</v>
      </c>
    </row>
    <row r="33" spans="1:23" x14ac:dyDescent="0.3">
      <c r="A33" t="s">
        <v>59</v>
      </c>
      <c r="B33" t="s">
        <v>59</v>
      </c>
      <c r="C33" s="1">
        <v>321219</v>
      </c>
      <c r="D33" s="1">
        <v>110</v>
      </c>
      <c r="E33" s="2">
        <f>טבלה2[[#This Row],[Arrests]]/טבלה2[[#This Row],[Attendance]]</f>
        <v>3.4244549668606156E-4</v>
      </c>
      <c r="F33" s="1">
        <v>378210</v>
      </c>
      <c r="G33" s="1">
        <v>86</v>
      </c>
      <c r="H33" s="3">
        <f>טבלה2[[#This Row],[Arrests3]]/טבלה2[[#This Row],[Attendance2]]</f>
        <v>2.273869014568626E-4</v>
      </c>
      <c r="I33" s="1">
        <v>374249</v>
      </c>
      <c r="J33" s="1">
        <v>36</v>
      </c>
      <c r="K33" s="3">
        <f>טבלה2[[#This Row],[Arrests6]]/טבלה2[[#This Row],[Attendance5]]</f>
        <v>9.6192641797306072E-5</v>
      </c>
      <c r="L33" s="1">
        <v>391252</v>
      </c>
      <c r="M33">
        <v>14</v>
      </c>
      <c r="N33" s="3">
        <f>טבלה2[[#This Row],[Arrests9]]/טבלה2[[#This Row],[Attendance8]]</f>
        <v>3.5782564689765167E-5</v>
      </c>
      <c r="O33" s="1">
        <v>338177</v>
      </c>
      <c r="P33">
        <v>31</v>
      </c>
      <c r="Q33" s="3">
        <f>טבלה2[[#This Row],[Arrests12]]/טבלה2[[#This Row],[Attendance11]]</f>
        <v>9.1667972688858198E-5</v>
      </c>
      <c r="R33" s="1">
        <v>351209</v>
      </c>
      <c r="S33">
        <v>19</v>
      </c>
      <c r="T33" s="3">
        <f>טבלה2[[#This Row],[Arrests15]]/טבלה2[[#This Row],[Attendance14]]</f>
        <v>5.4098841430601149E-5</v>
      </c>
      <c r="U33" s="1">
        <v>239218</v>
      </c>
      <c r="V33">
        <v>26</v>
      </c>
      <c r="W33" s="3">
        <f>טבלה2[[#This Row],[Arrests18]]/טבלה2[[#This Row],[Attendance17]]</f>
        <v>1.0868747335066759E-4</v>
      </c>
    </row>
    <row r="34" spans="1:23" x14ac:dyDescent="0.3">
      <c r="A34" t="s">
        <v>60</v>
      </c>
      <c r="B34" t="s">
        <v>60</v>
      </c>
      <c r="C34" s="1">
        <v>419742</v>
      </c>
      <c r="D34" s="1">
        <v>149</v>
      </c>
      <c r="E34" s="2">
        <f>טבלה2[[#This Row],[Arrests]]/טבלה2[[#This Row],[Attendance]]</f>
        <v>3.5497996388257548E-4</v>
      </c>
      <c r="F34" s="1">
        <v>433487</v>
      </c>
      <c r="G34" s="1">
        <v>166</v>
      </c>
      <c r="H34" s="3">
        <f>טבלה2[[#This Row],[Arrests3]]/טבלה2[[#This Row],[Attendance2]]</f>
        <v>3.8294112626214856E-4</v>
      </c>
      <c r="I34" s="1">
        <v>505840</v>
      </c>
      <c r="J34" s="1">
        <v>215</v>
      </c>
      <c r="K34" s="3">
        <f>טבלה2[[#This Row],[Arrests6]]/טבלה2[[#This Row],[Attendance5]]</f>
        <v>4.2503558437450575E-4</v>
      </c>
      <c r="L34" s="1">
        <v>387604</v>
      </c>
      <c r="M34">
        <v>141</v>
      </c>
      <c r="N34" s="3">
        <f>טבלה2[[#This Row],[Arrests9]]/טבלה2[[#This Row],[Attendance8]]</f>
        <v>3.6377333567249047E-4</v>
      </c>
      <c r="O34" s="1">
        <v>486397</v>
      </c>
      <c r="P34">
        <v>113</v>
      </c>
      <c r="Q34" s="3">
        <f>טבלה2[[#This Row],[Arrests12]]/טבלה2[[#This Row],[Attendance11]]</f>
        <v>2.3232051184526219E-4</v>
      </c>
      <c r="R34" s="1">
        <v>667403</v>
      </c>
      <c r="S34">
        <v>163</v>
      </c>
      <c r="T34" s="3">
        <f>טבלה2[[#This Row],[Arrests15]]/טבלה2[[#This Row],[Attendance14]]</f>
        <v>2.4423024769142484E-4</v>
      </c>
      <c r="U34" s="1">
        <v>707269</v>
      </c>
      <c r="V34">
        <v>82</v>
      </c>
      <c r="W34" s="3">
        <f>טבלה2[[#This Row],[Arrests18]]/טבלה2[[#This Row],[Attendance17]]</f>
        <v>1.1593891433103954E-4</v>
      </c>
    </row>
    <row r="35" spans="1:23" x14ac:dyDescent="0.3">
      <c r="A35" t="s">
        <v>61</v>
      </c>
      <c r="B35" t="s">
        <v>62</v>
      </c>
      <c r="C35" s="1">
        <v>313904</v>
      </c>
      <c r="D35" s="1">
        <v>32</v>
      </c>
      <c r="E35" s="2">
        <f>טבלה2[[#This Row],[Arrests]]/טבלה2[[#This Row],[Attendance]]</f>
        <v>1.0194199500484225E-4</v>
      </c>
      <c r="F35" s="1">
        <v>318844</v>
      </c>
      <c r="G35" s="1">
        <v>86</v>
      </c>
      <c r="H35" s="3">
        <f>טבלה2[[#This Row],[Arrests3]]/טבלה2[[#This Row],[Attendance2]]</f>
        <v>2.6972437932029457E-4</v>
      </c>
      <c r="I35" s="1">
        <v>318052</v>
      </c>
      <c r="J35" s="1">
        <v>49</v>
      </c>
      <c r="K35" s="3">
        <f>טבלה2[[#This Row],[Arrests6]]/טבלה2[[#This Row],[Attendance5]]</f>
        <v>1.5406285764591954E-4</v>
      </c>
      <c r="L35" s="1">
        <v>293864</v>
      </c>
      <c r="M35">
        <v>40</v>
      </c>
      <c r="N35" s="3">
        <f>טבלה2[[#This Row],[Arrests9]]/טבלה2[[#This Row],[Attendance8]]</f>
        <v>1.3611738763509652E-4</v>
      </c>
      <c r="O35" s="1">
        <v>291011</v>
      </c>
      <c r="P35">
        <v>33</v>
      </c>
      <c r="Q35" s="3">
        <f>טבלה2[[#This Row],[Arrests12]]/טבלה2[[#This Row],[Attendance11]]</f>
        <v>1.1339777534182557E-4</v>
      </c>
      <c r="R35" s="1">
        <v>339238</v>
      </c>
      <c r="S35">
        <v>76</v>
      </c>
      <c r="T35" s="3">
        <f>טבלה2[[#This Row],[Arrests15]]/טבלה2[[#This Row],[Attendance14]]</f>
        <v>2.2403150590440929E-4</v>
      </c>
      <c r="U35" s="1">
        <v>381436</v>
      </c>
      <c r="V35">
        <v>70</v>
      </c>
      <c r="W35" s="3">
        <f>טבלה2[[#This Row],[Arrests18]]/טבלה2[[#This Row],[Attendance17]]</f>
        <v>1.8351702513658911E-4</v>
      </c>
    </row>
    <row r="36" spans="1:23" x14ac:dyDescent="0.3">
      <c r="A36" t="s">
        <v>63</v>
      </c>
      <c r="B36" t="s">
        <v>64</v>
      </c>
      <c r="C36" s="1">
        <v>384648</v>
      </c>
      <c r="D36" s="1">
        <v>130</v>
      </c>
      <c r="E36" s="2">
        <f>טבלה2[[#This Row],[Arrests]]/טבלה2[[#This Row],[Attendance]]</f>
        <v>3.3797134003036542E-4</v>
      </c>
      <c r="F36" s="1">
        <v>394911</v>
      </c>
      <c r="G36" s="1">
        <v>66</v>
      </c>
      <c r="H36" s="3">
        <f>טבלה2[[#This Row],[Arrests3]]/טבלה2[[#This Row],[Attendance2]]</f>
        <v>1.6712626389237068E-4</v>
      </c>
      <c r="I36" s="1">
        <v>391014</v>
      </c>
      <c r="J36" s="1">
        <v>84</v>
      </c>
      <c r="K36" s="3">
        <f>טבלה2[[#This Row],[Arrests6]]/טבלה2[[#This Row],[Attendance5]]</f>
        <v>2.1482606760883242E-4</v>
      </c>
      <c r="L36" s="1">
        <v>421553</v>
      </c>
      <c r="M36">
        <v>115</v>
      </c>
      <c r="N36" s="3">
        <f>טבלה2[[#This Row],[Arrests9]]/טבלה2[[#This Row],[Attendance8]]</f>
        <v>2.7280081033701577E-4</v>
      </c>
      <c r="O36" s="1">
        <v>498138</v>
      </c>
      <c r="P36">
        <v>80</v>
      </c>
      <c r="Q36" s="3">
        <f>טבלה2[[#This Row],[Arrests12]]/טבלה2[[#This Row],[Attendance11]]</f>
        <v>1.6059806720226122E-4</v>
      </c>
      <c r="R36" s="1">
        <v>460107</v>
      </c>
      <c r="S36">
        <v>61</v>
      </c>
      <c r="T36" s="3">
        <f>טבלה2[[#This Row],[Arrests15]]/טבלה2[[#This Row],[Attendance14]]</f>
        <v>1.3257785688981042E-4</v>
      </c>
      <c r="U36" s="1">
        <v>529168</v>
      </c>
      <c r="V36">
        <v>102</v>
      </c>
      <c r="W36" s="3">
        <f>טבלה2[[#This Row],[Arrests18]]/טבלה2[[#This Row],[Attendance17]]</f>
        <v>1.9275541982886343E-4</v>
      </c>
    </row>
    <row r="37" spans="1:23" x14ac:dyDescent="0.3">
      <c r="A37" t="s">
        <v>96</v>
      </c>
      <c r="B37" t="s">
        <v>64</v>
      </c>
      <c r="C37" s="1">
        <v>144824</v>
      </c>
      <c r="D37" s="1">
        <v>56</v>
      </c>
      <c r="E37" s="2">
        <f>טבלה2[[#This Row],[Arrests]]/טבלה2[[#This Row],[Attendance]]</f>
        <v>3.8667624150693253E-4</v>
      </c>
      <c r="F37" s="1">
        <v>130654</v>
      </c>
      <c r="G37" s="1">
        <v>49</v>
      </c>
      <c r="H37" s="3">
        <f>טבלה2[[#This Row],[Arrests3]]/טבלה2[[#This Row],[Attendance2]]</f>
        <v>3.7503635556508029E-4</v>
      </c>
      <c r="I37" s="1">
        <v>141438</v>
      </c>
      <c r="J37" s="1">
        <v>46</v>
      </c>
      <c r="K37" s="3">
        <f>טבלה2[[#This Row],[Arrests6]]/טבלה2[[#This Row],[Attendance5]]</f>
        <v>3.2523084319631217E-4</v>
      </c>
      <c r="L37" s="1">
        <v>187825</v>
      </c>
      <c r="M37">
        <v>81</v>
      </c>
      <c r="N37" s="3">
        <f>טבלה2[[#This Row],[Arrests9]]/טבלה2[[#This Row],[Attendance8]]</f>
        <v>4.3125249567416477E-4</v>
      </c>
      <c r="O37" s="1">
        <v>230726</v>
      </c>
      <c r="P37">
        <v>93</v>
      </c>
      <c r="Q37" s="3">
        <f>טבלה2[[#This Row],[Arrests12]]/טבלה2[[#This Row],[Attendance11]]</f>
        <v>4.0307550947877571E-4</v>
      </c>
      <c r="R37" s="1">
        <v>187470</v>
      </c>
      <c r="S37">
        <v>92</v>
      </c>
      <c r="T37" s="3">
        <f>טבלה2[[#This Row],[Arrests15]]/טבלה2[[#This Row],[Attendance14]]</f>
        <v>4.9074518589641014E-4</v>
      </c>
      <c r="U37" s="1">
        <v>197726</v>
      </c>
      <c r="V37">
        <v>25</v>
      </c>
      <c r="W37" s="3">
        <f>טבלה2[[#This Row],[Arrests18]]/טבלה2[[#This Row],[Attendance17]]</f>
        <v>1.2643759546038458E-4</v>
      </c>
    </row>
    <row r="38" spans="1:23" x14ac:dyDescent="0.3">
      <c r="A38" t="s">
        <v>65</v>
      </c>
      <c r="B38" t="s">
        <v>66</v>
      </c>
      <c r="C38" s="1">
        <v>218632</v>
      </c>
      <c r="D38" s="1">
        <v>105</v>
      </c>
      <c r="E38" s="2">
        <f>טבלה2[[#This Row],[Arrests]]/טבלה2[[#This Row],[Attendance]]</f>
        <v>4.8025906546159759E-4</v>
      </c>
      <c r="F38" s="1">
        <v>145788</v>
      </c>
      <c r="G38" s="1">
        <v>36</v>
      </c>
      <c r="H38" s="3">
        <f>טבלה2[[#This Row],[Arrests3]]/טבלה2[[#This Row],[Attendance2]]</f>
        <v>2.4693390402502261E-4</v>
      </c>
      <c r="I38" s="1">
        <v>133822</v>
      </c>
      <c r="J38" s="1">
        <v>51</v>
      </c>
      <c r="K38" s="3">
        <f>טבלה2[[#This Row],[Arrests6]]/טבלה2[[#This Row],[Attendance5]]</f>
        <v>3.8110325656469043E-4</v>
      </c>
      <c r="L38" s="1">
        <v>132976</v>
      </c>
      <c r="M38">
        <v>29</v>
      </c>
      <c r="N38" s="3">
        <f>טבלה2[[#This Row],[Arrests9]]/טבלה2[[#This Row],[Attendance8]]</f>
        <v>2.1808446636987125E-4</v>
      </c>
      <c r="O38" s="1">
        <v>130444</v>
      </c>
      <c r="P38">
        <v>67</v>
      </c>
      <c r="Q38" s="3">
        <f>טבלה2[[#This Row],[Arrests12]]/טבלה2[[#This Row],[Attendance11]]</f>
        <v>5.1363037012051144E-4</v>
      </c>
      <c r="R38" s="1">
        <v>146199</v>
      </c>
      <c r="S38">
        <v>43</v>
      </c>
      <c r="T38" s="3">
        <f>טבלה2[[#This Row],[Arrests15]]/טבלה2[[#This Row],[Attendance14]]</f>
        <v>2.9411965882119575E-4</v>
      </c>
      <c r="U38" s="1">
        <v>158182</v>
      </c>
      <c r="V38">
        <v>25</v>
      </c>
      <c r="W38" s="3">
        <f>טבלה2[[#This Row],[Arrests18]]/טבלה2[[#This Row],[Attendance17]]</f>
        <v>1.5804579534966053E-4</v>
      </c>
    </row>
    <row r="39" spans="1:23" x14ac:dyDescent="0.3">
      <c r="A39" t="s">
        <v>67</v>
      </c>
      <c r="B39" t="s">
        <v>68</v>
      </c>
      <c r="C39" s="1">
        <v>226152</v>
      </c>
      <c r="D39" s="1">
        <v>29</v>
      </c>
      <c r="E39" s="2">
        <f>טבלה2[[#This Row],[Arrests]]/טבלה2[[#This Row],[Attendance]]</f>
        <v>1.2823233931161344E-4</v>
      </c>
      <c r="F39" s="1">
        <v>198443</v>
      </c>
      <c r="G39" s="1">
        <v>19</v>
      </c>
      <c r="H39" s="3">
        <f>טבלה2[[#This Row],[Arrests3]]/טבלה2[[#This Row],[Attendance2]]</f>
        <v>9.5745377765907584E-5</v>
      </c>
      <c r="I39" s="1">
        <v>200720</v>
      </c>
      <c r="J39" s="1">
        <v>22</v>
      </c>
      <c r="K39" s="3">
        <f>טבלה2[[#This Row],[Arrests6]]/טבלה2[[#This Row],[Attendance5]]</f>
        <v>1.096054204862495E-4</v>
      </c>
      <c r="L39" s="1">
        <v>162779</v>
      </c>
      <c r="M39">
        <v>34</v>
      </c>
      <c r="N39" s="3">
        <f>טבלה2[[#This Row],[Arrests9]]/טבלה2[[#This Row],[Attendance8]]</f>
        <v>2.0887215181319459E-4</v>
      </c>
      <c r="O39" s="1">
        <v>154991</v>
      </c>
      <c r="P39">
        <v>12</v>
      </c>
      <c r="Q39" s="3">
        <f>טבלה2[[#This Row],[Arrests12]]/טבלה2[[#This Row],[Attendance11]]</f>
        <v>7.7423850417120994E-5</v>
      </c>
      <c r="R39" s="1">
        <v>146668</v>
      </c>
      <c r="S39">
        <v>24</v>
      </c>
      <c r="T39" s="3">
        <f>טבלה2[[#This Row],[Arrests15]]/טבלה2[[#This Row],[Attendance14]]</f>
        <v>1.636348760465814E-4</v>
      </c>
      <c r="U39" s="1">
        <v>206075</v>
      </c>
      <c r="V39">
        <v>33</v>
      </c>
      <c r="W39" s="3">
        <f>טבלה2[[#This Row],[Arrests18]]/טבלה2[[#This Row],[Attendance17]]</f>
        <v>1.6013587286182215E-4</v>
      </c>
    </row>
    <row r="40" spans="1:23" x14ac:dyDescent="0.3">
      <c r="A40" t="s">
        <v>69</v>
      </c>
      <c r="B40" t="s">
        <v>69</v>
      </c>
      <c r="C40" s="1">
        <v>324780</v>
      </c>
      <c r="D40" s="1">
        <v>282</v>
      </c>
      <c r="E40" s="2">
        <f>טבלה2[[#This Row],[Arrests]]/טבלה2[[#This Row],[Attendance]]</f>
        <v>8.6828006650655832E-4</v>
      </c>
      <c r="F40" s="1">
        <v>233980</v>
      </c>
      <c r="G40" s="1">
        <v>162</v>
      </c>
      <c r="H40" s="3">
        <f>טבלה2[[#This Row],[Arrests3]]/טבלה2[[#This Row],[Attendance2]]</f>
        <v>6.9236686896315927E-4</v>
      </c>
      <c r="I40" s="1">
        <v>209644</v>
      </c>
      <c r="J40" s="1">
        <v>42</v>
      </c>
      <c r="K40" s="3">
        <f>טבלה2[[#This Row],[Arrests6]]/טבלה2[[#This Row],[Attendance5]]</f>
        <v>2.0033962336150809E-4</v>
      </c>
      <c r="L40" s="1">
        <v>220166</v>
      </c>
      <c r="M40">
        <v>90</v>
      </c>
      <c r="N40" s="3">
        <f>טבלה2[[#This Row],[Arrests9]]/טבלה2[[#This Row],[Attendance8]]</f>
        <v>4.0878246414069382E-4</v>
      </c>
      <c r="O40" s="1">
        <v>271143</v>
      </c>
      <c r="P40">
        <v>73</v>
      </c>
      <c r="Q40" s="3">
        <f>טבלה2[[#This Row],[Arrests12]]/טבלה2[[#This Row],[Attendance11]]</f>
        <v>2.6923062738112364E-4</v>
      </c>
      <c r="R40" s="1">
        <v>315245</v>
      </c>
      <c r="S40">
        <v>86</v>
      </c>
      <c r="T40" s="3">
        <f>טבלה2[[#This Row],[Arrests15]]/טבלה2[[#This Row],[Attendance14]]</f>
        <v>2.7280369236625483E-4</v>
      </c>
      <c r="U40" s="1">
        <v>268918</v>
      </c>
      <c r="V40">
        <v>50</v>
      </c>
      <c r="W40" s="3">
        <f>טבלה2[[#This Row],[Arrests18]]/טבלה2[[#This Row],[Attendance17]]</f>
        <v>1.8593028358086851E-4</v>
      </c>
    </row>
    <row r="41" spans="1:23" x14ac:dyDescent="0.3">
      <c r="A41" t="s">
        <v>70</v>
      </c>
      <c r="B41" t="s">
        <v>71</v>
      </c>
      <c r="C41" s="1">
        <v>223960</v>
      </c>
      <c r="D41" s="1">
        <v>60</v>
      </c>
      <c r="E41" s="2">
        <f>טבלה2[[#This Row],[Arrests]]/טבלה2[[#This Row],[Attendance]]</f>
        <v>2.679049830326844E-4</v>
      </c>
      <c r="F41" s="1">
        <v>280315</v>
      </c>
      <c r="G41" s="1">
        <v>50</v>
      </c>
      <c r="H41" s="3">
        <f>טבלה2[[#This Row],[Arrests3]]/טבלה2[[#This Row],[Attendance2]]</f>
        <v>1.783707614647807E-4</v>
      </c>
      <c r="I41" s="1">
        <v>388677</v>
      </c>
      <c r="J41" s="1">
        <v>97</v>
      </c>
      <c r="K41" s="3">
        <f>טבלה2[[#This Row],[Arrests6]]/טבלה2[[#This Row],[Attendance5]]</f>
        <v>2.4956454845540129E-4</v>
      </c>
      <c r="L41" s="1">
        <v>405545</v>
      </c>
      <c r="M41">
        <v>91</v>
      </c>
      <c r="N41" s="3">
        <f>טבלה2[[#This Row],[Arrests9]]/טבלה2[[#This Row],[Attendance8]]</f>
        <v>2.2438940191594028E-4</v>
      </c>
      <c r="O41" s="1">
        <v>464027</v>
      </c>
      <c r="P41">
        <v>95</v>
      </c>
      <c r="Q41" s="3">
        <f>טבלה2[[#This Row],[Arrests12]]/טבלה2[[#This Row],[Attendance11]]</f>
        <v>2.0472946617330456E-4</v>
      </c>
      <c r="R41" s="1">
        <v>394826</v>
      </c>
      <c r="S41">
        <v>95</v>
      </c>
      <c r="T41" s="3">
        <f>טבלה2[[#This Row],[Arrests15]]/טבלה2[[#This Row],[Attendance14]]</f>
        <v>2.4061232036390713E-4</v>
      </c>
      <c r="U41" s="1">
        <v>410805</v>
      </c>
      <c r="V41">
        <v>87</v>
      </c>
      <c r="W41" s="3">
        <f>טבלה2[[#This Row],[Arrests18]]/טבלה2[[#This Row],[Attendance17]]</f>
        <v>2.1177931135210137E-4</v>
      </c>
    </row>
    <row r="42" spans="1:23" x14ac:dyDescent="0.3">
      <c r="A42" t="s">
        <v>72</v>
      </c>
      <c r="B42" t="s">
        <v>71</v>
      </c>
      <c r="C42" s="1">
        <v>395519</v>
      </c>
      <c r="D42" s="1">
        <v>90</v>
      </c>
      <c r="E42" s="2">
        <f>טבלה2[[#This Row],[Arrests]]/טבלה2[[#This Row],[Attendance]]</f>
        <v>2.2754911900566092E-4</v>
      </c>
      <c r="F42" s="1">
        <v>380807</v>
      </c>
      <c r="G42" s="1">
        <v>80</v>
      </c>
      <c r="H42" s="3">
        <f>טבלה2[[#This Row],[Arrests3]]/טבלה2[[#This Row],[Attendance2]]</f>
        <v>2.1008017184558057E-4</v>
      </c>
      <c r="I42" s="1">
        <v>397615</v>
      </c>
      <c r="J42" s="1">
        <v>87</v>
      </c>
      <c r="K42" s="3">
        <f>טבלה2[[#This Row],[Arrests6]]/טבלה2[[#This Row],[Attendance5]]</f>
        <v>2.1880462256202609E-4</v>
      </c>
      <c r="L42" s="1">
        <v>610327</v>
      </c>
      <c r="M42">
        <v>64</v>
      </c>
      <c r="N42" s="3">
        <f>טבלה2[[#This Row],[Arrests9]]/טבלה2[[#This Row],[Attendance8]]</f>
        <v>1.0486181997519363E-4</v>
      </c>
      <c r="O42" s="1">
        <v>620751</v>
      </c>
      <c r="P42">
        <v>159</v>
      </c>
      <c r="Q42" s="3">
        <f>טבלה2[[#This Row],[Arrests12]]/טבלה2[[#This Row],[Attendance11]]</f>
        <v>2.5614135136310694E-4</v>
      </c>
      <c r="R42" s="1">
        <v>572525</v>
      </c>
      <c r="S42">
        <v>46</v>
      </c>
      <c r="T42" s="3">
        <f>טבלה2[[#This Row],[Arrests15]]/טבלה2[[#This Row],[Attendance14]]</f>
        <v>8.0345836426356932E-5</v>
      </c>
      <c r="U42" s="1">
        <v>571002</v>
      </c>
      <c r="V42">
        <v>67</v>
      </c>
      <c r="W42" s="3">
        <f>טבלה2[[#This Row],[Arrests18]]/טבלה2[[#This Row],[Attendance17]]</f>
        <v>1.1733759251281081E-4</v>
      </c>
    </row>
    <row r="43" spans="1:23" x14ac:dyDescent="0.3">
      <c r="A43" t="s">
        <v>73</v>
      </c>
      <c r="B43" t="s">
        <v>73</v>
      </c>
      <c r="C43" s="1">
        <v>290617</v>
      </c>
      <c r="D43" s="1">
        <v>208</v>
      </c>
      <c r="E43" s="2">
        <f>טבלה2[[#This Row],[Arrests]]/טבלה2[[#This Row],[Attendance]]</f>
        <v>7.157186262331522E-4</v>
      </c>
      <c r="F43" s="1">
        <v>296047</v>
      </c>
      <c r="G43" s="1">
        <v>146</v>
      </c>
      <c r="H43" s="3">
        <f>טבלה2[[#This Row],[Arrests3]]/טבלה2[[#This Row],[Attendance2]]</f>
        <v>4.9316493664857265E-4</v>
      </c>
      <c r="I43" s="1">
        <v>313222</v>
      </c>
      <c r="J43" s="1">
        <v>73</v>
      </c>
      <c r="K43" s="3">
        <f>טבלה2[[#This Row],[Arrests6]]/טבלה2[[#This Row],[Attendance5]]</f>
        <v>2.3306153463038994E-4</v>
      </c>
      <c r="L43" s="1">
        <v>320323</v>
      </c>
      <c r="M43">
        <v>47</v>
      </c>
      <c r="N43" s="3">
        <f>טבלה2[[#This Row],[Arrests9]]/טבלה2[[#This Row],[Attendance8]]</f>
        <v>1.4672689753779779E-4</v>
      </c>
      <c r="O43" s="1">
        <v>295468</v>
      </c>
      <c r="P43">
        <v>61</v>
      </c>
      <c r="Q43" s="3">
        <f>טבלה2[[#This Row],[Arrests12]]/טבלה2[[#This Row],[Attendance11]]</f>
        <v>2.0645213694884049E-4</v>
      </c>
      <c r="R43" s="1">
        <v>323017</v>
      </c>
      <c r="S43">
        <v>56</v>
      </c>
      <c r="T43" s="3">
        <f>טבלה2[[#This Row],[Arrests15]]/טבלה2[[#This Row],[Attendance14]]</f>
        <v>1.7336548850370104E-4</v>
      </c>
      <c r="U43" s="1">
        <v>309765</v>
      </c>
      <c r="V43">
        <v>61</v>
      </c>
      <c r="W43" s="3">
        <f>טבלה2[[#This Row],[Arrests18]]/טבלה2[[#This Row],[Attendance17]]</f>
        <v>1.9692347424660629E-4</v>
      </c>
    </row>
    <row r="44" spans="1:23" x14ac:dyDescent="0.3">
      <c r="A44" t="s">
        <v>74</v>
      </c>
      <c r="B44" t="s">
        <v>75</v>
      </c>
      <c r="C44" s="1">
        <v>211234</v>
      </c>
      <c r="D44" s="1">
        <v>57</v>
      </c>
      <c r="E44" s="2">
        <f>טבלה2[[#This Row],[Arrests]]/טבלה2[[#This Row],[Attendance]]</f>
        <v>2.6984292301428746E-4</v>
      </c>
      <c r="F44" s="1">
        <v>214979</v>
      </c>
      <c r="G44" s="1">
        <v>44</v>
      </c>
      <c r="H44" s="3">
        <f>טבלה2[[#This Row],[Arrests3]]/טבלה2[[#This Row],[Attendance2]]</f>
        <v>2.0467115392666261E-4</v>
      </c>
      <c r="I44" s="1">
        <v>286368</v>
      </c>
      <c r="J44" s="1">
        <v>49</v>
      </c>
      <c r="K44" s="3">
        <f>טבלה2[[#This Row],[Arrests6]]/טבלה2[[#This Row],[Attendance5]]</f>
        <v>1.7110850374343502E-4</v>
      </c>
      <c r="L44" s="1">
        <v>240377</v>
      </c>
      <c r="M44">
        <v>38</v>
      </c>
      <c r="N44" s="3">
        <f>טבלה2[[#This Row],[Arrests9]]/טבלה2[[#This Row],[Attendance8]]</f>
        <v>1.5808500813305765E-4</v>
      </c>
      <c r="O44" s="1">
        <v>299150</v>
      </c>
      <c r="P44">
        <v>34</v>
      </c>
      <c r="Q44" s="3">
        <f>טבלה2[[#This Row],[Arrests12]]/טבלה2[[#This Row],[Attendance11]]</f>
        <v>1.1365535684439245E-4</v>
      </c>
      <c r="R44" s="1">
        <v>381314</v>
      </c>
      <c r="S44">
        <v>56</v>
      </c>
      <c r="T44" s="3">
        <f>טבלה2[[#This Row],[Arrests15]]/טבלה2[[#This Row],[Attendance14]]</f>
        <v>1.4686059258249107E-4</v>
      </c>
      <c r="U44" s="1">
        <v>366419</v>
      </c>
      <c r="V44">
        <v>89</v>
      </c>
      <c r="W44" s="3">
        <f>טבלה2[[#This Row],[Arrests18]]/טבלה2[[#This Row],[Attendance17]]</f>
        <v>2.4289133478340371E-4</v>
      </c>
    </row>
    <row r="45" spans="1:23" x14ac:dyDescent="0.3">
      <c r="A45" t="s">
        <v>88</v>
      </c>
      <c r="B45" t="s">
        <v>88</v>
      </c>
      <c r="C45" s="1">
        <v>400760</v>
      </c>
      <c r="D45" s="1">
        <v>80</v>
      </c>
      <c r="E45" s="2">
        <f>טבלה2[[#This Row],[Arrests]]/טבלה2[[#This Row],[Attendance]]</f>
        <v>1.9962072063080147E-4</v>
      </c>
      <c r="F45" s="1">
        <v>342217</v>
      </c>
      <c r="G45" s="1">
        <v>49</v>
      </c>
      <c r="H45" s="3">
        <f>טבלה2[[#This Row],[Arrests3]]/טבלה2[[#This Row],[Attendance2]]</f>
        <v>1.4318400313251533E-4</v>
      </c>
      <c r="I45" s="1">
        <v>401098</v>
      </c>
      <c r="J45" s="1">
        <v>85</v>
      </c>
      <c r="K45" s="3">
        <f>טבלה2[[#This Row],[Arrests6]]/טבלה2[[#This Row],[Attendance5]]</f>
        <v>2.1191828430957023E-4</v>
      </c>
      <c r="L45" s="1">
        <v>426893</v>
      </c>
      <c r="M45">
        <v>104</v>
      </c>
      <c r="N45" s="3">
        <f>טבלה2[[#This Row],[Arrests9]]/טבלה2[[#This Row],[Attendance8]]</f>
        <v>2.4362076679636349E-4</v>
      </c>
      <c r="O45" s="1">
        <v>422960</v>
      </c>
      <c r="P45">
        <v>57</v>
      </c>
      <c r="Q45" s="3">
        <f>טבלה2[[#This Row],[Arrests12]]/טבלה2[[#This Row],[Attendance11]]</f>
        <v>1.3476451673917155E-4</v>
      </c>
      <c r="R45" s="1">
        <v>396924</v>
      </c>
      <c r="S45">
        <v>118</v>
      </c>
      <c r="T45" s="3">
        <f>טבלה2[[#This Row],[Arrests15]]/טבלה2[[#This Row],[Attendance14]]</f>
        <v>2.9728613034233253E-4</v>
      </c>
      <c r="U45" s="1">
        <v>389493</v>
      </c>
      <c r="V45">
        <v>54</v>
      </c>
      <c r="W45" s="3">
        <f>טבלה2[[#This Row],[Arrests18]]/טבלה2[[#This Row],[Attendance17]]</f>
        <v>1.3864177276613442E-4</v>
      </c>
    </row>
    <row r="46" spans="1:23" x14ac:dyDescent="0.3">
      <c r="A46" t="s">
        <v>76</v>
      </c>
      <c r="B46" t="s">
        <v>77</v>
      </c>
      <c r="C46" s="1">
        <v>209800</v>
      </c>
      <c r="D46" s="1">
        <v>67</v>
      </c>
      <c r="E46" s="2">
        <f>טבלה2[[#This Row],[Arrests]]/טבלה2[[#This Row],[Attendance]]</f>
        <v>3.1935176358436604E-4</v>
      </c>
      <c r="F46" s="1">
        <v>198881</v>
      </c>
      <c r="G46" s="1">
        <v>44</v>
      </c>
      <c r="H46" s="3">
        <f>טבלה2[[#This Row],[Arrests3]]/טבלה2[[#This Row],[Attendance2]]</f>
        <v>2.2123782563442459E-4</v>
      </c>
      <c r="I46" s="1">
        <v>216463</v>
      </c>
      <c r="J46" s="1">
        <v>30</v>
      </c>
      <c r="K46" s="3">
        <f>טבלה2[[#This Row],[Arrests6]]/טבלה2[[#This Row],[Attendance5]]</f>
        <v>1.3859181476741985E-4</v>
      </c>
      <c r="L46" s="1">
        <v>216248</v>
      </c>
      <c r="M46">
        <v>32</v>
      </c>
      <c r="N46" s="3">
        <f>טבלה2[[#This Row],[Arrests9]]/טבלה2[[#This Row],[Attendance8]]</f>
        <v>1.4797824719766194E-4</v>
      </c>
      <c r="O46" s="1">
        <v>230218</v>
      </c>
      <c r="P46">
        <v>35</v>
      </c>
      <c r="Q46" s="3">
        <f>טבלה2[[#This Row],[Arrests12]]/טבלה2[[#This Row],[Attendance11]]</f>
        <v>1.5202981521861888E-4</v>
      </c>
      <c r="R46" s="1">
        <v>255519</v>
      </c>
      <c r="S46">
        <v>35</v>
      </c>
      <c r="T46" s="3">
        <f>טבלה2[[#This Row],[Arrests15]]/טבלה2[[#This Row],[Attendance14]]</f>
        <v>1.3697611527909863E-4</v>
      </c>
      <c r="U46" s="1">
        <v>320761</v>
      </c>
      <c r="V46">
        <v>31</v>
      </c>
      <c r="W46" s="3">
        <f>טבלה2[[#This Row],[Arrests18]]/טבלה2[[#This Row],[Attendance17]]</f>
        <v>9.664516571528334E-5</v>
      </c>
    </row>
    <row r="47" spans="1:23" x14ac:dyDescent="0.3">
      <c r="A47" t="s">
        <v>78</v>
      </c>
      <c r="B47" t="s">
        <v>78</v>
      </c>
      <c r="C47" s="1">
        <v>291464</v>
      </c>
      <c r="D47" s="1">
        <v>43</v>
      </c>
      <c r="E47" s="2">
        <f>טבלה2[[#This Row],[Arrests]]/טבלה2[[#This Row],[Attendance]]</f>
        <v>1.4753108445639943E-4</v>
      </c>
      <c r="F47" s="1">
        <v>279446</v>
      </c>
      <c r="G47" s="1">
        <v>44</v>
      </c>
      <c r="H47" s="3">
        <f>טבלה2[[#This Row],[Arrests3]]/טבלה2[[#This Row],[Attendance2]]</f>
        <v>1.5745439190398145E-4</v>
      </c>
      <c r="I47" s="1">
        <v>238074</v>
      </c>
      <c r="J47" s="1">
        <v>40</v>
      </c>
      <c r="K47" s="3">
        <f>טבלה2[[#This Row],[Arrests6]]/טבלה2[[#This Row],[Attendance5]]</f>
        <v>1.6801498693683477E-4</v>
      </c>
      <c r="L47" s="1">
        <v>220362</v>
      </c>
      <c r="M47">
        <v>22</v>
      </c>
      <c r="N47" s="3">
        <f>טבלה2[[#This Row],[Arrests9]]/טבלה2[[#This Row],[Attendance8]]</f>
        <v>9.9835724852742304E-5</v>
      </c>
      <c r="O47" s="1">
        <v>195751</v>
      </c>
      <c r="P47">
        <v>10</v>
      </c>
      <c r="Q47" s="3">
        <f>טבלה2[[#This Row],[Arrests12]]/טבלה2[[#This Row],[Attendance11]]</f>
        <v>5.1085307354751699E-5</v>
      </c>
      <c r="R47" s="1">
        <v>190329</v>
      </c>
      <c r="S47">
        <v>19</v>
      </c>
      <c r="T47" s="3">
        <f>טבלה2[[#This Row],[Arrests15]]/טבלה2[[#This Row],[Attendance14]]</f>
        <v>9.9827141423535038E-5</v>
      </c>
      <c r="U47" s="1">
        <v>181607</v>
      </c>
      <c r="V47">
        <v>20</v>
      </c>
      <c r="W47" s="3">
        <f>טבלה2[[#This Row],[Arrests18]]/טבלה2[[#This Row],[Attendance17]]</f>
        <v>1.1012791357161343E-4</v>
      </c>
    </row>
    <row r="48" spans="1:23" x14ac:dyDescent="0.3">
      <c r="A48" t="s">
        <v>91</v>
      </c>
      <c r="B48" t="s">
        <v>92</v>
      </c>
      <c r="C48" s="1">
        <v>226964</v>
      </c>
      <c r="D48" s="1">
        <v>132</v>
      </c>
      <c r="E48" s="2">
        <f>טבלה2[[#This Row],[Arrests]]/טבלה2[[#This Row],[Attendance]]</f>
        <v>5.8159003189933202E-4</v>
      </c>
      <c r="F48" s="1">
        <v>330699</v>
      </c>
      <c r="G48" s="1">
        <v>192</v>
      </c>
      <c r="H48" s="3">
        <f>טבלה2[[#This Row],[Arrests3]]/טבלה2[[#This Row],[Attendance2]]</f>
        <v>5.8058839004653776E-4</v>
      </c>
      <c r="I48" s="1">
        <v>392031</v>
      </c>
      <c r="J48" s="1">
        <v>322</v>
      </c>
      <c r="K48" s="3">
        <f>טבלה2[[#This Row],[Arrests6]]/טבלה2[[#This Row],[Attendance5]]</f>
        <v>8.2136361665276474E-4</v>
      </c>
      <c r="L48" s="1">
        <v>369902</v>
      </c>
      <c r="M48">
        <v>195</v>
      </c>
      <c r="N48" s="3">
        <f>טבלה2[[#This Row],[Arrests9]]/טבלה2[[#This Row],[Attendance8]]</f>
        <v>5.2716665495185211E-4</v>
      </c>
      <c r="O48" s="1">
        <v>316087</v>
      </c>
      <c r="P48">
        <v>119</v>
      </c>
      <c r="Q48" s="3">
        <f>טבלה2[[#This Row],[Arrests12]]/טבלה2[[#This Row],[Attendance11]]</f>
        <v>3.7647862771958353E-4</v>
      </c>
      <c r="R48" s="1">
        <v>312762</v>
      </c>
      <c r="S48">
        <v>84</v>
      </c>
      <c r="T48" s="3">
        <f>טבלה2[[#This Row],[Arrests15]]/טבלה2[[#This Row],[Attendance14]]</f>
        <v>2.6857482686515625E-4</v>
      </c>
      <c r="U48" s="1">
        <v>505190</v>
      </c>
      <c r="V48">
        <v>119</v>
      </c>
      <c r="W48" s="3">
        <f>טבלה2[[#This Row],[Arrests18]]/טבלה2[[#This Row],[Attendance17]]</f>
        <v>2.3555493972564776E-4</v>
      </c>
    </row>
    <row r="49" spans="1:23" x14ac:dyDescent="0.3">
      <c r="A49" t="s">
        <v>89</v>
      </c>
      <c r="C49" s="1">
        <f>SUBTOTAL(109,טבלה2[Attendance])</f>
        <v>14048226</v>
      </c>
      <c r="D49" s="1">
        <f>SUBTOTAL(109,טבלה2[Arrests])</f>
        <v>4232</v>
      </c>
      <c r="E49" s="2">
        <f>טבלה2[[#Totals],[Arrests]]/טבלה2[[#Totals],[Attendance]]</f>
        <v>3.0124800099315033E-4</v>
      </c>
      <c r="F49" s="1">
        <f>SUBTOTAL(109,טבלה2[Attendance2])</f>
        <v>14133706</v>
      </c>
      <c r="G49" s="1">
        <f>SUBTOTAL(109,טבלה2[Arrests3])</f>
        <v>4297</v>
      </c>
      <c r="H49" s="11">
        <f>טבלה2[[#Totals],[Arrests3]]/טבלה2[[#Totals],[Attendance2]]</f>
        <v>3.040250023596076E-4</v>
      </c>
      <c r="I49" s="1">
        <f>SUBTOTAL(109,טבלה2[Attendance5])</f>
        <v>14588444</v>
      </c>
      <c r="J49" s="1">
        <f>SUBTOTAL(109,טבלה2[Arrests6])</f>
        <v>4327</v>
      </c>
      <c r="K49" s="11">
        <f>טבלה2[[#Totals],[Arrests6]]/טבלה2[[#Totals],[Attendance5]]</f>
        <v>2.9660462760798892E-4</v>
      </c>
      <c r="L49" s="1">
        <f>SUBTOTAL(109,טבלה2[Attendance8])</f>
        <v>15208735</v>
      </c>
      <c r="M49" s="1">
        <f>SUBTOTAL(109,טבלה2[Arrests9])</f>
        <v>3494</v>
      </c>
      <c r="N49" s="11">
        <f>טבלה2[[#Totals],[Arrests9]]/טבלה2[[#Totals],[Attendance8]]</f>
        <v>2.2973639819485315E-4</v>
      </c>
      <c r="O49" s="1">
        <f>SUBTOTAL(109,טבלה2[Attendance11])</f>
        <v>16046053</v>
      </c>
      <c r="P49" s="1">
        <f>SUBTOTAL(109,טבלה2[Arrests12])</f>
        <v>3496</v>
      </c>
      <c r="Q49" s="11">
        <f>טבלה2[[#Totals],[Arrests12]]/טבלה2[[#Totals],[Attendance11]]</f>
        <v>2.1787289372657563E-4</v>
      </c>
      <c r="R49" s="1">
        <f>SUBTOTAL(109,טבלה2[Attendance14])</f>
        <v>15917029</v>
      </c>
      <c r="S49" s="1">
        <f>SUBTOTAL(109,טבלה2[Arrests15])</f>
        <v>2962</v>
      </c>
      <c r="T49" s="11">
        <f>טבלה2[[#Totals],[Arrests15]]/טבלה2[[#Totals],[Attendance14]]</f>
        <v>1.8609000461078509E-4</v>
      </c>
      <c r="U49" s="1">
        <f>SUBTOTAL(109,טבלה2[Attendance17])</f>
        <v>16991232</v>
      </c>
      <c r="V49" s="1">
        <f>SUBTOTAL(109,טבלה2[Arrests18])</f>
        <v>2841</v>
      </c>
      <c r="W49" s="11">
        <f>טבלה2[[#Totals],[Arrests18]]/טבלה2[[#Totals],[Attendance17]]</f>
        <v>1.6720388492135239E-4</v>
      </c>
    </row>
    <row r="51" spans="1:23" ht="14.5" thickBot="1" x14ac:dyDescent="0.35"/>
    <row r="52" spans="1:23" x14ac:dyDescent="0.3">
      <c r="G52" s="20" t="s">
        <v>90</v>
      </c>
      <c r="H52" s="21"/>
      <c r="I52" s="21"/>
      <c r="J52" s="21"/>
      <c r="K52" s="21"/>
      <c r="L52" s="22"/>
    </row>
    <row r="53" spans="1:23" x14ac:dyDescent="0.3">
      <c r="G53" s="23"/>
      <c r="H53" s="24"/>
      <c r="I53" s="24"/>
      <c r="J53" s="24"/>
      <c r="K53" s="24"/>
      <c r="L53" s="25"/>
    </row>
    <row r="54" spans="1:23" ht="14.5" thickBot="1" x14ac:dyDescent="0.35">
      <c r="G54" s="26"/>
      <c r="H54" s="27"/>
      <c r="I54" s="27"/>
      <c r="J54" s="27"/>
      <c r="K54" s="27"/>
      <c r="L54" s="28"/>
    </row>
  </sheetData>
  <mergeCells count="9">
    <mergeCell ref="G52:L54"/>
    <mergeCell ref="A1:B1"/>
    <mergeCell ref="U1:W1"/>
    <mergeCell ref="C1:E1"/>
    <mergeCell ref="F1:H1"/>
    <mergeCell ref="I1:K1"/>
    <mergeCell ref="L1:N1"/>
    <mergeCell ref="O1:Q1"/>
    <mergeCell ref="R1:T1"/>
  </mergeCells>
  <conditionalFormatting sqref="B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B47 B2:B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B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W2">
    <cfRule type="colorScale" priority="12">
      <colorScale>
        <cfvo type="min"/>
        <cfvo type="max"/>
        <color rgb="FFFFEF9C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B8F9-49FF-418E-AD25-E4F39AEB611B}">
  <dimension ref="A1:V33"/>
  <sheetViews>
    <sheetView tabSelected="1" zoomScale="52" workbookViewId="0">
      <pane xSplit="1" topLeftCell="B1" activePane="topRight" state="frozen"/>
      <selection pane="topRight" activeCell="X10" sqref="X10"/>
    </sheetView>
  </sheetViews>
  <sheetFormatPr defaultRowHeight="14" x14ac:dyDescent="0.3"/>
  <cols>
    <col min="1" max="1" width="13.4140625" bestFit="1" customWidth="1"/>
    <col min="2" max="2" width="11.58203125" customWidth="1"/>
    <col min="3" max="3" width="8.33203125" customWidth="1"/>
    <col min="4" max="4" width="10.5" customWidth="1"/>
    <col min="5" max="5" width="12.58203125" customWidth="1"/>
    <col min="6" max="6" width="9.33203125" customWidth="1"/>
    <col min="7" max="7" width="11.5" customWidth="1"/>
    <col min="8" max="8" width="12.58203125" customWidth="1"/>
    <col min="9" max="9" width="9.33203125" customWidth="1"/>
    <col min="10" max="10" width="11.5" customWidth="1"/>
    <col min="11" max="11" width="12.58203125" customWidth="1"/>
    <col min="12" max="12" width="9.33203125" customWidth="1"/>
    <col min="13" max="13" width="12.5" customWidth="1"/>
    <col min="14" max="14" width="13.58203125" customWidth="1"/>
    <col min="15" max="15" width="10.33203125" customWidth="1"/>
    <col min="16" max="16" width="12.5" customWidth="1"/>
    <col min="17" max="17" width="13.58203125" customWidth="1"/>
    <col min="18" max="18" width="10.33203125" customWidth="1"/>
    <col min="19" max="19" width="12.5" customWidth="1"/>
    <col min="20" max="20" width="13.58203125" customWidth="1"/>
    <col min="21" max="21" width="10.33203125" customWidth="1"/>
    <col min="22" max="22" width="12.5" customWidth="1"/>
  </cols>
  <sheetData>
    <row r="1" spans="1:22" x14ac:dyDescent="0.3">
      <c r="B1" s="14" t="s">
        <v>79</v>
      </c>
      <c r="C1" s="14"/>
      <c r="D1" s="14"/>
      <c r="E1" s="15" t="s">
        <v>80</v>
      </c>
      <c r="F1" s="15"/>
      <c r="G1" s="15"/>
      <c r="H1" s="16" t="s">
        <v>81</v>
      </c>
      <c r="I1" s="16"/>
      <c r="J1" s="16"/>
      <c r="K1" s="17" t="s">
        <v>82</v>
      </c>
      <c r="L1" s="17"/>
      <c r="M1" s="17"/>
      <c r="N1" s="18" t="s">
        <v>83</v>
      </c>
      <c r="O1" s="18"/>
      <c r="P1" s="18"/>
      <c r="Q1" s="19" t="s">
        <v>84</v>
      </c>
      <c r="R1" s="19"/>
      <c r="S1" s="19"/>
      <c r="T1" s="13" t="s">
        <v>85</v>
      </c>
      <c r="U1" s="13"/>
      <c r="V1" s="13"/>
    </row>
    <row r="2" spans="1:22" x14ac:dyDescent="0.3">
      <c r="A2" t="s">
        <v>1</v>
      </c>
      <c r="B2" s="4" t="s">
        <v>2</v>
      </c>
      <c r="C2" s="4" t="s">
        <v>3</v>
      </c>
      <c r="D2" s="4" t="s">
        <v>98</v>
      </c>
      <c r="E2" s="10" t="s">
        <v>5</v>
      </c>
      <c r="F2" s="10" t="s">
        <v>6</v>
      </c>
      <c r="G2" s="10" t="s">
        <v>99</v>
      </c>
      <c r="H2" s="7" t="s">
        <v>8</v>
      </c>
      <c r="I2" s="7" t="s">
        <v>9</v>
      </c>
      <c r="J2" s="7" t="s">
        <v>100</v>
      </c>
      <c r="K2" s="5" t="s">
        <v>11</v>
      </c>
      <c r="L2" s="5" t="s">
        <v>12</v>
      </c>
      <c r="M2" s="5" t="s">
        <v>101</v>
      </c>
      <c r="N2" s="9" t="s">
        <v>14</v>
      </c>
      <c r="O2" s="9" t="s">
        <v>15</v>
      </c>
      <c r="P2" s="9" t="s">
        <v>102</v>
      </c>
      <c r="Q2" s="10" t="s">
        <v>17</v>
      </c>
      <c r="R2" s="10" t="s">
        <v>18</v>
      </c>
      <c r="S2" s="10" t="s">
        <v>103</v>
      </c>
      <c r="T2" s="8" t="s">
        <v>20</v>
      </c>
      <c r="U2" s="8" t="s">
        <v>21</v>
      </c>
      <c r="V2" s="8" t="s">
        <v>104</v>
      </c>
    </row>
    <row r="3" spans="1:22" x14ac:dyDescent="0.3">
      <c r="A3" t="s">
        <v>23</v>
      </c>
      <c r="B3" s="1">
        <f>SUMIF(טבלה2[City],טבלה8[[#This Row],[City]],טבלה2[Attendance])</f>
        <v>168339</v>
      </c>
      <c r="C3" s="1">
        <f>SUMIF(טבלה2[City],טבלה8[[#This Row],[City]],טבלה2[Arrests])</f>
        <v>55</v>
      </c>
      <c r="D3" s="2">
        <f>טבלה8[[#This Row],[Arrests]]/טבלה8[[#This Row],[Attendance]]</f>
        <v>3.2672167471590064E-4</v>
      </c>
      <c r="E3" s="1">
        <f>SUMIF(טבלה2[City],טבלה8[[#This Row],[City]],טבלה2[Attendance2])</f>
        <v>166129</v>
      </c>
      <c r="F3" s="1">
        <f>SUMIF(טבלה2[City],טבלה8[[#This Row],[City]],טבלה2[Arrests3])</f>
        <v>21</v>
      </c>
      <c r="G3" s="2">
        <f>טבלה8[[#This Row],[Arrests3]]/טבלה8[[#This Row],[Attendance2]]</f>
        <v>1.2640779153549349E-4</v>
      </c>
      <c r="H3" s="1">
        <f>SUMIF(טבלה2[City],טבלה8[[#This Row],[City]],טבלה2[Attendance5])</f>
        <v>207389</v>
      </c>
      <c r="I3">
        <f>SUMIF(טבלה2[City],טבלה8[[#This Row],[City]],טבלה2[Arrests6])</f>
        <v>54</v>
      </c>
      <c r="J3" s="2">
        <f>טבלה8[[#This Row],[Arrests6]]/טבלה8[[#This Row],[Attendance5]]</f>
        <v>2.6038025160447277E-4</v>
      </c>
      <c r="K3" s="1">
        <f>SUMIF(טבלה2[City],טבלה8[[#This Row],[City]],טבלה2[Attendance8])</f>
        <v>205464</v>
      </c>
      <c r="L3">
        <f>SUMIF(טבלה2[City],טבלה8[[#This Row],[City]],טבלה2[Arrests9])</f>
        <v>92</v>
      </c>
      <c r="M3" s="2">
        <f>טבלה8[[#This Row],[Arrests9]]/טבלה8[[#This Row],[Attendance8]]</f>
        <v>4.4776700541214031E-4</v>
      </c>
      <c r="N3" s="1">
        <f>SUMIF(טבלה2[City],טבלה8[[#This Row],[City]],טבלה2[Attendance11])</f>
        <v>172687</v>
      </c>
      <c r="O3">
        <f>SUMIF(טבלה2[City],טבלה8[[#This Row],[City]],טבלה2[Arrests12])</f>
        <v>62</v>
      </c>
      <c r="P3" s="2">
        <f>טבלה8[[#This Row],[Arrests12]]/טבלה8[[#This Row],[Attendance11]]</f>
        <v>3.5903107935165936E-4</v>
      </c>
      <c r="Q3" s="1">
        <f>SUMIF(טבלה2[City],טבלה8[[#This Row],[City]],טבלה2[Attendance14])</f>
        <v>147543</v>
      </c>
      <c r="R3">
        <f>SUMIF(טבלה2[City],טבלה8[[#This Row],[City]],טבלה2[Arrests15])</f>
        <v>64</v>
      </c>
      <c r="S3" s="2">
        <f>טבלה8[[#This Row],[Arrests15]]/טבלה8[[#This Row],[Attendance14]]</f>
        <v>4.3377184956250043E-4</v>
      </c>
      <c r="T3" s="1">
        <f>SUMIF(טבלה2[City],טבלה8[[#This Row],[City]],טבלה2[Attendance17])</f>
        <v>175037</v>
      </c>
      <c r="U3">
        <f>SUMIF(טבלה2[City],טבלה8[[#This Row],[City]],טבלה2[Arrests18])</f>
        <v>77</v>
      </c>
      <c r="V3" s="2">
        <f>טבלה8[[#This Row],[Arrests18]]/טבלה8[[#This Row],[Attendance17]]</f>
        <v>4.3990699109331169E-4</v>
      </c>
    </row>
    <row r="4" spans="1:22" x14ac:dyDescent="0.3">
      <c r="A4" t="s">
        <v>25</v>
      </c>
      <c r="B4" s="1">
        <f>SUMIF(טבלה2[City],טבלה8[[#This Row],[City]],טבלה2[Attendance])</f>
        <v>814819</v>
      </c>
      <c r="C4" s="1">
        <f>SUMIF(טבלה2[City],טבלה8[[#This Row],[City]],טבלה2[Arrests])</f>
        <v>541</v>
      </c>
      <c r="D4" s="2">
        <f>טבלה8[[#This Row],[Arrests]]/טבלה8[[#This Row],[Attendance]]</f>
        <v>6.6395113516007852E-4</v>
      </c>
      <c r="E4" s="1">
        <f>SUMIF(טבלה2[City],טבלה8[[#This Row],[City]],טבלה2[Attendance2])</f>
        <v>878622</v>
      </c>
      <c r="F4" s="1">
        <f>SUMIF(טבלה2[City],טבלה8[[#This Row],[City]],טבלה2[Arrests3])</f>
        <v>554</v>
      </c>
      <c r="G4" s="2">
        <f>טבלה8[[#This Row],[Arrests3]]/טבלה8[[#This Row],[Attendance2]]</f>
        <v>6.305328116072668E-4</v>
      </c>
      <c r="H4" s="1">
        <f>SUMIF(טבלה2[City],טבלה8[[#This Row],[City]],טבלה2[Attendance5])</f>
        <v>940322</v>
      </c>
      <c r="I4">
        <f>SUMIF(טבלה2[City],טבלה8[[#This Row],[City]],טבלה2[Arrests6])</f>
        <v>483</v>
      </c>
      <c r="J4" s="2">
        <f>טבלה8[[#This Row],[Arrests6]]/טבלה8[[#This Row],[Attendance5]]</f>
        <v>5.1365383347406525E-4</v>
      </c>
      <c r="K4" s="1">
        <f>SUMIF(טבלה2[City],טבלה8[[#This Row],[City]],טבלה2[Attendance8])</f>
        <v>908971</v>
      </c>
      <c r="L4">
        <f>SUMIF(טבלה2[City],טבלה8[[#This Row],[City]],טבלה2[Arrests9])</f>
        <v>397</v>
      </c>
      <c r="M4" s="2">
        <f>טבלה8[[#This Row],[Arrests9]]/טבלה8[[#This Row],[Attendance8]]</f>
        <v>4.3675760832853855E-4</v>
      </c>
      <c r="N4" s="1">
        <f>SUMIF(טבלה2[City],טבלה8[[#This Row],[City]],טבלה2[Attendance11])</f>
        <v>1098746</v>
      </c>
      <c r="O4">
        <f>SUMIF(טבלה2[City],טבלה8[[#This Row],[City]],טבלה2[Arrests12])</f>
        <v>358</v>
      </c>
      <c r="P4" s="2">
        <f>טבלה8[[#This Row],[Arrests12]]/טבלה8[[#This Row],[Attendance11]]</f>
        <v>3.2582598707981645E-4</v>
      </c>
      <c r="Q4" s="1">
        <f>SUMIF(טבלה2[City],טבלה8[[#This Row],[City]],טבלה2[Attendance14])</f>
        <v>1253730</v>
      </c>
      <c r="R4">
        <f>SUMIF(טבלה2[City],טבלה8[[#This Row],[City]],טבלה2[Arrests15])</f>
        <v>331</v>
      </c>
      <c r="S4" s="2">
        <f>טבלה8[[#This Row],[Arrests15]]/טבלה8[[#This Row],[Attendance14]]</f>
        <v>2.6401218763210581E-4</v>
      </c>
      <c r="T4" s="1">
        <f>SUMIF(טבלה2[City],טבלה8[[#This Row],[City]],טבלה2[Attendance17])</f>
        <v>1330277</v>
      </c>
      <c r="U4">
        <f>SUMIF(טבלה2[City],טבלה8[[#This Row],[City]],טבלה2[Arrests18])</f>
        <v>356</v>
      </c>
      <c r="V4" s="2">
        <f>טבלה8[[#This Row],[Arrests18]]/טבלה8[[#This Row],[Attendance17]]</f>
        <v>2.6761343690073574E-4</v>
      </c>
    </row>
    <row r="5" spans="1:22" x14ac:dyDescent="0.3">
      <c r="A5" t="s">
        <v>27</v>
      </c>
      <c r="B5" s="1">
        <f>SUMIF(טבלה2[City],טבלה8[[#This Row],[City]],טבלה2[Attendance])</f>
        <v>211120</v>
      </c>
      <c r="C5" s="1">
        <f>SUMIF(טבלה2[City],טבלה8[[#This Row],[City]],טבלה2[Arrests])</f>
        <v>79</v>
      </c>
      <c r="D5" s="2">
        <f>טבלה8[[#This Row],[Arrests]]/טבלה8[[#This Row],[Attendance]]</f>
        <v>3.741947707464949E-4</v>
      </c>
      <c r="E5" s="1">
        <f>SUMIF(טבלה2[City],טבלה8[[#This Row],[City]],טבלה2[Attendance2])</f>
        <v>191379</v>
      </c>
      <c r="F5" s="1">
        <f>SUMIF(טבלה2[City],טבלה8[[#This Row],[City]],טבלה2[Arrests3])</f>
        <v>37</v>
      </c>
      <c r="G5" s="2">
        <f>טבלה8[[#This Row],[Arrests3]]/טבלה8[[#This Row],[Attendance2]]</f>
        <v>1.9333364684735526E-4</v>
      </c>
      <c r="H5" s="1">
        <f>SUMIF(טבלה2[City],טבלה8[[#This Row],[City]],טבלה2[Attendance5])</f>
        <v>221054</v>
      </c>
      <c r="I5">
        <f>SUMIF(טבלה2[City],טבלה8[[#This Row],[City]],טבלה2[Arrests6])</f>
        <v>51</v>
      </c>
      <c r="J5" s="2">
        <f>טבלה8[[#This Row],[Arrests6]]/טבלה8[[#This Row],[Attendance5]]</f>
        <v>2.3071285749183459E-4</v>
      </c>
      <c r="K5" s="1">
        <f>SUMIF(טבלה2[City],טבלה8[[#This Row],[City]],טבלה2[Attendance8])</f>
        <v>179512</v>
      </c>
      <c r="L5">
        <f>SUMIF(טבלה2[City],טבלה8[[#This Row],[City]],טבלה2[Arrests9])</f>
        <v>45</v>
      </c>
      <c r="M5" s="2">
        <f>טבלה8[[#This Row],[Arrests9]]/טבלה8[[#This Row],[Attendance8]]</f>
        <v>2.5067962030393513E-4</v>
      </c>
      <c r="N5" s="1">
        <f>SUMIF(טבלה2[City],טבלה8[[#This Row],[City]],טבלה2[Attendance11])</f>
        <v>304763</v>
      </c>
      <c r="O5">
        <f>SUMIF(טבלה2[City],טבלה8[[#This Row],[City]],טבלה2[Arrests12])</f>
        <v>79</v>
      </c>
      <c r="P5" s="2">
        <f>טבלה8[[#This Row],[Arrests12]]/טבלה8[[#This Row],[Attendance11]]</f>
        <v>2.59217818435965E-4</v>
      </c>
      <c r="Q5" s="1">
        <f>SUMIF(טבלה2[City],טבלה8[[#This Row],[City]],טבלה2[Attendance14])</f>
        <v>341163</v>
      </c>
      <c r="R5">
        <f>SUMIF(טבלה2[City],טבלה8[[#This Row],[City]],טבלה2[Arrests15])</f>
        <v>64</v>
      </c>
      <c r="S5" s="2">
        <f>טבלה8[[#This Row],[Arrests15]]/טבלה8[[#This Row],[Attendance14]]</f>
        <v>1.8759361360991668E-4</v>
      </c>
      <c r="T5" s="1">
        <f>SUMIF(טבלה2[City],טבלה8[[#This Row],[City]],טבלה2[Attendance17])</f>
        <v>372145</v>
      </c>
      <c r="U5">
        <f>SUMIF(טבלה2[City],טבלה8[[#This Row],[City]],טבלה2[Arrests18])</f>
        <v>59</v>
      </c>
      <c r="V5" s="2">
        <f>טבלה8[[#This Row],[Arrests18]]/טבלה8[[#This Row],[Attendance17]]</f>
        <v>1.5854035389431539E-4</v>
      </c>
    </row>
    <row r="6" spans="1:22" x14ac:dyDescent="0.3">
      <c r="A6" t="s">
        <v>29</v>
      </c>
      <c r="B6" s="1">
        <f>SUMIF(טבלה2[City],טבלה8[[#This Row],[City]],טבלה2[Attendance])</f>
        <v>168757</v>
      </c>
      <c r="C6" s="1">
        <f>SUMIF(טבלה2[City],טבלה8[[#This Row],[City]],טבלה2[Arrests])</f>
        <v>149</v>
      </c>
      <c r="D6" s="2">
        <f>טבלה8[[#This Row],[Arrests]]/טבלה8[[#This Row],[Attendance]]</f>
        <v>8.8292633787042903E-4</v>
      </c>
      <c r="E6" s="1">
        <f>SUMIF(טבלה2[City],טבלה8[[#This Row],[City]],טבלה2[Attendance2])</f>
        <v>186002</v>
      </c>
      <c r="F6" s="1">
        <f>SUMIF(טבלה2[City],טבלה8[[#This Row],[City]],טבלה2[Arrests3])</f>
        <v>35</v>
      </c>
      <c r="G6" s="2">
        <f>טבלה8[[#This Row],[Arrests3]]/טבלה8[[#This Row],[Attendance2]]</f>
        <v>1.8817001967720776E-4</v>
      </c>
      <c r="H6" s="1">
        <f>SUMIF(טבלה2[City],טבלה8[[#This Row],[City]],טבלה2[Attendance5])</f>
        <v>171432</v>
      </c>
      <c r="I6">
        <f>SUMIF(טבלה2[City],טבלה8[[#This Row],[City]],טבלה2[Arrests6])</f>
        <v>213</v>
      </c>
      <c r="J6" s="2">
        <f>טבלה8[[#This Row],[Arrests6]]/טבלה8[[#This Row],[Attendance5]]</f>
        <v>1.2424751504969901E-3</v>
      </c>
      <c r="K6" s="1">
        <f>SUMIF(טבלה2[City],טבלה8[[#This Row],[City]],טבלה2[Attendance8])</f>
        <v>124558</v>
      </c>
      <c r="L6">
        <f>SUMIF(טבלה2[City],טבלה8[[#This Row],[City]],טבלה2[Arrests9])</f>
        <v>9</v>
      </c>
      <c r="M6" s="2">
        <f>טבלה8[[#This Row],[Arrests9]]/טבלה8[[#This Row],[Attendance8]]</f>
        <v>7.2255495431847015E-5</v>
      </c>
      <c r="N6" s="1">
        <f>SUMIF(טבלה2[City],טבלה8[[#This Row],[City]],טבלה2[Attendance11])</f>
        <v>125839</v>
      </c>
      <c r="O6">
        <f>SUMIF(טבלה2[City],טבלה8[[#This Row],[City]],טבלה2[Arrests12])</f>
        <v>19</v>
      </c>
      <c r="P6" s="2">
        <f>טבלה8[[#This Row],[Arrests12]]/טבלה8[[#This Row],[Attendance11]]</f>
        <v>1.5098657808787418E-4</v>
      </c>
      <c r="Q6" s="1">
        <f>SUMIF(טבלה2[City],טבלה8[[#This Row],[City]],טבלה2[Attendance14])</f>
        <v>102446</v>
      </c>
      <c r="R6">
        <f>SUMIF(טבלה2[City],טבלה8[[#This Row],[City]],טבלה2[Arrests15])</f>
        <v>24</v>
      </c>
      <c r="S6" s="2">
        <f>טבלה8[[#This Row],[Arrests15]]/טבלה8[[#This Row],[Attendance14]]</f>
        <v>2.3426976163051755E-4</v>
      </c>
      <c r="T6" s="1">
        <f>SUMIF(טבלה2[City],טבלה8[[#This Row],[City]],טבלה2[Attendance17])</f>
        <v>100156</v>
      </c>
      <c r="U6">
        <f>SUMIF(טבלה2[City],טבלה8[[#This Row],[City]],טבלה2[Arrests18])</f>
        <v>28</v>
      </c>
      <c r="V6" s="2">
        <f>טבלה8[[#This Row],[Arrests18]]/טבלה8[[#This Row],[Attendance17]]</f>
        <v>2.7956388034665921E-4</v>
      </c>
    </row>
    <row r="7" spans="1:22" x14ac:dyDescent="0.3">
      <c r="A7" t="s">
        <v>86</v>
      </c>
      <c r="B7" s="1">
        <f>SUMIF(טבלה2[City],טבלה8[[#This Row],[City]],טבלה2[Attendance])</f>
        <v>205263</v>
      </c>
      <c r="C7" s="1">
        <f>SUMIF(טבלה2[City],טבלה8[[#This Row],[City]],טבלה2[Arrests])</f>
        <v>34</v>
      </c>
      <c r="D7" s="2">
        <f>טבלה8[[#This Row],[Arrests]]/טבלה8[[#This Row],[Attendance]]</f>
        <v>1.6564115305729723E-4</v>
      </c>
      <c r="E7" s="1">
        <f>SUMIF(טבלה2[City],טבלה8[[#This Row],[City]],טבלה2[Attendance2])</f>
        <v>208022</v>
      </c>
      <c r="F7" s="1">
        <f>SUMIF(טבלה2[City],טבלה8[[#This Row],[City]],טבלה2[Arrests3])</f>
        <v>47</v>
      </c>
      <c r="G7" s="2">
        <f>טבלה8[[#This Row],[Arrests3]]/טבלה8[[#This Row],[Attendance2]]</f>
        <v>2.2593764121102577E-4</v>
      </c>
      <c r="H7" s="1">
        <f>SUMIF(טבלה2[City],טבלה8[[#This Row],[City]],טבלה2[Attendance5])</f>
        <v>198105</v>
      </c>
      <c r="I7">
        <f>SUMIF(טבלה2[City],טבלה8[[#This Row],[City]],טבלה2[Arrests6])</f>
        <v>55</v>
      </c>
      <c r="J7" s="2">
        <f>טבלה8[[#This Row],[Arrests6]]/טבלה8[[#This Row],[Attendance5]]</f>
        <v>2.7763054945609652E-4</v>
      </c>
      <c r="K7" s="1">
        <f>SUMIF(טבלה2[City],טבלה8[[#This Row],[City]],טבלה2[Attendance8])</f>
        <v>191448</v>
      </c>
      <c r="L7">
        <f>SUMIF(טבלה2[City],טבלה8[[#This Row],[City]],טבלה2[Arrests9])</f>
        <v>34</v>
      </c>
      <c r="M7" s="2">
        <f>טבלה8[[#This Row],[Arrests9]]/טבלה8[[#This Row],[Attendance8]]</f>
        <v>1.775939158413773E-4</v>
      </c>
      <c r="N7" s="1">
        <f>SUMIF(טבלה2[City],טבלה8[[#This Row],[City]],טבלה2[Attendance11])</f>
        <v>184043</v>
      </c>
      <c r="O7">
        <f>SUMIF(טבלה2[City],טבלה8[[#This Row],[City]],טבלה2[Arrests12])</f>
        <v>34</v>
      </c>
      <c r="P7" s="2">
        <f>טבלה8[[#This Row],[Arrests12]]/טבלה8[[#This Row],[Attendance11]]</f>
        <v>1.8473943589269898E-4</v>
      </c>
      <c r="Q7" s="1">
        <f>SUMIF(טבלה2[City],טבלה8[[#This Row],[City]],טבלה2[Attendance14])</f>
        <v>154337</v>
      </c>
      <c r="R7">
        <f>SUMIF(טבלה2[City],טבלה8[[#This Row],[City]],טבלה2[Arrests15])</f>
        <v>19</v>
      </c>
      <c r="S7" s="2">
        <f>טבלה8[[#This Row],[Arrests15]]/טבלה8[[#This Row],[Attendance14]]</f>
        <v>1.2310722639418935E-4</v>
      </c>
      <c r="T7" s="1">
        <f>SUMIF(טבלה2[City],טבלה8[[#This Row],[City]],טבלה2[Attendance17])</f>
        <v>177301</v>
      </c>
      <c r="U7">
        <f>SUMIF(טבלה2[City],טבלה8[[#This Row],[City]],טבלה2[Arrests18])</f>
        <v>21</v>
      </c>
      <c r="V7" s="2">
        <f>טבלה8[[#This Row],[Arrests18]]/טבלה8[[#This Row],[Attendance17]]</f>
        <v>1.1844264837761772E-4</v>
      </c>
    </row>
    <row r="8" spans="1:22" x14ac:dyDescent="0.3">
      <c r="A8" t="s">
        <v>93</v>
      </c>
      <c r="B8" s="1">
        <f>SUMIF(טבלה2[City],טבלה8[[#This Row],[City]],טבלה2[Attendance])</f>
        <v>310614</v>
      </c>
      <c r="C8" s="1">
        <f>SUMIF(טבלה2[City],טבלה8[[#This Row],[City]],טבלה2[Arrests])</f>
        <v>39</v>
      </c>
      <c r="D8" s="2">
        <f>טבלה8[[#This Row],[Arrests]]/טבלה8[[#This Row],[Attendance]]</f>
        <v>1.2555776623075586E-4</v>
      </c>
      <c r="E8" s="1">
        <f>SUMIF(טבלה2[City],טבלה8[[#This Row],[City]],טבלה2[Attendance2])</f>
        <v>308227</v>
      </c>
      <c r="F8" s="1">
        <f>SUMIF(טבלה2[City],טבלה8[[#This Row],[City]],טבלה2[Arrests3])</f>
        <v>140</v>
      </c>
      <c r="G8" s="2">
        <f>טבלה8[[#This Row],[Arrests3]]/טבלה8[[#This Row],[Attendance2]]</f>
        <v>4.54210695364131E-4</v>
      </c>
      <c r="H8" s="1">
        <f>SUMIF(טבלה2[City],טבלה8[[#This Row],[City]],טבלה2[Attendance5])</f>
        <v>404828</v>
      </c>
      <c r="I8">
        <f>SUMIF(טבלה2[City],טבלה8[[#This Row],[City]],טבלה2[Arrests6])</f>
        <v>164</v>
      </c>
      <c r="J8" s="2">
        <f>טבלה8[[#This Row],[Arrests6]]/טבלה8[[#This Row],[Attendance5]]</f>
        <v>4.0511031845623326E-4</v>
      </c>
      <c r="K8" s="1">
        <f>SUMIF(טבלה2[City],טבלה8[[#This Row],[City]],טבלה2[Attendance8])</f>
        <v>445572</v>
      </c>
      <c r="L8">
        <f>SUMIF(טבלה2[City],טבלה8[[#This Row],[City]],טבלה2[Arrests9])</f>
        <v>175</v>
      </c>
      <c r="M8" s="2">
        <f>טבלה8[[#This Row],[Arrests9]]/טבלה8[[#This Row],[Attendance8]]</f>
        <v>3.9275358415699369E-4</v>
      </c>
      <c r="N8" s="1">
        <f>SUMIF(טבלה2[City],טבלה8[[#This Row],[City]],טבלה2[Attendance11])</f>
        <v>398566</v>
      </c>
      <c r="O8">
        <f>SUMIF(טבלה2[City],טבלה8[[#This Row],[City]],טבלה2[Arrests12])</f>
        <v>118</v>
      </c>
      <c r="P8" s="2">
        <f>טבלה8[[#This Row],[Arrests12]]/טבלה8[[#This Row],[Attendance11]]</f>
        <v>2.9606138004747019E-4</v>
      </c>
      <c r="Q8" s="1">
        <f>SUMIF(טבלה2[City],טבלה8[[#This Row],[City]],טבלה2[Attendance14])</f>
        <v>385211</v>
      </c>
      <c r="R8">
        <f>SUMIF(טבלה2[City],טבלה8[[#This Row],[City]],טבלה2[Arrests15])</f>
        <v>90</v>
      </c>
      <c r="S8" s="2">
        <f>טבלה8[[#This Row],[Arrests15]]/טבלה8[[#This Row],[Attendance14]]</f>
        <v>2.3363818790221464E-4</v>
      </c>
      <c r="T8" s="1">
        <f>SUMIF(טבלה2[City],טבלה8[[#This Row],[City]],טבלה2[Attendance17])</f>
        <v>325810</v>
      </c>
      <c r="U8">
        <f>SUMIF(טבלה2[City],טבלה8[[#This Row],[City]],טבלה2[Arrests18])</f>
        <v>55</v>
      </c>
      <c r="V8" s="2">
        <f>טבלה8[[#This Row],[Arrests18]]/טבלה8[[#This Row],[Attendance17]]</f>
        <v>1.688100426629017E-4</v>
      </c>
    </row>
    <row r="9" spans="1:22" x14ac:dyDescent="0.3">
      <c r="A9" t="s">
        <v>30</v>
      </c>
      <c r="B9" s="1">
        <f>SUMIF(טבלה2[City],טבלה8[[#This Row],[City]],טבלה2[Attendance])</f>
        <v>350165</v>
      </c>
      <c r="C9" s="1">
        <f>SUMIF(טבלה2[City],טבלה8[[#This Row],[City]],טבלה2[Arrests])</f>
        <v>194</v>
      </c>
      <c r="D9" s="2">
        <f>טבלה8[[#This Row],[Arrests]]/טבלה8[[#This Row],[Attendance]]</f>
        <v>5.5402453129239069E-4</v>
      </c>
      <c r="E9" s="1">
        <f>SUMIF(טבלה2[City],טבלה8[[#This Row],[City]],טבלה2[Attendance2])</f>
        <v>302902</v>
      </c>
      <c r="F9" s="1">
        <f>SUMIF(טבלה2[City],טבלה8[[#This Row],[City]],טבלה2[Arrests3])</f>
        <v>190</v>
      </c>
      <c r="G9" s="2">
        <f>טבלה8[[#This Row],[Arrests3]]/טבלה8[[#This Row],[Attendance2]]</f>
        <v>6.2726558424837072E-4</v>
      </c>
      <c r="H9" s="1">
        <f>SUMIF(טבלה2[City],טבלה8[[#This Row],[City]],טבלה2[Attendance5])</f>
        <v>271543</v>
      </c>
      <c r="I9">
        <f>SUMIF(טבלה2[City],טבלה8[[#This Row],[City]],טבלה2[Arrests6])</f>
        <v>192</v>
      </c>
      <c r="J9" s="2">
        <f>טבלה8[[#This Row],[Arrests6]]/טבלה8[[#This Row],[Attendance5]]</f>
        <v>7.0707033508505103E-4</v>
      </c>
      <c r="K9" s="1">
        <f>SUMIF(טבלה2[City],טבלה8[[#This Row],[City]],טבלה2[Attendance8])</f>
        <v>263712</v>
      </c>
      <c r="L9">
        <f>SUMIF(טבלה2[City],טבלה8[[#This Row],[City]],טבלה2[Arrests9])</f>
        <v>149</v>
      </c>
      <c r="M9" s="2">
        <f>טבלה8[[#This Row],[Arrests9]]/טבלה8[[#This Row],[Attendance8]]</f>
        <v>5.6501031428224727E-4</v>
      </c>
      <c r="N9" s="1">
        <f>SUMIF(טבלה2[City],טבלה8[[#This Row],[City]],טבלה2[Attendance11])</f>
        <v>291396</v>
      </c>
      <c r="O9">
        <f>SUMIF(טבלה2[City],טבלה8[[#This Row],[City]],טבלה2[Arrests12])</f>
        <v>78</v>
      </c>
      <c r="P9" s="2">
        <f>טבלה8[[#This Row],[Arrests12]]/טבלה8[[#This Row],[Attendance11]]</f>
        <v>2.6767697566198578E-4</v>
      </c>
      <c r="Q9" s="1">
        <f>SUMIF(טבלה2[City],טבלה8[[#This Row],[City]],טבלה2[Attendance14])</f>
        <v>313963</v>
      </c>
      <c r="R9">
        <f>SUMIF(טבלה2[City],טבלה8[[#This Row],[City]],טבלה2[Arrests15])</f>
        <v>125</v>
      </c>
      <c r="S9" s="2">
        <f>טבלה8[[#This Row],[Arrests15]]/טבלה8[[#This Row],[Attendance14]]</f>
        <v>3.9813608609931745E-4</v>
      </c>
      <c r="T9" s="1">
        <f>SUMIF(טבלה2[City],טבלה8[[#This Row],[City]],טבלה2[Attendance17])</f>
        <v>280392</v>
      </c>
      <c r="U9">
        <f>SUMIF(טבלה2[City],טבלה8[[#This Row],[City]],טבלה2[Arrests18])</f>
        <v>90</v>
      </c>
      <c r="V9" s="2">
        <f>טבלה8[[#This Row],[Arrests18]]/טבלה8[[#This Row],[Attendance17]]</f>
        <v>3.2097920054780448E-4</v>
      </c>
    </row>
    <row r="10" spans="1:22" x14ac:dyDescent="0.3">
      <c r="A10" t="s">
        <v>32</v>
      </c>
      <c r="B10" s="1">
        <f>SUMIF(טבלה2[City],טבלה8[[#This Row],[City]],טבלה2[Attendance])</f>
        <v>343107</v>
      </c>
      <c r="C10" s="1">
        <f>SUMIF(טבלה2[City],טבלה8[[#This Row],[City]],טבלה2[Arrests])</f>
        <v>86</v>
      </c>
      <c r="D10" s="2">
        <f>טבלה8[[#This Row],[Arrests]]/טבלה8[[#This Row],[Attendance]]</f>
        <v>2.5065067165636377E-4</v>
      </c>
      <c r="E10" s="1">
        <f>SUMIF(טבלה2[City],טבלה8[[#This Row],[City]],טבלה2[Attendance2])</f>
        <v>335964</v>
      </c>
      <c r="F10" s="1">
        <f>SUMIF(טבלה2[City],טבלה8[[#This Row],[City]],טבלה2[Arrests3])</f>
        <v>132</v>
      </c>
      <c r="G10" s="2">
        <f>טבלה8[[#This Row],[Arrests3]]/טבלה8[[#This Row],[Attendance2]]</f>
        <v>3.9289923920420044E-4</v>
      </c>
      <c r="H10" s="1">
        <f>SUMIF(טבלה2[City],טבלה8[[#This Row],[City]],טבלה2[Attendance5])</f>
        <v>329912</v>
      </c>
      <c r="I10">
        <f>SUMIF(טבלה2[City],טבלה8[[#This Row],[City]],טבלה2[Arrests6])</f>
        <v>89</v>
      </c>
      <c r="J10" s="2">
        <f>טבלה8[[#This Row],[Arrests6]]/טבלה8[[#This Row],[Attendance5]]</f>
        <v>2.697689080724557E-4</v>
      </c>
      <c r="K10" s="1">
        <f>SUMIF(טבלה2[City],טבלה8[[#This Row],[City]],טבלה2[Attendance8])</f>
        <v>311581</v>
      </c>
      <c r="L10">
        <f>SUMIF(טבלה2[City],טבלה8[[#This Row],[City]],טבלה2[Arrests9])</f>
        <v>28</v>
      </c>
      <c r="M10" s="2">
        <f>טבלה8[[#This Row],[Arrests9]]/טבלה8[[#This Row],[Attendance8]]</f>
        <v>8.9864272853607891E-5</v>
      </c>
      <c r="N10" s="1">
        <f>SUMIF(טבלה2[City],טבלה8[[#This Row],[City]],טבלה2[Attendance11])</f>
        <v>337281</v>
      </c>
      <c r="O10">
        <f>SUMIF(טבלה2[City],טבלה8[[#This Row],[City]],טבלה2[Arrests12])</f>
        <v>43</v>
      </c>
      <c r="P10" s="2">
        <f>טבלה8[[#This Row],[Arrests12]]/טבלה8[[#This Row],[Attendance11]]</f>
        <v>1.2749013433902294E-4</v>
      </c>
      <c r="Q10" s="1">
        <f>SUMIF(טבלה2[City],טבלה8[[#This Row],[City]],טבלה2[Attendance14])</f>
        <v>345470</v>
      </c>
      <c r="R10">
        <f>SUMIF(טבלה2[City],טבלה8[[#This Row],[City]],טבלה2[Arrests15])</f>
        <v>34</v>
      </c>
      <c r="S10" s="2">
        <f>טבלה8[[#This Row],[Arrests15]]/טבלה8[[#This Row],[Attendance14]]</f>
        <v>9.8416649781457143E-5</v>
      </c>
      <c r="T10" s="1">
        <f>SUMIF(טבלה2[City],טבלה8[[#This Row],[City]],טבלה2[Attendance17])</f>
        <v>365549</v>
      </c>
      <c r="U10">
        <f>SUMIF(טבלה2[City],טבלה8[[#This Row],[City]],טבלה2[Arrests18])</f>
        <v>54</v>
      </c>
      <c r="V10" s="2">
        <f>טבלה8[[#This Row],[Arrests18]]/טבלה8[[#This Row],[Attendance17]]</f>
        <v>1.4772301387775647E-4</v>
      </c>
    </row>
    <row r="11" spans="1:22" x14ac:dyDescent="0.3">
      <c r="A11" t="s">
        <v>34</v>
      </c>
      <c r="B11" s="1">
        <f>SUMIF(טבלה2[City],טבלה8[[#This Row],[City]],טבלה2[Attendance])</f>
        <v>157507</v>
      </c>
      <c r="C11" s="1">
        <f>SUMIF(טבלה2[City],טבלה8[[#This Row],[City]],טבלה2[Arrests])</f>
        <v>38</v>
      </c>
      <c r="D11" s="2">
        <f>טבלה8[[#This Row],[Arrests]]/טבלה8[[#This Row],[Attendance]]</f>
        <v>2.4125911864234604E-4</v>
      </c>
      <c r="E11" s="1">
        <f>SUMIF(טבלה2[City],טבלה8[[#This Row],[City]],טבלה2[Attendance2])</f>
        <v>135915</v>
      </c>
      <c r="F11" s="1">
        <f>SUMIF(טבלה2[City],טבלה8[[#This Row],[City]],טבלה2[Arrests3])</f>
        <v>18</v>
      </c>
      <c r="G11" s="2">
        <f>טבלה8[[#This Row],[Arrests3]]/טבלה8[[#This Row],[Attendance2]]</f>
        <v>1.3243571349740648E-4</v>
      </c>
      <c r="H11" s="1">
        <f>SUMIF(טבלה2[City],טבלה8[[#This Row],[City]],טבלה2[Attendance5])</f>
        <v>144198</v>
      </c>
      <c r="I11">
        <f>SUMIF(טבלה2[City],טבלה8[[#This Row],[City]],טבלה2[Arrests6])</f>
        <v>57</v>
      </c>
      <c r="J11" s="2">
        <f>טבלה8[[#This Row],[Arrests6]]/טבלה8[[#This Row],[Attendance5]]</f>
        <v>3.9528980984479675E-4</v>
      </c>
      <c r="K11" s="1">
        <f>SUMIF(טבלה2[City],טבלה8[[#This Row],[City]],טבלה2[Attendance8])</f>
        <v>141770</v>
      </c>
      <c r="L11">
        <f>SUMIF(טבלה2[City],טבלה8[[#This Row],[City]],טבלה2[Arrests9])</f>
        <v>59</v>
      </c>
      <c r="M11" s="2">
        <f>טבלה8[[#This Row],[Arrests9]]/טבלה8[[#This Row],[Attendance8]]</f>
        <v>4.1616703110672218E-4</v>
      </c>
      <c r="N11" s="1">
        <f>SUMIF(טבלה2[City],טבלה8[[#This Row],[City]],טבלה2[Attendance11])</f>
        <v>94648</v>
      </c>
      <c r="O11">
        <f>SUMIF(טבלה2[City],טבלה8[[#This Row],[City]],טבלה2[Arrests12])</f>
        <v>16</v>
      </c>
      <c r="P11" s="2">
        <f>טבלה8[[#This Row],[Arrests12]]/טבלה8[[#This Row],[Attendance11]]</f>
        <v>1.690474178006931E-4</v>
      </c>
      <c r="Q11" s="1">
        <f>SUMIF(טבלה2[City],טבלה8[[#This Row],[City]],טבלה2[Attendance14])</f>
        <v>107452</v>
      </c>
      <c r="R11">
        <f>SUMIF(טבלה2[City],טבלה8[[#This Row],[City]],טבלה2[Arrests15])</f>
        <v>16</v>
      </c>
      <c r="S11" s="2">
        <f>טבלה8[[#This Row],[Arrests15]]/טבלה8[[#This Row],[Attendance14]]</f>
        <v>1.4890369653426647E-4</v>
      </c>
      <c r="T11" s="1">
        <f>SUMIF(טבלה2[City],טבלה8[[#This Row],[City]],טבלה2[Attendance17])</f>
        <v>136199</v>
      </c>
      <c r="U11">
        <f>SUMIF(טבלה2[City],טבלה8[[#This Row],[City]],טבלה2[Arrests18])</f>
        <v>15</v>
      </c>
      <c r="V11" s="2">
        <f>טבלה8[[#This Row],[Arrests18]]/טבלה8[[#This Row],[Attendance17]]</f>
        <v>1.1013296720240237E-4</v>
      </c>
    </row>
    <row r="12" spans="1:22" x14ac:dyDescent="0.3">
      <c r="A12" t="s">
        <v>36</v>
      </c>
      <c r="B12" s="1">
        <f>SUMIF(טבלה2[City],טבלה8[[#This Row],[City]],טבלה2[Attendance])</f>
        <v>258037</v>
      </c>
      <c r="C12" s="1">
        <f>SUMIF(טבלה2[City],טבלה8[[#This Row],[City]],טבלה2[Arrests])</f>
        <v>99</v>
      </c>
      <c r="D12" s="2">
        <f>טבלה8[[#This Row],[Arrests]]/טבלה8[[#This Row],[Attendance]]</f>
        <v>3.8366590837748076E-4</v>
      </c>
      <c r="E12" s="1">
        <f>SUMIF(טבלה2[City],טבלה8[[#This Row],[City]],טבלה2[Attendance2])</f>
        <v>288319</v>
      </c>
      <c r="F12" s="1">
        <f>SUMIF(טבלה2[City],טבלה8[[#This Row],[City]],טבלה2[Arrests3])</f>
        <v>31</v>
      </c>
      <c r="G12" s="2">
        <f>טבלה8[[#This Row],[Arrests3]]/טבלה8[[#This Row],[Attendance2]]</f>
        <v>1.0751979578175562E-4</v>
      </c>
      <c r="H12" s="1">
        <f>SUMIF(טבלה2[City],טבלה8[[#This Row],[City]],טבלה2[Attendance5])</f>
        <v>293597</v>
      </c>
      <c r="I12">
        <f>SUMIF(טבלה2[City],טבלה8[[#This Row],[City]],טבלה2[Arrests6])</f>
        <v>30</v>
      </c>
      <c r="J12" s="2">
        <f>טבלה8[[#This Row],[Arrests6]]/טבלה8[[#This Row],[Attendance5]]</f>
        <v>1.0218088059482896E-4</v>
      </c>
      <c r="K12" s="1">
        <f>SUMIF(טבלה2[City],טבלה8[[#This Row],[City]],טבלה2[Attendance8])</f>
        <v>272132</v>
      </c>
      <c r="L12">
        <f>SUMIF(טבלה2[City],טבלה8[[#This Row],[City]],טבלה2[Arrests9])</f>
        <v>39</v>
      </c>
      <c r="M12" s="2">
        <f>טבלה8[[#This Row],[Arrests9]]/טבלה8[[#This Row],[Attendance8]]</f>
        <v>1.4331280408037277E-4</v>
      </c>
      <c r="N12" s="1">
        <f>SUMIF(טבלה2[City],טבלה8[[#This Row],[City]],טבלה2[Attendance11])</f>
        <v>328298</v>
      </c>
      <c r="O12">
        <f>SUMIF(טבלה2[City],טבלה8[[#This Row],[City]],טבלה2[Arrests12])</f>
        <v>62</v>
      </c>
      <c r="P12" s="2">
        <f>טבלה8[[#This Row],[Arrests12]]/טבלה8[[#This Row],[Attendance11]]</f>
        <v>1.8885281055626291E-4</v>
      </c>
      <c r="Q12" s="1">
        <f>SUMIF(טבלה2[City],טבלה8[[#This Row],[City]],טבלה2[Attendance14])</f>
        <v>382692</v>
      </c>
      <c r="R12">
        <f>SUMIF(טבלה2[City],טבלה8[[#This Row],[City]],טבלה2[Arrests15])</f>
        <v>105</v>
      </c>
      <c r="S12" s="2">
        <f>טבלה8[[#This Row],[Arrests15]]/טבלה8[[#This Row],[Attendance14]]</f>
        <v>2.7437207989714965E-4</v>
      </c>
      <c r="T12" s="1">
        <f>SUMIF(טבלה2[City],טבלה8[[#This Row],[City]],טבלה2[Attendance17])</f>
        <v>344025</v>
      </c>
      <c r="U12">
        <f>SUMIF(טבלה2[City],טבלה8[[#This Row],[City]],טבלה2[Arrests18])</f>
        <v>28</v>
      </c>
      <c r="V12" s="2">
        <f>טבלה8[[#This Row],[Arrests18]]/טבלה8[[#This Row],[Attendance17]]</f>
        <v>8.1389433907419519E-5</v>
      </c>
    </row>
    <row r="13" spans="1:22" x14ac:dyDescent="0.3">
      <c r="A13" t="s">
        <v>38</v>
      </c>
      <c r="B13" s="1">
        <f>SUMIF(טבלה2[City],טבלה8[[#This Row],[City]],טבלה2[Attendance])</f>
        <v>443094</v>
      </c>
      <c r="C13" s="1">
        <f>SUMIF(טבלה2[City],טבלה8[[#This Row],[City]],טבלה2[Arrests])</f>
        <v>184</v>
      </c>
      <c r="D13" s="2">
        <f>טבלה8[[#This Row],[Arrests]]/טבלה8[[#This Row],[Attendance]]</f>
        <v>4.1526177289694739E-4</v>
      </c>
      <c r="E13" s="1">
        <f>SUMIF(טבלה2[City],טבלה8[[#This Row],[City]],טבלה2[Attendance2])</f>
        <v>500906</v>
      </c>
      <c r="F13" s="1">
        <f>SUMIF(טבלה2[City],טבלה8[[#This Row],[City]],טבלה2[Arrests3])</f>
        <v>159</v>
      </c>
      <c r="G13" s="2">
        <f>טבלה8[[#This Row],[Arrests3]]/טבלה8[[#This Row],[Attendance2]]</f>
        <v>3.174248262148986E-4</v>
      </c>
      <c r="H13" s="1">
        <f>SUMIF(טבלה2[City],טבלה8[[#This Row],[City]],טבלה2[Attendance5])</f>
        <v>635833</v>
      </c>
      <c r="I13">
        <f>SUMIF(טבלה2[City],טבלה8[[#This Row],[City]],טבלה2[Arrests6])</f>
        <v>168</v>
      </c>
      <c r="J13" s="2">
        <f>טבלה8[[#This Row],[Arrests6]]/טבלה8[[#This Row],[Attendance5]]</f>
        <v>2.6422032200279006E-4</v>
      </c>
      <c r="K13" s="1">
        <f>SUMIF(טבלה2[City],טבלה8[[#This Row],[City]],טבלה2[Attendance8])</f>
        <v>546434</v>
      </c>
      <c r="L13">
        <f>SUMIF(טבלה2[City],טבלה8[[#This Row],[City]],טבלה2[Arrests9])</f>
        <v>87</v>
      </c>
      <c r="M13" s="2">
        <f>טבלה8[[#This Row],[Arrests9]]/טבלה8[[#This Row],[Attendance8]]</f>
        <v>1.5921410453961503E-4</v>
      </c>
      <c r="N13" s="1">
        <f>SUMIF(טבלה2[City],טבלה8[[#This Row],[City]],טבלה2[Attendance11])</f>
        <v>618636</v>
      </c>
      <c r="O13">
        <f>SUMIF(טבלה2[City],טבלה8[[#This Row],[City]],טבלה2[Arrests12])</f>
        <v>64</v>
      </c>
      <c r="P13" s="2">
        <f>טבלה8[[#This Row],[Arrests12]]/טבלה8[[#This Row],[Attendance11]]</f>
        <v>1.0345340394028152E-4</v>
      </c>
      <c r="Q13" s="1">
        <f>SUMIF(טבלה2[City],טבלה8[[#This Row],[City]],טבלה2[Attendance14])</f>
        <v>614244</v>
      </c>
      <c r="R13">
        <f>SUMIF(טבלה2[City],טבלה8[[#This Row],[City]],טבלה2[Arrests15])</f>
        <v>42</v>
      </c>
      <c r="S13" s="2">
        <f>טבלה8[[#This Row],[Arrests15]]/טבלה8[[#This Row],[Attendance14]]</f>
        <v>6.8376736280696267E-5</v>
      </c>
      <c r="T13" s="1">
        <f>SUMIF(טבלה2[City],טבלה8[[#This Row],[City]],טבלה2[Attendance17])</f>
        <v>724363</v>
      </c>
      <c r="U13">
        <f>SUMIF(טבלה2[City],טבלה8[[#This Row],[City]],טבלה2[Arrests18])</f>
        <v>130</v>
      </c>
      <c r="V13" s="2">
        <f>טבלה8[[#This Row],[Arrests18]]/טבלה8[[#This Row],[Attendance17]]</f>
        <v>1.7946802915113003E-4</v>
      </c>
    </row>
    <row r="14" spans="1:22" x14ac:dyDescent="0.3">
      <c r="A14" t="s">
        <v>40</v>
      </c>
      <c r="B14" s="1">
        <f>SUMIF(טבלה2[City],טבלה8[[#This Row],[City]],טבלה2[Attendance])</f>
        <v>223049</v>
      </c>
      <c r="C14" s="1">
        <f>SUMIF(טבלה2[City],טבלה8[[#This Row],[City]],טבלה2[Arrests])</f>
        <v>31</v>
      </c>
      <c r="D14" s="2">
        <f>טבלה8[[#This Row],[Arrests]]/טבלה8[[#This Row],[Attendance]]</f>
        <v>1.3898291406820923E-4</v>
      </c>
      <c r="E14" s="1">
        <f>SUMIF(טבלה2[City],טבלה8[[#This Row],[City]],טבלה2[Attendance2])</f>
        <v>239357</v>
      </c>
      <c r="F14" s="1">
        <f>SUMIF(טבלה2[City],טבלה8[[#This Row],[City]],טבלה2[Arrests3])</f>
        <v>95</v>
      </c>
      <c r="G14" s="2">
        <f>טבלה8[[#This Row],[Arrests3]]/טבלה8[[#This Row],[Attendance2]]</f>
        <v>3.968966857037814E-4</v>
      </c>
      <c r="H14" s="1">
        <f>SUMIF(טבלה2[City],טבלה8[[#This Row],[City]],טבלה2[Attendance5])</f>
        <v>269387</v>
      </c>
      <c r="I14">
        <f>SUMIF(טבלה2[City],טבלה8[[#This Row],[City]],טבלה2[Arrests6])</f>
        <v>115</v>
      </c>
      <c r="J14" s="2">
        <f>טבלה8[[#This Row],[Arrests6]]/טבלה8[[#This Row],[Attendance5]]</f>
        <v>4.268951359939418E-4</v>
      </c>
      <c r="K14" s="1">
        <f>SUMIF(טבלה2[City],טבלה8[[#This Row],[City]],טבלה2[Attendance8])</f>
        <v>264636</v>
      </c>
      <c r="L14">
        <f>SUMIF(טבלה2[City],טבלה8[[#This Row],[City]],טבלה2[Arrests9])</f>
        <v>106</v>
      </c>
      <c r="M14" s="2">
        <f>טבלה8[[#This Row],[Arrests9]]/טבלה8[[#This Row],[Attendance8]]</f>
        <v>4.0055018969452382E-4</v>
      </c>
      <c r="N14" s="1">
        <f>SUMIF(טבלה2[City],טבלה8[[#This Row],[City]],טבלה2[Attendance11])</f>
        <v>349641</v>
      </c>
      <c r="O14">
        <f>SUMIF(טבלה2[City],טבלה8[[#This Row],[City]],טבלה2[Arrests12])</f>
        <v>128</v>
      </c>
      <c r="P14" s="2">
        <f>טבלה8[[#This Row],[Arrests12]]/טבלה8[[#This Row],[Attendance11]]</f>
        <v>3.660897892409643E-4</v>
      </c>
      <c r="Q14" s="1">
        <f>SUMIF(טבלה2[City],טבלה8[[#This Row],[City]],טבלה2[Attendance14])</f>
        <v>353324</v>
      </c>
      <c r="R14">
        <f>SUMIF(טבלה2[City],טבלה8[[#This Row],[City]],טבלה2[Arrests15])</f>
        <v>23</v>
      </c>
      <c r="S14" s="2">
        <f>טבלה8[[#This Row],[Arrests15]]/טבלה8[[#This Row],[Attendance14]]</f>
        <v>6.5096059141184857E-5</v>
      </c>
      <c r="T14" s="1">
        <f>SUMIF(טבלה2[City],טבלה8[[#This Row],[City]],טבלה2[Attendance17])</f>
        <v>351209</v>
      </c>
      <c r="U14">
        <f>SUMIF(טבלה2[City],טבלה8[[#This Row],[City]],טבלה2[Arrests18])</f>
        <v>20</v>
      </c>
      <c r="V14" s="2">
        <f>טבלה8[[#This Row],[Arrests18]]/טבלה8[[#This Row],[Attendance17]]</f>
        <v>5.6946148874317001E-5</v>
      </c>
    </row>
    <row r="15" spans="1:22" x14ac:dyDescent="0.3">
      <c r="A15" t="s">
        <v>42</v>
      </c>
      <c r="B15" s="1">
        <f>SUMIF(טבלה2[City],טבלה8[[#This Row],[City]],טבלה2[Attendance])</f>
        <v>1347669</v>
      </c>
      <c r="C15" s="1">
        <f>SUMIF(טבלה2[City],טבלה8[[#This Row],[City]],טבלה2[Arrests])</f>
        <v>57</v>
      </c>
      <c r="D15" s="2">
        <f>טבלה8[[#This Row],[Arrests]]/טבלה8[[#This Row],[Attendance]]</f>
        <v>4.2295252024050413E-5</v>
      </c>
      <c r="E15" s="1">
        <f>SUMIF(טבלה2[City],טבלה8[[#This Row],[City]],טבלה2[Attendance2])</f>
        <v>1256346</v>
      </c>
      <c r="F15" s="1">
        <f>SUMIF(טבלה2[City],טבלה8[[#This Row],[City]],טבלה2[Arrests3])</f>
        <v>212</v>
      </c>
      <c r="G15" s="2">
        <f>טבלה8[[#This Row],[Arrests3]]/טבלה8[[#This Row],[Attendance2]]</f>
        <v>1.6874332389325871E-4</v>
      </c>
      <c r="H15" s="1">
        <f>SUMIF(טבלה2[City],טבלה8[[#This Row],[City]],טבלה2[Attendance5])</f>
        <v>1195674</v>
      </c>
      <c r="I15">
        <f>SUMIF(טבלה2[City],טבלה8[[#This Row],[City]],טבלה2[Arrests6])</f>
        <v>152</v>
      </c>
      <c r="J15" s="2">
        <f>טבלה8[[#This Row],[Arrests6]]/טבלה8[[#This Row],[Attendance5]]</f>
        <v>1.2712495211905585E-4</v>
      </c>
      <c r="K15" s="1">
        <f>SUMIF(טבלה2[City],טבלה8[[#This Row],[City]],טבלה2[Attendance8])</f>
        <v>1153110</v>
      </c>
      <c r="L15">
        <f>SUMIF(טבלה2[City],טבלה8[[#This Row],[City]],טבלה2[Arrests9])</f>
        <v>212</v>
      </c>
      <c r="M15" s="2">
        <f>טבלה8[[#This Row],[Arrests9]]/טבלה8[[#This Row],[Attendance8]]</f>
        <v>1.8385063003529585E-4</v>
      </c>
      <c r="N15" s="1">
        <f>SUMIF(טבלה2[City],טבלה8[[#This Row],[City]],טבלה2[Attendance11])</f>
        <v>1216868</v>
      </c>
      <c r="O15">
        <f>SUMIF(טבלה2[City],טבלה8[[#This Row],[City]],טבלה2[Arrests12])</f>
        <v>427</v>
      </c>
      <c r="P15" s="2">
        <f>טבלה8[[#This Row],[Arrests12]]/טבלה8[[#This Row],[Attendance11]]</f>
        <v>3.5090083723131842E-4</v>
      </c>
      <c r="Q15" s="1">
        <f>SUMIF(טבלה2[City],טבלה8[[#This Row],[City]],טבלה2[Attendance14])</f>
        <v>1206431</v>
      </c>
      <c r="R15">
        <f>SUMIF(טבלה2[City],טבלה8[[#This Row],[City]],טבלה2[Arrests15])</f>
        <v>306</v>
      </c>
      <c r="S15" s="2">
        <f>טבלה8[[#This Row],[Arrests15]]/טבלה8[[#This Row],[Attendance14]]</f>
        <v>2.5364069723009437E-4</v>
      </c>
      <c r="T15" s="1">
        <f>SUMIF(טבלה2[City],טבלה8[[#This Row],[City]],טבלה2[Attendance17])</f>
        <v>1288752</v>
      </c>
      <c r="U15">
        <f>SUMIF(טבלה2[City],טבלה8[[#This Row],[City]],טבלה2[Arrests18])</f>
        <v>289</v>
      </c>
      <c r="V15" s="2">
        <f>טבלה8[[#This Row],[Arrests18]]/טבלה8[[#This Row],[Attendance17]]</f>
        <v>2.2424795461035171E-4</v>
      </c>
    </row>
    <row r="16" spans="1:22" x14ac:dyDescent="0.3">
      <c r="A16" t="s">
        <v>44</v>
      </c>
      <c r="B16" s="1">
        <f>SUMIF(טבלה2[City],טבלה8[[#This Row],[City]],טבלה2[Attendance])</f>
        <v>2920834</v>
      </c>
      <c r="C16" s="1">
        <f>SUMIF(טבלה2[City],טבלה8[[#This Row],[City]],טבלה2[Arrests])</f>
        <v>923</v>
      </c>
      <c r="D16" s="2">
        <f>טבלה8[[#This Row],[Arrests]]/טבלה8[[#This Row],[Attendance]]</f>
        <v>3.1600563400727328E-4</v>
      </c>
      <c r="E16" s="1">
        <f>SUMIF(טבלה2[City],טבלה8[[#This Row],[City]],טבלה2[Attendance2])</f>
        <v>3007169</v>
      </c>
      <c r="F16" s="1">
        <f>SUMIF(טבלה2[City],טבלה8[[#This Row],[City]],טבלה2[Arrests3])</f>
        <v>1189</v>
      </c>
      <c r="G16" s="2">
        <f>טבלה8[[#This Row],[Arrests3]]/טבלה8[[#This Row],[Attendance2]]</f>
        <v>3.953884866464106E-4</v>
      </c>
      <c r="H16" s="1">
        <f>SUMIF(טבלה2[City],טבלה8[[#This Row],[City]],טבלה2[Attendance5])</f>
        <v>2714818</v>
      </c>
      <c r="I16">
        <f>SUMIF(טבלה2[City],טבלה8[[#This Row],[City]],טבלה2[Arrests6])</f>
        <v>1042</v>
      </c>
      <c r="J16" s="2">
        <f>טבלה8[[#This Row],[Arrests6]]/טבלה8[[#This Row],[Attendance5]]</f>
        <v>3.8381946782436245E-4</v>
      </c>
      <c r="K16" s="1">
        <f>SUMIF(טבלה2[City],טבלה8[[#This Row],[City]],טבלה2[Attendance8])</f>
        <v>3343380</v>
      </c>
      <c r="L16">
        <f>SUMIF(טבלה2[City],טבלה8[[#This Row],[City]],טבלה2[Arrests9])</f>
        <v>820</v>
      </c>
      <c r="M16" s="2">
        <f>טבלה8[[#This Row],[Arrests9]]/טבלה8[[#This Row],[Attendance8]]</f>
        <v>2.4526078399703295E-4</v>
      </c>
      <c r="N16" s="1">
        <f>SUMIF(טבלה2[City],טבלה8[[#This Row],[City]],טבלה2[Attendance11])</f>
        <v>3232212</v>
      </c>
      <c r="O16">
        <f>SUMIF(טבלה2[City],טבלה8[[#This Row],[City]],טבלה2[Arrests12])</f>
        <v>796</v>
      </c>
      <c r="P16" s="2">
        <f>טבלה8[[#This Row],[Arrests12]]/טבלה8[[#This Row],[Attendance11]]</f>
        <v>2.4627097479992029E-4</v>
      </c>
      <c r="Q16" s="1">
        <f>SUMIF(טבלה2[City],טבלה8[[#This Row],[City]],טבלה2[Attendance14])</f>
        <v>3052494</v>
      </c>
      <c r="R16">
        <f>SUMIF(טבלה2[City],טבלה8[[#This Row],[City]],טבלה2[Arrests15])</f>
        <v>549</v>
      </c>
      <c r="S16" s="2">
        <f>טבלה8[[#This Row],[Arrests15]]/טבלה8[[#This Row],[Attendance14]]</f>
        <v>1.798529333718592E-4</v>
      </c>
      <c r="T16" s="1">
        <f>SUMIF(טבלה2[City],טבלה8[[#This Row],[City]],טבלה2[Attendance17])</f>
        <v>3341939</v>
      </c>
      <c r="U16">
        <f>SUMIF(טבלה2[City],טבלה8[[#This Row],[City]],טבלה2[Arrests18])</f>
        <v>541</v>
      </c>
      <c r="V16" s="2">
        <f>טבלה8[[#This Row],[Arrests18]]/טבלה8[[#This Row],[Attendance17]]</f>
        <v>1.6188206906230185E-4</v>
      </c>
    </row>
    <row r="17" spans="1:22" x14ac:dyDescent="0.3">
      <c r="A17" t="s">
        <v>54</v>
      </c>
      <c r="B17" s="1">
        <f>SUMIF(טבלה2[City],טבלה8[[#This Row],[City]],טבלה2[Attendance])</f>
        <v>161884</v>
      </c>
      <c r="C17" s="1">
        <f>SUMIF(טבלה2[City],טבלה8[[#This Row],[City]],טבלה2[Arrests])</f>
        <v>1</v>
      </c>
      <c r="D17" s="2">
        <f>טבלה8[[#This Row],[Arrests]]/טבלה8[[#This Row],[Attendance]]</f>
        <v>6.1772627313384893E-6</v>
      </c>
      <c r="E17" s="1">
        <f>SUMIF(טבלה2[City],טבלה8[[#This Row],[City]],טבלה2[Attendance2])</f>
        <v>176681</v>
      </c>
      <c r="F17" s="1">
        <f>SUMIF(טבלה2[City],טבלה8[[#This Row],[City]],טבלה2[Arrests3])</f>
        <v>7</v>
      </c>
      <c r="G17" s="2">
        <f>טבלה8[[#This Row],[Arrests3]]/טבלה8[[#This Row],[Attendance2]]</f>
        <v>3.9619427103084089E-5</v>
      </c>
      <c r="H17" s="1">
        <f>SUMIF(טבלה2[City],טבלה8[[#This Row],[City]],טבלה2[Attendance5])</f>
        <v>186451</v>
      </c>
      <c r="I17">
        <f>SUMIF(טבלה2[City],טבלה8[[#This Row],[City]],טבלה2[Arrests6])</f>
        <v>9</v>
      </c>
      <c r="J17" s="2">
        <f>טבלה8[[#This Row],[Arrests6]]/טבלה8[[#This Row],[Attendance5]]</f>
        <v>4.8270054866962363E-5</v>
      </c>
      <c r="K17" s="1">
        <f>SUMIF(טבלה2[City],טבלה8[[#This Row],[City]],טבלה2[Attendance8])</f>
        <v>195255</v>
      </c>
      <c r="L17">
        <f>SUMIF(טבלה2[City],טבלה8[[#This Row],[City]],טבלה2[Arrests9])</f>
        <v>3</v>
      </c>
      <c r="M17" s="2">
        <f>טבלה8[[#This Row],[Arrests9]]/טבלה8[[#This Row],[Attendance8]]</f>
        <v>1.5364523315664132E-5</v>
      </c>
      <c r="N17" s="1">
        <f>SUMIF(טבלה2[City],טבלה8[[#This Row],[City]],טבלה2[Attendance11])</f>
        <v>204011</v>
      </c>
      <c r="O17">
        <f>SUMIF(טבלה2[City],טבלה8[[#This Row],[City]],טבלה2[Arrests12])</f>
        <v>10</v>
      </c>
      <c r="P17" s="2">
        <f>טבלה8[[#This Row],[Arrests12]]/טבלה8[[#This Row],[Attendance11]]</f>
        <v>4.9016964771507421E-5</v>
      </c>
      <c r="Q17" s="1">
        <f>SUMIF(טבלה2[City],טבלה8[[#This Row],[City]],טבלה2[Attendance14])</f>
        <v>188885</v>
      </c>
      <c r="R17">
        <f>SUMIF(טבלה2[City],טבלה8[[#This Row],[City]],טבלה2[Arrests15])</f>
        <v>23</v>
      </c>
      <c r="S17" s="2">
        <f>טבלה8[[#This Row],[Arrests15]]/טבלה8[[#This Row],[Attendance14]]</f>
        <v>1.217672128543823E-4</v>
      </c>
      <c r="T17" s="1">
        <f>SUMIF(טבלה2[City],טבלה8[[#This Row],[City]],טבלה2[Attendance17])</f>
        <v>181197</v>
      </c>
      <c r="U17">
        <f>SUMIF(טבלה2[City],טבלה8[[#This Row],[City]],טבלה2[Arrests18])</f>
        <v>13</v>
      </c>
      <c r="V17" s="2">
        <f>טבלה8[[#This Row],[Arrests18]]/טבלה8[[#This Row],[Attendance17]]</f>
        <v>7.1745117192889506E-5</v>
      </c>
    </row>
    <row r="18" spans="1:22" x14ac:dyDescent="0.3">
      <c r="A18" t="s">
        <v>56</v>
      </c>
      <c r="B18" s="1">
        <f>SUMIF(טבלה2[City],טבלה8[[#This Row],[City]],טבלה2[Attendance])</f>
        <v>1359749</v>
      </c>
      <c r="C18" s="1">
        <f>SUMIF(טבלה2[City],טבלה8[[#This Row],[City]],טבלה2[Arrests])</f>
        <v>92</v>
      </c>
      <c r="D18" s="2">
        <f>טבלה8[[#This Row],[Arrests]]/טבלה8[[#This Row],[Attendance]]</f>
        <v>6.7659545989737807E-5</v>
      </c>
      <c r="E18" s="1">
        <f>SUMIF(טבלה2[City],טבלה8[[#This Row],[City]],טבלה2[Attendance2])</f>
        <v>1394058</v>
      </c>
      <c r="F18" s="1">
        <f>SUMIF(טבלה2[City],טבלה8[[#This Row],[City]],טבלה2[Arrests3])</f>
        <v>111</v>
      </c>
      <c r="G18" s="2">
        <f>טבלה8[[#This Row],[Arrests3]]/טבלה8[[#This Row],[Attendance2]]</f>
        <v>7.9623659847725132E-5</v>
      </c>
      <c r="H18" s="1">
        <f>SUMIF(טבלה2[City],טבלה8[[#This Row],[City]],טבלה2[Attendance5])</f>
        <v>1495574</v>
      </c>
      <c r="I18">
        <f>SUMIF(טבלה2[City],טבלה8[[#This Row],[City]],טבלה2[Arrests6])</f>
        <v>125</v>
      </c>
      <c r="J18" s="2">
        <f>טבלה8[[#This Row],[Arrests6]]/טבלה8[[#This Row],[Attendance5]]</f>
        <v>8.3579949905521219E-5</v>
      </c>
      <c r="K18" s="1">
        <f>SUMIF(טבלה2[City],טבלה8[[#This Row],[City]],טבלה2[Attendance8])</f>
        <v>1653204</v>
      </c>
      <c r="L18">
        <f>SUMIF(טבלה2[City],טבלה8[[#This Row],[City]],טבלה2[Arrests9])</f>
        <v>102</v>
      </c>
      <c r="M18" s="2">
        <f>טבלה8[[#This Row],[Arrests9]]/טבלה8[[#This Row],[Attendance8]]</f>
        <v>6.1698374792221649E-5</v>
      </c>
      <c r="N18" s="1">
        <f>SUMIF(טבלה2[City],טבלה8[[#This Row],[City]],טבלה2[Attendance11])</f>
        <v>1842979</v>
      </c>
      <c r="O18">
        <f>SUMIF(טבלה2[City],טבלה8[[#This Row],[City]],טבלה2[Arrests12])</f>
        <v>130</v>
      </c>
      <c r="P18" s="2">
        <f>טבלה8[[#This Row],[Arrests12]]/טבלה8[[#This Row],[Attendance11]]</f>
        <v>7.0537971403906389E-5</v>
      </c>
      <c r="Q18" s="1">
        <f>SUMIF(טבלה2[City],טבלה8[[#This Row],[City]],טבלה2[Attendance14])</f>
        <v>1526889</v>
      </c>
      <c r="R18">
        <f>SUMIF(טבלה2[City],טבלה8[[#This Row],[City]],טבלה2[Arrests15])</f>
        <v>74</v>
      </c>
      <c r="S18" s="2">
        <f>טבלה8[[#This Row],[Arrests15]]/טבלה8[[#This Row],[Attendance14]]</f>
        <v>4.846455767249617E-5</v>
      </c>
      <c r="T18" s="1">
        <f>SUMIF(טבלה2[City],טבלה8[[#This Row],[City]],טבלה2[Attendance17])</f>
        <v>1753847</v>
      </c>
      <c r="U18">
        <f>SUMIF(טבלה2[City],טבלה8[[#This Row],[City]],טבלה2[Arrests18])</f>
        <v>124</v>
      </c>
      <c r="V18" s="2">
        <f>טבלה8[[#This Row],[Arrests18]]/טבלה8[[#This Row],[Attendance17]]</f>
        <v>7.0701720275485834E-5</v>
      </c>
    </row>
    <row r="19" spans="1:22" x14ac:dyDescent="0.3">
      <c r="A19" t="s">
        <v>59</v>
      </c>
      <c r="B19" s="1">
        <f>SUMIF(טבלה2[City],טבלה8[[#This Row],[City]],טבלה2[Attendance])</f>
        <v>321219</v>
      </c>
      <c r="C19" s="1">
        <f>SUMIF(טבלה2[City],טבלה8[[#This Row],[City]],טבלה2[Arrests])</f>
        <v>110</v>
      </c>
      <c r="D19" s="2">
        <f>טבלה8[[#This Row],[Arrests]]/טבלה8[[#This Row],[Attendance]]</f>
        <v>3.4244549668606156E-4</v>
      </c>
      <c r="E19" s="1">
        <f>SUMIF(טבלה2[City],טבלה8[[#This Row],[City]],טבלה2[Attendance2])</f>
        <v>378210</v>
      </c>
      <c r="F19" s="1">
        <f>SUMIF(טבלה2[City],טבלה8[[#This Row],[City]],טבלה2[Arrests3])</f>
        <v>86</v>
      </c>
      <c r="G19" s="2">
        <f>טבלה8[[#This Row],[Arrests3]]/טבלה8[[#This Row],[Attendance2]]</f>
        <v>2.273869014568626E-4</v>
      </c>
      <c r="H19" s="1">
        <f>SUMIF(טבלה2[City],טבלה8[[#This Row],[City]],טבלה2[Attendance5])</f>
        <v>374249</v>
      </c>
      <c r="I19">
        <f>SUMIF(טבלה2[City],טבלה8[[#This Row],[City]],טבלה2[Arrests6])</f>
        <v>36</v>
      </c>
      <c r="J19" s="2">
        <f>טבלה8[[#This Row],[Arrests6]]/טבלה8[[#This Row],[Attendance5]]</f>
        <v>9.6192641797306072E-5</v>
      </c>
      <c r="K19" s="1">
        <f>SUMIF(טבלה2[City],טבלה8[[#This Row],[City]],טבלה2[Attendance8])</f>
        <v>391252</v>
      </c>
      <c r="L19">
        <f>SUMIF(טבלה2[City],טבלה8[[#This Row],[City]],טבלה2[Arrests9])</f>
        <v>14</v>
      </c>
      <c r="M19" s="2">
        <f>טבלה8[[#This Row],[Arrests9]]/טבלה8[[#This Row],[Attendance8]]</f>
        <v>3.5782564689765167E-5</v>
      </c>
      <c r="N19" s="1">
        <f>SUMIF(טבלה2[City],טבלה8[[#This Row],[City]],טבלה2[Attendance11])</f>
        <v>338177</v>
      </c>
      <c r="O19">
        <f>SUMIF(טבלה2[City],טבלה8[[#This Row],[City]],טבלה2[Arrests12])</f>
        <v>31</v>
      </c>
      <c r="P19" s="2">
        <f>טבלה8[[#This Row],[Arrests12]]/טבלה8[[#This Row],[Attendance11]]</f>
        <v>9.1667972688858198E-5</v>
      </c>
      <c r="Q19" s="1">
        <f>SUMIF(טבלה2[City],טבלה8[[#This Row],[City]],טבלה2[Attendance14])</f>
        <v>351209</v>
      </c>
      <c r="R19">
        <f>SUMIF(טבלה2[City],טבלה8[[#This Row],[City]],טבלה2[Arrests15])</f>
        <v>19</v>
      </c>
      <c r="S19" s="2">
        <f>טבלה8[[#This Row],[Arrests15]]/טבלה8[[#This Row],[Attendance14]]</f>
        <v>5.4098841430601149E-5</v>
      </c>
      <c r="T19" s="1">
        <f>SUMIF(טבלה2[City],טבלה8[[#This Row],[City]],טבלה2[Attendance17])</f>
        <v>239218</v>
      </c>
      <c r="U19">
        <f>SUMIF(טבלה2[City],טבלה8[[#This Row],[City]],טבלה2[Arrests18])</f>
        <v>26</v>
      </c>
      <c r="V19" s="2">
        <f>טבלה8[[#This Row],[Arrests18]]/טבלה8[[#This Row],[Attendance17]]</f>
        <v>1.0868747335066759E-4</v>
      </c>
    </row>
    <row r="20" spans="1:22" x14ac:dyDescent="0.3">
      <c r="A20" t="s">
        <v>60</v>
      </c>
      <c r="B20" s="1">
        <f>SUMIF(טבלה2[City],טבלה8[[#This Row],[City]],טבלה2[Attendance])</f>
        <v>419742</v>
      </c>
      <c r="C20" s="1">
        <f>SUMIF(טבלה2[City],טבלה8[[#This Row],[City]],טבלה2[Arrests])</f>
        <v>149</v>
      </c>
      <c r="D20" s="2">
        <f>טבלה8[[#This Row],[Arrests]]/טבלה8[[#This Row],[Attendance]]</f>
        <v>3.5497996388257548E-4</v>
      </c>
      <c r="E20" s="1">
        <f>SUMIF(טבלה2[City],טבלה8[[#This Row],[City]],טבלה2[Attendance2])</f>
        <v>433487</v>
      </c>
      <c r="F20" s="1">
        <f>SUMIF(טבלה2[City],טבלה8[[#This Row],[City]],טבלה2[Arrests3])</f>
        <v>166</v>
      </c>
      <c r="G20" s="2">
        <f>טבלה8[[#This Row],[Arrests3]]/טבלה8[[#This Row],[Attendance2]]</f>
        <v>3.8294112626214856E-4</v>
      </c>
      <c r="H20" s="1">
        <f>SUMIF(טבלה2[City],טבלה8[[#This Row],[City]],טבלה2[Attendance5])</f>
        <v>505840</v>
      </c>
      <c r="I20">
        <f>SUMIF(טבלה2[City],טבלה8[[#This Row],[City]],טבלה2[Arrests6])</f>
        <v>215</v>
      </c>
      <c r="J20" s="2">
        <f>טבלה8[[#This Row],[Arrests6]]/טבלה8[[#This Row],[Attendance5]]</f>
        <v>4.2503558437450575E-4</v>
      </c>
      <c r="K20" s="1">
        <f>SUMIF(טבלה2[City],טבלה8[[#This Row],[City]],טבלה2[Attendance8])</f>
        <v>387604</v>
      </c>
      <c r="L20">
        <f>SUMIF(טבלה2[City],טבלה8[[#This Row],[City]],טבלה2[Arrests9])</f>
        <v>141</v>
      </c>
      <c r="M20" s="2">
        <f>טבלה8[[#This Row],[Arrests9]]/טבלה8[[#This Row],[Attendance8]]</f>
        <v>3.6377333567249047E-4</v>
      </c>
      <c r="N20" s="1">
        <f>SUMIF(טבלה2[City],טבלה8[[#This Row],[City]],טבלה2[Attendance11])</f>
        <v>486397</v>
      </c>
      <c r="O20">
        <f>SUMIF(טבלה2[City],טבלה8[[#This Row],[City]],טבלה2[Arrests12])</f>
        <v>113</v>
      </c>
      <c r="P20" s="2">
        <f>טבלה8[[#This Row],[Arrests12]]/טבלה8[[#This Row],[Attendance11]]</f>
        <v>2.3232051184526219E-4</v>
      </c>
      <c r="Q20" s="1">
        <f>SUMIF(טבלה2[City],טבלה8[[#This Row],[City]],טבלה2[Attendance14])</f>
        <v>667403</v>
      </c>
      <c r="R20">
        <f>SUMIF(טבלה2[City],טבלה8[[#This Row],[City]],טבלה2[Arrests15])</f>
        <v>163</v>
      </c>
      <c r="S20" s="2">
        <f>טבלה8[[#This Row],[Arrests15]]/טבלה8[[#This Row],[Attendance14]]</f>
        <v>2.4423024769142484E-4</v>
      </c>
      <c r="T20" s="1">
        <f>SUMIF(טבלה2[City],טבלה8[[#This Row],[City]],טבלה2[Attendance17])</f>
        <v>707269</v>
      </c>
      <c r="U20">
        <f>SUMIF(טבלה2[City],טבלה8[[#This Row],[City]],טבלה2[Arrests18])</f>
        <v>82</v>
      </c>
      <c r="V20" s="2">
        <f>טבלה8[[#This Row],[Arrests18]]/טבלה8[[#This Row],[Attendance17]]</f>
        <v>1.1593891433103954E-4</v>
      </c>
    </row>
    <row r="21" spans="1:22" x14ac:dyDescent="0.3">
      <c r="A21" t="s">
        <v>62</v>
      </c>
      <c r="B21" s="1">
        <f>SUMIF(טבלה2[City],טבלה8[[#This Row],[City]],טבלה2[Attendance])</f>
        <v>313904</v>
      </c>
      <c r="C21" s="1">
        <f>SUMIF(טבלה2[City],טבלה8[[#This Row],[City]],טבלה2[Arrests])</f>
        <v>32</v>
      </c>
      <c r="D21" s="2">
        <f>טבלה8[[#This Row],[Arrests]]/טבלה8[[#This Row],[Attendance]]</f>
        <v>1.0194199500484225E-4</v>
      </c>
      <c r="E21" s="1">
        <f>SUMIF(טבלה2[City],טבלה8[[#This Row],[City]],טבלה2[Attendance2])</f>
        <v>318844</v>
      </c>
      <c r="F21" s="1">
        <f>SUMIF(טבלה2[City],טבלה8[[#This Row],[City]],טבלה2[Arrests3])</f>
        <v>86</v>
      </c>
      <c r="G21" s="2">
        <f>טבלה8[[#This Row],[Arrests3]]/טבלה8[[#This Row],[Attendance2]]</f>
        <v>2.6972437932029457E-4</v>
      </c>
      <c r="H21" s="1">
        <f>SUMIF(טבלה2[City],טבלה8[[#This Row],[City]],טבלה2[Attendance5])</f>
        <v>318052</v>
      </c>
      <c r="I21">
        <f>SUMIF(טבלה2[City],טבלה8[[#This Row],[City]],טבלה2[Arrests6])</f>
        <v>49</v>
      </c>
      <c r="J21" s="2">
        <f>טבלה8[[#This Row],[Arrests6]]/טבלה8[[#This Row],[Attendance5]]</f>
        <v>1.5406285764591954E-4</v>
      </c>
      <c r="K21" s="1">
        <f>SUMIF(טבלה2[City],טבלה8[[#This Row],[City]],טבלה2[Attendance8])</f>
        <v>293864</v>
      </c>
      <c r="L21">
        <f>SUMIF(טבלה2[City],טבלה8[[#This Row],[City]],טבלה2[Arrests9])</f>
        <v>40</v>
      </c>
      <c r="M21" s="2">
        <f>טבלה8[[#This Row],[Arrests9]]/טבלה8[[#This Row],[Attendance8]]</f>
        <v>1.3611738763509652E-4</v>
      </c>
      <c r="N21" s="1">
        <f>SUMIF(טבלה2[City],טבלה8[[#This Row],[City]],טבלה2[Attendance11])</f>
        <v>291011</v>
      </c>
      <c r="O21">
        <f>SUMIF(טבלה2[City],טבלה8[[#This Row],[City]],טבלה2[Arrests12])</f>
        <v>33</v>
      </c>
      <c r="P21" s="2">
        <f>טבלה8[[#This Row],[Arrests12]]/טבלה8[[#This Row],[Attendance11]]</f>
        <v>1.1339777534182557E-4</v>
      </c>
      <c r="Q21" s="1">
        <f>SUMIF(טבלה2[City],טבלה8[[#This Row],[City]],טבלה2[Attendance14])</f>
        <v>339238</v>
      </c>
      <c r="R21">
        <f>SUMIF(טבלה2[City],טבלה8[[#This Row],[City]],טבלה2[Arrests15])</f>
        <v>76</v>
      </c>
      <c r="S21" s="2">
        <f>טבלה8[[#This Row],[Arrests15]]/טבלה8[[#This Row],[Attendance14]]</f>
        <v>2.2403150590440929E-4</v>
      </c>
      <c r="T21" s="1">
        <f>SUMIF(טבלה2[City],טבלה8[[#This Row],[City]],טבלה2[Attendance17])</f>
        <v>381436</v>
      </c>
      <c r="U21">
        <f>SUMIF(טבלה2[City],טבלה8[[#This Row],[City]],טבלה2[Arrests18])</f>
        <v>70</v>
      </c>
      <c r="V21" s="2">
        <f>טבלה8[[#This Row],[Arrests18]]/טבלה8[[#This Row],[Attendance17]]</f>
        <v>1.8351702513658911E-4</v>
      </c>
    </row>
    <row r="22" spans="1:22" x14ac:dyDescent="0.3">
      <c r="A22" t="s">
        <v>64</v>
      </c>
      <c r="B22" s="1">
        <f>SUMIF(טבלה2[City],טבלה8[[#This Row],[City]],טבלה2[Attendance])</f>
        <v>529472</v>
      </c>
      <c r="C22" s="1">
        <f>SUMIF(טבלה2[City],טבלה8[[#This Row],[City]],טבלה2[Arrests])</f>
        <v>186</v>
      </c>
      <c r="D22" s="2">
        <f>טבלה8[[#This Row],[Arrests]]/טבלה8[[#This Row],[Attendance]]</f>
        <v>3.5129336395503443E-4</v>
      </c>
      <c r="E22" s="1">
        <f>SUMIF(טבלה2[City],טבלה8[[#This Row],[City]],טבלה2[Attendance2])</f>
        <v>525565</v>
      </c>
      <c r="F22" s="1">
        <f>SUMIF(טבלה2[City],טבלה8[[#This Row],[City]],טבלה2[Arrests3])</f>
        <v>115</v>
      </c>
      <c r="G22" s="2">
        <f>טבלה8[[#This Row],[Arrests3]]/טבלה8[[#This Row],[Attendance2]]</f>
        <v>2.1881213551130688E-4</v>
      </c>
      <c r="H22" s="1">
        <f>SUMIF(טבלה2[City],טבלה8[[#This Row],[City]],טבלה2[Attendance5])</f>
        <v>532452</v>
      </c>
      <c r="I22">
        <f>SUMIF(טבלה2[City],טבלה8[[#This Row],[City]],טבלה2[Arrests6])</f>
        <v>130</v>
      </c>
      <c r="J22" s="2">
        <f>טבלה8[[#This Row],[Arrests6]]/טבלה8[[#This Row],[Attendance5]]</f>
        <v>2.4415346359859668E-4</v>
      </c>
      <c r="K22" s="1">
        <f>SUMIF(טבלה2[City],טבלה8[[#This Row],[City]],טבלה2[Attendance8])</f>
        <v>609378</v>
      </c>
      <c r="L22">
        <f>SUMIF(טבלה2[City],טבלה8[[#This Row],[City]],טבלה2[Arrests9])</f>
        <v>196</v>
      </c>
      <c r="M22" s="2">
        <f>טבלה8[[#This Row],[Arrests9]]/טבלה8[[#This Row],[Attendance8]]</f>
        <v>3.2163944218531026E-4</v>
      </c>
      <c r="N22" s="1">
        <f>SUMIF(טבלה2[City],טבלה8[[#This Row],[City]],טבלה2[Attendance11])</f>
        <v>728864</v>
      </c>
      <c r="O22">
        <f>SUMIF(טבלה2[City],טבלה8[[#This Row],[City]],טבלה2[Arrests12])</f>
        <v>173</v>
      </c>
      <c r="P22" s="2">
        <f>טבלה8[[#This Row],[Arrests12]]/טבלה8[[#This Row],[Attendance11]]</f>
        <v>2.3735566580322255E-4</v>
      </c>
      <c r="Q22" s="1">
        <f>SUMIF(טבלה2[City],טבלה8[[#This Row],[City]],טבלה2[Attendance14])</f>
        <v>647577</v>
      </c>
      <c r="R22">
        <f>SUMIF(טבלה2[City],טבלה8[[#This Row],[City]],טבלה2[Arrests15])</f>
        <v>153</v>
      </c>
      <c r="S22" s="2">
        <f>טבלה8[[#This Row],[Arrests15]]/טבלה8[[#This Row],[Attendance14]]</f>
        <v>2.3626533987464038E-4</v>
      </c>
      <c r="T22" s="1">
        <f>SUMIF(טבלה2[City],טבלה8[[#This Row],[City]],טבלה2[Attendance17])</f>
        <v>726894</v>
      </c>
      <c r="U22">
        <f>SUMIF(טבלה2[City],טבלה8[[#This Row],[City]],טבלה2[Arrests18])</f>
        <v>127</v>
      </c>
      <c r="V22" s="2">
        <f>טבלה8[[#This Row],[Arrests18]]/טבלה8[[#This Row],[Attendance17]]</f>
        <v>1.7471598334832864E-4</v>
      </c>
    </row>
    <row r="23" spans="1:22" x14ac:dyDescent="0.3">
      <c r="A23" t="s">
        <v>66</v>
      </c>
      <c r="B23" s="1">
        <f>SUMIF(טבלה2[City],טבלה8[[#This Row],[City]],טבלה2[Attendance])</f>
        <v>218632</v>
      </c>
      <c r="C23" s="1">
        <f>SUMIF(טבלה2[City],טבלה8[[#This Row],[City]],טבלה2[Arrests])</f>
        <v>105</v>
      </c>
      <c r="D23" s="2">
        <f>טבלה8[[#This Row],[Arrests]]/טבלה8[[#This Row],[Attendance]]</f>
        <v>4.8025906546159759E-4</v>
      </c>
      <c r="E23" s="1">
        <f>SUMIF(טבלה2[City],טבלה8[[#This Row],[City]],טבלה2[Attendance2])</f>
        <v>145788</v>
      </c>
      <c r="F23" s="1">
        <f>SUMIF(טבלה2[City],טבלה8[[#This Row],[City]],טבלה2[Arrests3])</f>
        <v>36</v>
      </c>
      <c r="G23" s="2">
        <f>טבלה8[[#This Row],[Arrests3]]/טבלה8[[#This Row],[Attendance2]]</f>
        <v>2.4693390402502261E-4</v>
      </c>
      <c r="H23" s="1">
        <f>SUMIF(טבלה2[City],טבלה8[[#This Row],[City]],טבלה2[Attendance5])</f>
        <v>133822</v>
      </c>
      <c r="I23">
        <f>SUMIF(טבלה2[City],טבלה8[[#This Row],[City]],טבלה2[Arrests6])</f>
        <v>51</v>
      </c>
      <c r="J23" s="2">
        <f>טבלה8[[#This Row],[Arrests6]]/טבלה8[[#This Row],[Attendance5]]</f>
        <v>3.8110325656469043E-4</v>
      </c>
      <c r="K23" s="1">
        <f>SUMIF(טבלה2[City],טבלה8[[#This Row],[City]],טבלה2[Attendance8])</f>
        <v>132976</v>
      </c>
      <c r="L23">
        <f>SUMIF(טבלה2[City],טבלה8[[#This Row],[City]],טבלה2[Arrests9])</f>
        <v>29</v>
      </c>
      <c r="M23" s="2">
        <f>טבלה8[[#This Row],[Arrests9]]/טבלה8[[#This Row],[Attendance8]]</f>
        <v>2.1808446636987125E-4</v>
      </c>
      <c r="N23" s="1">
        <f>SUMIF(טבלה2[City],טבלה8[[#This Row],[City]],טבלה2[Attendance11])</f>
        <v>130444</v>
      </c>
      <c r="O23">
        <f>SUMIF(טבלה2[City],טבלה8[[#This Row],[City]],טבלה2[Arrests12])</f>
        <v>67</v>
      </c>
      <c r="P23" s="2">
        <f>טבלה8[[#This Row],[Arrests12]]/טבלה8[[#This Row],[Attendance11]]</f>
        <v>5.1363037012051144E-4</v>
      </c>
      <c r="Q23" s="1">
        <f>SUMIF(טבלה2[City],טבלה8[[#This Row],[City]],טבלה2[Attendance14])</f>
        <v>146199</v>
      </c>
      <c r="R23">
        <f>SUMIF(טבלה2[City],טבלה8[[#This Row],[City]],טבלה2[Arrests15])</f>
        <v>43</v>
      </c>
      <c r="S23" s="2">
        <f>טבלה8[[#This Row],[Arrests15]]/טבלה8[[#This Row],[Attendance14]]</f>
        <v>2.9411965882119575E-4</v>
      </c>
      <c r="T23" s="1">
        <f>SUMIF(טבלה2[City],טבלה8[[#This Row],[City]],טבלה2[Attendance17])</f>
        <v>158182</v>
      </c>
      <c r="U23">
        <f>SUMIF(טבלה2[City],טבלה8[[#This Row],[City]],טבלה2[Arrests18])</f>
        <v>25</v>
      </c>
      <c r="V23" s="2">
        <f>טבלה8[[#This Row],[Arrests18]]/טבלה8[[#This Row],[Attendance17]]</f>
        <v>1.5804579534966053E-4</v>
      </c>
    </row>
    <row r="24" spans="1:22" x14ac:dyDescent="0.3">
      <c r="A24" t="s">
        <v>68</v>
      </c>
      <c r="B24" s="1">
        <f>SUMIF(טבלה2[City],טבלה8[[#This Row],[City]],טבלה2[Attendance])</f>
        <v>226152</v>
      </c>
      <c r="C24" s="1">
        <f>SUMIF(טבלה2[City],טבלה8[[#This Row],[City]],טבלה2[Arrests])</f>
        <v>29</v>
      </c>
      <c r="D24" s="2">
        <f>טבלה8[[#This Row],[Arrests]]/טבלה8[[#This Row],[Attendance]]</f>
        <v>1.2823233931161344E-4</v>
      </c>
      <c r="E24" s="1">
        <f>SUMIF(טבלה2[City],טבלה8[[#This Row],[City]],טבלה2[Attendance2])</f>
        <v>198443</v>
      </c>
      <c r="F24" s="1">
        <f>SUMIF(טבלה2[City],טבלה8[[#This Row],[City]],טבלה2[Arrests3])</f>
        <v>19</v>
      </c>
      <c r="G24" s="2">
        <f>טבלה8[[#This Row],[Arrests3]]/טבלה8[[#This Row],[Attendance2]]</f>
        <v>9.5745377765907584E-5</v>
      </c>
      <c r="H24" s="1">
        <f>SUMIF(טבלה2[City],טבלה8[[#This Row],[City]],טבלה2[Attendance5])</f>
        <v>200720</v>
      </c>
      <c r="I24">
        <f>SUMIF(טבלה2[City],טבלה8[[#This Row],[City]],טבלה2[Arrests6])</f>
        <v>22</v>
      </c>
      <c r="J24" s="2">
        <f>טבלה8[[#This Row],[Arrests6]]/טבלה8[[#This Row],[Attendance5]]</f>
        <v>1.096054204862495E-4</v>
      </c>
      <c r="K24" s="1">
        <f>SUMIF(טבלה2[City],טבלה8[[#This Row],[City]],טבלה2[Attendance8])</f>
        <v>162779</v>
      </c>
      <c r="L24">
        <f>SUMIF(טבלה2[City],טבלה8[[#This Row],[City]],טבלה2[Arrests9])</f>
        <v>34</v>
      </c>
      <c r="M24" s="2">
        <f>טבלה8[[#This Row],[Arrests9]]/טבלה8[[#This Row],[Attendance8]]</f>
        <v>2.0887215181319459E-4</v>
      </c>
      <c r="N24" s="1">
        <f>SUMIF(טבלה2[City],טבלה8[[#This Row],[City]],טבלה2[Attendance11])</f>
        <v>154991</v>
      </c>
      <c r="O24">
        <f>SUMIF(טבלה2[City],טבלה8[[#This Row],[City]],טבלה2[Arrests12])</f>
        <v>12</v>
      </c>
      <c r="P24" s="2">
        <f>טבלה8[[#This Row],[Arrests12]]/טבלה8[[#This Row],[Attendance11]]</f>
        <v>7.7423850417120994E-5</v>
      </c>
      <c r="Q24" s="1">
        <f>SUMIF(טבלה2[City],טבלה8[[#This Row],[City]],טבלה2[Attendance14])</f>
        <v>146668</v>
      </c>
      <c r="R24">
        <f>SUMIF(טבלה2[City],טבלה8[[#This Row],[City]],טבלה2[Arrests15])</f>
        <v>24</v>
      </c>
      <c r="S24" s="2">
        <f>טבלה8[[#This Row],[Arrests15]]/טבלה8[[#This Row],[Attendance14]]</f>
        <v>1.636348760465814E-4</v>
      </c>
      <c r="T24" s="1">
        <f>SUMIF(טבלה2[City],טבלה8[[#This Row],[City]],טבלה2[Attendance17])</f>
        <v>206075</v>
      </c>
      <c r="U24">
        <f>SUMIF(טבלה2[City],טבלה8[[#This Row],[City]],טבלה2[Arrests18])</f>
        <v>33</v>
      </c>
      <c r="V24" s="2">
        <f>טבלה8[[#This Row],[Arrests18]]/טבלה8[[#This Row],[Attendance17]]</f>
        <v>1.6013587286182215E-4</v>
      </c>
    </row>
    <row r="25" spans="1:22" x14ac:dyDescent="0.3">
      <c r="A25" t="s">
        <v>69</v>
      </c>
      <c r="B25" s="1">
        <f>SUMIF(טבלה2[City],טבלה8[[#This Row],[City]],טבלה2[Attendance])</f>
        <v>324780</v>
      </c>
      <c r="C25" s="1">
        <f>SUMIF(טבלה2[City],טבלה8[[#This Row],[City]],טבלה2[Arrests])</f>
        <v>282</v>
      </c>
      <c r="D25" s="2">
        <f>טבלה8[[#This Row],[Arrests]]/טבלה8[[#This Row],[Attendance]]</f>
        <v>8.6828006650655832E-4</v>
      </c>
      <c r="E25" s="1">
        <f>SUMIF(טבלה2[City],טבלה8[[#This Row],[City]],טבלה2[Attendance2])</f>
        <v>233980</v>
      </c>
      <c r="F25" s="1">
        <f>SUMIF(טבלה2[City],טבלה8[[#This Row],[City]],טבלה2[Arrests3])</f>
        <v>162</v>
      </c>
      <c r="G25" s="2">
        <f>טבלה8[[#This Row],[Arrests3]]/טבלה8[[#This Row],[Attendance2]]</f>
        <v>6.9236686896315927E-4</v>
      </c>
      <c r="H25" s="1">
        <f>SUMIF(טבלה2[City],טבלה8[[#This Row],[City]],טבלה2[Attendance5])</f>
        <v>209644</v>
      </c>
      <c r="I25">
        <f>SUMIF(טבלה2[City],טבלה8[[#This Row],[City]],טבלה2[Arrests6])</f>
        <v>42</v>
      </c>
      <c r="J25" s="2">
        <f>טבלה8[[#This Row],[Arrests6]]/טבלה8[[#This Row],[Attendance5]]</f>
        <v>2.0033962336150809E-4</v>
      </c>
      <c r="K25" s="1">
        <f>SUMIF(טבלה2[City],טבלה8[[#This Row],[City]],טבלה2[Attendance8])</f>
        <v>220166</v>
      </c>
      <c r="L25">
        <f>SUMIF(טבלה2[City],טבלה8[[#This Row],[City]],טבלה2[Arrests9])</f>
        <v>90</v>
      </c>
      <c r="M25" s="2">
        <f>טבלה8[[#This Row],[Arrests9]]/טבלה8[[#This Row],[Attendance8]]</f>
        <v>4.0878246414069382E-4</v>
      </c>
      <c r="N25" s="1">
        <f>SUMIF(טבלה2[City],טבלה8[[#This Row],[City]],טבלה2[Attendance11])</f>
        <v>271143</v>
      </c>
      <c r="O25">
        <f>SUMIF(טבלה2[City],טבלה8[[#This Row],[City]],טבלה2[Arrests12])</f>
        <v>73</v>
      </c>
      <c r="P25" s="2">
        <f>טבלה8[[#This Row],[Arrests12]]/טבלה8[[#This Row],[Attendance11]]</f>
        <v>2.6923062738112364E-4</v>
      </c>
      <c r="Q25" s="1">
        <f>SUMIF(טבלה2[City],טבלה8[[#This Row],[City]],טבלה2[Attendance14])</f>
        <v>315245</v>
      </c>
      <c r="R25">
        <f>SUMIF(טבלה2[City],טבלה8[[#This Row],[City]],טבלה2[Arrests15])</f>
        <v>86</v>
      </c>
      <c r="S25" s="2">
        <f>טבלה8[[#This Row],[Arrests15]]/טבלה8[[#This Row],[Attendance14]]</f>
        <v>2.7280369236625483E-4</v>
      </c>
      <c r="T25" s="1">
        <f>SUMIF(טבלה2[City],טבלה8[[#This Row],[City]],טבלה2[Attendance17])</f>
        <v>268918</v>
      </c>
      <c r="U25">
        <f>SUMIF(טבלה2[City],טבלה8[[#This Row],[City]],טבלה2[Arrests18])</f>
        <v>50</v>
      </c>
      <c r="V25" s="2">
        <f>טבלה8[[#This Row],[Arrests18]]/טבלה8[[#This Row],[Attendance17]]</f>
        <v>1.8593028358086851E-4</v>
      </c>
    </row>
    <row r="26" spans="1:22" x14ac:dyDescent="0.3">
      <c r="A26" t="s">
        <v>71</v>
      </c>
      <c r="B26" s="1">
        <f>SUMIF(טבלה2[City],טבלה8[[#This Row],[City]],טבלה2[Attendance])</f>
        <v>619479</v>
      </c>
      <c r="C26" s="1">
        <f>SUMIF(טבלה2[City],טבלה8[[#This Row],[City]],טבלה2[Arrests])</f>
        <v>150</v>
      </c>
      <c r="D26" s="2">
        <f>טבלה8[[#This Row],[Arrests]]/טבלה8[[#This Row],[Attendance]]</f>
        <v>2.4213895870562197E-4</v>
      </c>
      <c r="E26" s="1">
        <f>SUMIF(טבלה2[City],טבלה8[[#This Row],[City]],טבלה2[Attendance2])</f>
        <v>661122</v>
      </c>
      <c r="F26" s="1">
        <f>SUMIF(טבלה2[City],טבלה8[[#This Row],[City]],טבלה2[Arrests3])</f>
        <v>130</v>
      </c>
      <c r="G26" s="2">
        <f>טבלה8[[#This Row],[Arrests3]]/טבלה8[[#This Row],[Attendance2]]</f>
        <v>1.9663541676120293E-4</v>
      </c>
      <c r="H26" s="1">
        <f>SUMIF(טבלה2[City],טבלה8[[#This Row],[City]],טבלה2[Attendance5])</f>
        <v>786292</v>
      </c>
      <c r="I26">
        <f>SUMIF(טבלה2[City],טבלה8[[#This Row],[City]],טבלה2[Arrests6])</f>
        <v>184</v>
      </c>
      <c r="J26" s="2">
        <f>טבלה8[[#This Row],[Arrests6]]/טבלה8[[#This Row],[Attendance5]]</f>
        <v>2.3400975718944106E-4</v>
      </c>
      <c r="K26" s="1">
        <f>SUMIF(טבלה2[City],טבלה8[[#This Row],[City]],טבלה2[Attendance8])</f>
        <v>1015872</v>
      </c>
      <c r="L26">
        <f>SUMIF(טבלה2[City],טבלה8[[#This Row],[City]],טבלה2[Arrests9])</f>
        <v>155</v>
      </c>
      <c r="M26" s="2">
        <f>טבלה8[[#This Row],[Arrests9]]/טבלה8[[#This Row],[Attendance8]]</f>
        <v>1.5257827757827759E-4</v>
      </c>
      <c r="N26" s="1">
        <f>SUMIF(טבלה2[City],טבלה8[[#This Row],[City]],טבלה2[Attendance11])</f>
        <v>1084778</v>
      </c>
      <c r="O26">
        <f>SUMIF(טבלה2[City],טבלה8[[#This Row],[City]],טבלה2[Arrests12])</f>
        <v>254</v>
      </c>
      <c r="P26" s="2">
        <f>טבלה8[[#This Row],[Arrests12]]/טבלה8[[#This Row],[Attendance11]]</f>
        <v>2.3414929137574692E-4</v>
      </c>
      <c r="Q26" s="1">
        <f>SUMIF(טבלה2[City],טבלה8[[#This Row],[City]],טבלה2[Attendance14])</f>
        <v>967351</v>
      </c>
      <c r="R26">
        <f>SUMIF(טבלה2[City],טבלה8[[#This Row],[City]],טבלה2[Arrests15])</f>
        <v>141</v>
      </c>
      <c r="S26" s="2">
        <f>טבלה8[[#This Row],[Arrests15]]/טבלה8[[#This Row],[Attendance14]]</f>
        <v>1.4575888172958936E-4</v>
      </c>
      <c r="T26" s="1">
        <f>SUMIF(טבלה2[City],טבלה8[[#This Row],[City]],טבלה2[Attendance17])</f>
        <v>981807</v>
      </c>
      <c r="U26">
        <f>SUMIF(טבלה2[City],טבלה8[[#This Row],[City]],טבלה2[Arrests18])</f>
        <v>154</v>
      </c>
      <c r="V26" s="2">
        <f>טבלה8[[#This Row],[Arrests18]]/טבלה8[[#This Row],[Attendance17]]</f>
        <v>1.5685363824050958E-4</v>
      </c>
    </row>
    <row r="27" spans="1:22" x14ac:dyDescent="0.3">
      <c r="A27" t="s">
        <v>73</v>
      </c>
      <c r="B27" s="1">
        <f>SUMIF(טבלה2[City],טבלה8[[#This Row],[City]],טבלה2[Attendance])</f>
        <v>290617</v>
      </c>
      <c r="C27" s="1">
        <f>SUMIF(טבלה2[City],טבלה8[[#This Row],[City]],טבלה2[Arrests])</f>
        <v>208</v>
      </c>
      <c r="D27" s="2">
        <f>טבלה8[[#This Row],[Arrests]]/טבלה8[[#This Row],[Attendance]]</f>
        <v>7.157186262331522E-4</v>
      </c>
      <c r="E27" s="1">
        <f>SUMIF(טבלה2[City],טבלה8[[#This Row],[City]],טבלה2[Attendance2])</f>
        <v>296047</v>
      </c>
      <c r="F27" s="1">
        <f>SUMIF(טבלה2[City],טבלה8[[#This Row],[City]],טבלה2[Arrests3])</f>
        <v>146</v>
      </c>
      <c r="G27" s="2">
        <f>טבלה8[[#This Row],[Arrests3]]/טבלה8[[#This Row],[Attendance2]]</f>
        <v>4.9316493664857265E-4</v>
      </c>
      <c r="H27" s="1">
        <f>SUMIF(טבלה2[City],טבלה8[[#This Row],[City]],טבלה2[Attendance5])</f>
        <v>313222</v>
      </c>
      <c r="I27">
        <f>SUMIF(טבלה2[City],טבלה8[[#This Row],[City]],טבלה2[Arrests6])</f>
        <v>73</v>
      </c>
      <c r="J27" s="2">
        <f>טבלה8[[#This Row],[Arrests6]]/טבלה8[[#This Row],[Attendance5]]</f>
        <v>2.3306153463038994E-4</v>
      </c>
      <c r="K27" s="1">
        <f>SUMIF(טבלה2[City],טבלה8[[#This Row],[City]],טבלה2[Attendance8])</f>
        <v>320323</v>
      </c>
      <c r="L27">
        <f>SUMIF(טבלה2[City],טבלה8[[#This Row],[City]],טבלה2[Arrests9])</f>
        <v>47</v>
      </c>
      <c r="M27" s="2">
        <f>טבלה8[[#This Row],[Arrests9]]/טבלה8[[#This Row],[Attendance8]]</f>
        <v>1.4672689753779779E-4</v>
      </c>
      <c r="N27" s="1">
        <f>SUMIF(טבלה2[City],טבלה8[[#This Row],[City]],טבלה2[Attendance11])</f>
        <v>295468</v>
      </c>
      <c r="O27">
        <f>SUMIF(טבלה2[City],טבלה8[[#This Row],[City]],טבלה2[Arrests12])</f>
        <v>61</v>
      </c>
      <c r="P27" s="2">
        <f>טבלה8[[#This Row],[Arrests12]]/טבלה8[[#This Row],[Attendance11]]</f>
        <v>2.0645213694884049E-4</v>
      </c>
      <c r="Q27" s="1">
        <f>SUMIF(טבלה2[City],טבלה8[[#This Row],[City]],טבלה2[Attendance14])</f>
        <v>323017</v>
      </c>
      <c r="R27">
        <f>SUMIF(טבלה2[City],טבלה8[[#This Row],[City]],טבלה2[Arrests15])</f>
        <v>56</v>
      </c>
      <c r="S27" s="2">
        <f>טבלה8[[#This Row],[Arrests15]]/טבלה8[[#This Row],[Attendance14]]</f>
        <v>1.7336548850370104E-4</v>
      </c>
      <c r="T27" s="1">
        <f>SUMIF(טבלה2[City],טבלה8[[#This Row],[City]],טבלה2[Attendance17])</f>
        <v>309765</v>
      </c>
      <c r="U27">
        <f>SUMIF(טבלה2[City],טבלה8[[#This Row],[City]],טבלה2[Arrests18])</f>
        <v>61</v>
      </c>
      <c r="V27" s="2">
        <f>טבלה8[[#This Row],[Arrests18]]/טבלה8[[#This Row],[Attendance17]]</f>
        <v>1.9692347424660629E-4</v>
      </c>
    </row>
    <row r="28" spans="1:22" x14ac:dyDescent="0.3">
      <c r="A28" t="s">
        <v>75</v>
      </c>
      <c r="B28" s="1">
        <f>SUMIF(טבלה2[City],טבלה8[[#This Row],[City]],טבלה2[Attendance])</f>
        <v>211234</v>
      </c>
      <c r="C28" s="1">
        <f>SUMIF(טבלה2[City],טבלה8[[#This Row],[City]],טבלה2[Arrests])</f>
        <v>57</v>
      </c>
      <c r="D28" s="2">
        <f>טבלה8[[#This Row],[Arrests]]/טבלה8[[#This Row],[Attendance]]</f>
        <v>2.6984292301428746E-4</v>
      </c>
      <c r="E28" s="1">
        <f>SUMIF(טבלה2[City],טבלה8[[#This Row],[City]],טבלה2[Attendance2])</f>
        <v>214979</v>
      </c>
      <c r="F28" s="1">
        <f>SUMIF(טבלה2[City],טבלה8[[#This Row],[City]],טבלה2[Arrests3])</f>
        <v>44</v>
      </c>
      <c r="G28" s="2">
        <f>טבלה8[[#This Row],[Arrests3]]/טבלה8[[#This Row],[Attendance2]]</f>
        <v>2.0467115392666261E-4</v>
      </c>
      <c r="H28" s="1">
        <f>SUMIF(טבלה2[City],טבלה8[[#This Row],[City]],טבלה2[Attendance5])</f>
        <v>286368</v>
      </c>
      <c r="I28">
        <f>SUMIF(טבלה2[City],טבלה8[[#This Row],[City]],טבלה2[Arrests6])</f>
        <v>49</v>
      </c>
      <c r="J28" s="2">
        <f>טבלה8[[#This Row],[Arrests6]]/טבלה8[[#This Row],[Attendance5]]</f>
        <v>1.7110850374343502E-4</v>
      </c>
      <c r="K28" s="1">
        <f>SUMIF(טבלה2[City],טבלה8[[#This Row],[City]],טבלה2[Attendance8])</f>
        <v>240377</v>
      </c>
      <c r="L28">
        <f>SUMIF(טבלה2[City],טבלה8[[#This Row],[City]],טבלה2[Arrests9])</f>
        <v>38</v>
      </c>
      <c r="M28" s="2">
        <f>טבלה8[[#This Row],[Arrests9]]/טבלה8[[#This Row],[Attendance8]]</f>
        <v>1.5808500813305765E-4</v>
      </c>
      <c r="N28" s="1">
        <f>SUMIF(טבלה2[City],טבלה8[[#This Row],[City]],טבלה2[Attendance11])</f>
        <v>299150</v>
      </c>
      <c r="O28">
        <f>SUMIF(טבלה2[City],טבלה8[[#This Row],[City]],טבלה2[Arrests12])</f>
        <v>34</v>
      </c>
      <c r="P28" s="2">
        <f>טבלה8[[#This Row],[Arrests12]]/טבלה8[[#This Row],[Attendance11]]</f>
        <v>1.1365535684439245E-4</v>
      </c>
      <c r="Q28" s="1">
        <f>SUMIF(טבלה2[City],טבלה8[[#This Row],[City]],טבלה2[Attendance14])</f>
        <v>381314</v>
      </c>
      <c r="R28">
        <f>SUMIF(טבלה2[City],טבלה8[[#This Row],[City]],טבלה2[Arrests15])</f>
        <v>56</v>
      </c>
      <c r="S28" s="2">
        <f>טבלה8[[#This Row],[Arrests15]]/טבלה8[[#This Row],[Attendance14]]</f>
        <v>1.4686059258249107E-4</v>
      </c>
      <c r="T28" s="1">
        <f>SUMIF(טבלה2[City],טבלה8[[#This Row],[City]],טבלה2[Attendance17])</f>
        <v>366419</v>
      </c>
      <c r="U28">
        <f>SUMIF(טבלה2[City],טבלה8[[#This Row],[City]],טבלה2[Arrests18])</f>
        <v>89</v>
      </c>
      <c r="V28" s="2">
        <f>טבלה8[[#This Row],[Arrests18]]/טבלה8[[#This Row],[Attendance17]]</f>
        <v>2.4289133478340371E-4</v>
      </c>
    </row>
    <row r="29" spans="1:22" x14ac:dyDescent="0.3">
      <c r="A29" t="s">
        <v>88</v>
      </c>
      <c r="B29" s="1">
        <f>SUMIF(טבלה2[City],טבלה8[[#This Row],[City]],טבלה2[Attendance])</f>
        <v>400760</v>
      </c>
      <c r="C29" s="1">
        <f>SUMIF(טבלה2[City],טבלה8[[#This Row],[City]],טבלה2[Arrests])</f>
        <v>80</v>
      </c>
      <c r="D29" s="2">
        <f>טבלה8[[#This Row],[Arrests]]/טבלה8[[#This Row],[Attendance]]</f>
        <v>1.9962072063080147E-4</v>
      </c>
      <c r="E29" s="1">
        <f>SUMIF(טבלה2[City],טבלה8[[#This Row],[City]],טבלה2[Attendance2])</f>
        <v>342217</v>
      </c>
      <c r="F29" s="1">
        <f>SUMIF(טבלה2[City],טבלה8[[#This Row],[City]],טבלה2[Arrests3])</f>
        <v>49</v>
      </c>
      <c r="G29" s="2">
        <f>טבלה8[[#This Row],[Arrests3]]/טבלה8[[#This Row],[Attendance2]]</f>
        <v>1.4318400313251533E-4</v>
      </c>
      <c r="H29" s="1">
        <f>SUMIF(טבלה2[City],טבלה8[[#This Row],[City]],טבלה2[Attendance5])</f>
        <v>401098</v>
      </c>
      <c r="I29">
        <f>SUMIF(טבלה2[City],טבלה8[[#This Row],[City]],טבלה2[Arrests6])</f>
        <v>85</v>
      </c>
      <c r="J29" s="2">
        <f>טבלה8[[#This Row],[Arrests6]]/טבלה8[[#This Row],[Attendance5]]</f>
        <v>2.1191828430957023E-4</v>
      </c>
      <c r="K29" s="1">
        <f>SUMIF(טבלה2[City],טבלה8[[#This Row],[City]],טבלה2[Attendance8])</f>
        <v>426893</v>
      </c>
      <c r="L29">
        <f>SUMIF(טבלה2[City],טבלה8[[#This Row],[City]],טבלה2[Arrests9])</f>
        <v>104</v>
      </c>
      <c r="M29" s="2">
        <f>טבלה8[[#This Row],[Arrests9]]/טבלה8[[#This Row],[Attendance8]]</f>
        <v>2.4362076679636349E-4</v>
      </c>
      <c r="N29" s="1">
        <f>SUMIF(טבלה2[City],טבלה8[[#This Row],[City]],טבלה2[Attendance11])</f>
        <v>422960</v>
      </c>
      <c r="O29">
        <f>SUMIF(טבלה2[City],טבלה8[[#This Row],[City]],טבלה2[Arrests12])</f>
        <v>57</v>
      </c>
      <c r="P29" s="2">
        <f>טבלה8[[#This Row],[Arrests12]]/טבלה8[[#This Row],[Attendance11]]</f>
        <v>1.3476451673917155E-4</v>
      </c>
      <c r="Q29" s="1">
        <f>SUMIF(טבלה2[City],טבלה8[[#This Row],[City]],טבלה2[Attendance14])</f>
        <v>396924</v>
      </c>
      <c r="R29">
        <f>SUMIF(טבלה2[City],טבלה8[[#This Row],[City]],טבלה2[Arrests15])</f>
        <v>118</v>
      </c>
      <c r="S29" s="2">
        <f>טבלה8[[#This Row],[Arrests15]]/טבלה8[[#This Row],[Attendance14]]</f>
        <v>2.9728613034233253E-4</v>
      </c>
      <c r="T29" s="1">
        <f>SUMIF(טבלה2[City],טבלה8[[#This Row],[City]],טבלה2[Attendance17])</f>
        <v>389493</v>
      </c>
      <c r="U29">
        <f>SUMIF(טבלה2[City],טבלה8[[#This Row],[City]],טבלה2[Arrests18])</f>
        <v>54</v>
      </c>
      <c r="V29" s="2">
        <f>טבלה8[[#This Row],[Arrests18]]/טבלה8[[#This Row],[Attendance17]]</f>
        <v>1.3864177276613442E-4</v>
      </c>
    </row>
    <row r="30" spans="1:22" x14ac:dyDescent="0.3">
      <c r="A30" t="s">
        <v>77</v>
      </c>
      <c r="B30" s="1">
        <f>SUMIF(טבלה2[City],טבלה8[[#This Row],[City]],טבלה2[Attendance])</f>
        <v>209800</v>
      </c>
      <c r="C30" s="1">
        <f>SUMIF(טבלה2[City],טבלה8[[#This Row],[City]],טבלה2[Arrests])</f>
        <v>67</v>
      </c>
      <c r="D30" s="2">
        <f>טבלה8[[#This Row],[Arrests]]/טבלה8[[#This Row],[Attendance]]</f>
        <v>3.1935176358436604E-4</v>
      </c>
      <c r="E30" s="1">
        <f>SUMIF(טבלה2[City],טבלה8[[#This Row],[City]],טבלה2[Attendance2])</f>
        <v>198881</v>
      </c>
      <c r="F30" s="1">
        <f>SUMIF(טבלה2[City],טבלה8[[#This Row],[City]],טבלה2[Arrests3])</f>
        <v>44</v>
      </c>
      <c r="G30" s="2">
        <f>טבלה8[[#This Row],[Arrests3]]/טבלה8[[#This Row],[Attendance2]]</f>
        <v>2.2123782563442459E-4</v>
      </c>
      <c r="H30" s="1">
        <f>SUMIF(טבלה2[City],טבלה8[[#This Row],[City]],טבלה2[Attendance5])</f>
        <v>216463</v>
      </c>
      <c r="I30">
        <f>SUMIF(טבלה2[City],טבלה8[[#This Row],[City]],טבלה2[Arrests6])</f>
        <v>30</v>
      </c>
      <c r="J30" s="2">
        <f>טבלה8[[#This Row],[Arrests6]]/טבלה8[[#This Row],[Attendance5]]</f>
        <v>1.3859181476741985E-4</v>
      </c>
      <c r="K30" s="1">
        <f>SUMIF(טבלה2[City],טבלה8[[#This Row],[City]],טבלה2[Attendance8])</f>
        <v>216248</v>
      </c>
      <c r="L30">
        <f>SUMIF(טבלה2[City],טבלה8[[#This Row],[City]],טבלה2[Arrests9])</f>
        <v>32</v>
      </c>
      <c r="M30" s="2">
        <f>טבלה8[[#This Row],[Arrests9]]/טבלה8[[#This Row],[Attendance8]]</f>
        <v>1.4797824719766194E-4</v>
      </c>
      <c r="N30" s="1">
        <f>SUMIF(טבלה2[City],טבלה8[[#This Row],[City]],טבלה2[Attendance11])</f>
        <v>230218</v>
      </c>
      <c r="O30">
        <f>SUMIF(טבלה2[City],טבלה8[[#This Row],[City]],טבלה2[Arrests12])</f>
        <v>35</v>
      </c>
      <c r="P30" s="2">
        <f>טבלה8[[#This Row],[Arrests12]]/טבלה8[[#This Row],[Attendance11]]</f>
        <v>1.5202981521861888E-4</v>
      </c>
      <c r="Q30" s="1">
        <f>SUMIF(טבלה2[City],טבלה8[[#This Row],[City]],טבלה2[Attendance14])</f>
        <v>255519</v>
      </c>
      <c r="R30">
        <f>SUMIF(טבלה2[City],טבלה8[[#This Row],[City]],טבלה2[Arrests15])</f>
        <v>35</v>
      </c>
      <c r="S30" s="2">
        <f>טבלה8[[#This Row],[Arrests15]]/טבלה8[[#This Row],[Attendance14]]</f>
        <v>1.3697611527909863E-4</v>
      </c>
      <c r="T30" s="1">
        <f>SUMIF(טבלה2[City],טבלה8[[#This Row],[City]],טבלה2[Attendance17])</f>
        <v>320761</v>
      </c>
      <c r="U30">
        <f>SUMIF(טבלה2[City],טבלה8[[#This Row],[City]],טבלה2[Arrests18])</f>
        <v>31</v>
      </c>
      <c r="V30" s="2">
        <f>טבלה8[[#This Row],[Arrests18]]/טבלה8[[#This Row],[Attendance17]]</f>
        <v>9.664516571528334E-5</v>
      </c>
    </row>
    <row r="31" spans="1:22" x14ac:dyDescent="0.3">
      <c r="A31" t="s">
        <v>78</v>
      </c>
      <c r="B31" s="1">
        <f>SUMIF(טבלה2[City],טבלה8[[#This Row],[City]],טבלה2[Attendance])</f>
        <v>291464</v>
      </c>
      <c r="C31" s="1">
        <f>SUMIF(טבלה2[City],טבלה8[[#This Row],[City]],טבלה2[Arrests])</f>
        <v>43</v>
      </c>
      <c r="D31" s="2">
        <f>טבלה8[[#This Row],[Arrests]]/טבלה8[[#This Row],[Attendance]]</f>
        <v>1.4753108445639943E-4</v>
      </c>
      <c r="E31" s="1">
        <f>SUMIF(טבלה2[City],טבלה8[[#This Row],[City]],טבלה2[Attendance2])</f>
        <v>279446</v>
      </c>
      <c r="F31" s="1">
        <f>SUMIF(טבלה2[City],טבלה8[[#This Row],[City]],טבלה2[Arrests3])</f>
        <v>44</v>
      </c>
      <c r="G31" s="2">
        <f>טבלה8[[#This Row],[Arrests3]]/טבלה8[[#This Row],[Attendance2]]</f>
        <v>1.5745439190398145E-4</v>
      </c>
      <c r="H31" s="1">
        <f>SUMIF(טבלה2[City],טבלה8[[#This Row],[City]],טבלה2[Attendance5])</f>
        <v>238074</v>
      </c>
      <c r="I31">
        <f>SUMIF(טבלה2[City],טבלה8[[#This Row],[City]],טבלה2[Arrests6])</f>
        <v>40</v>
      </c>
      <c r="J31" s="2">
        <f>טבלה8[[#This Row],[Arrests6]]/טבלה8[[#This Row],[Attendance5]]</f>
        <v>1.6801498693683477E-4</v>
      </c>
      <c r="K31" s="1">
        <f>SUMIF(טבלה2[City],טבלה8[[#This Row],[City]],טבלה2[Attendance8])</f>
        <v>220362</v>
      </c>
      <c r="L31">
        <f>SUMIF(טבלה2[City],טבלה8[[#This Row],[City]],טבלה2[Arrests9])</f>
        <v>22</v>
      </c>
      <c r="M31" s="2">
        <f>טבלה8[[#This Row],[Arrests9]]/טבלה8[[#This Row],[Attendance8]]</f>
        <v>9.9835724852742304E-5</v>
      </c>
      <c r="N31" s="1">
        <f>SUMIF(טבלה2[City],טבלה8[[#This Row],[City]],טבלה2[Attendance11])</f>
        <v>195751</v>
      </c>
      <c r="O31">
        <f>SUMIF(טבלה2[City],טבלה8[[#This Row],[City]],טבלה2[Arrests12])</f>
        <v>10</v>
      </c>
      <c r="P31" s="2">
        <f>טבלה8[[#This Row],[Arrests12]]/טבלה8[[#This Row],[Attendance11]]</f>
        <v>5.1085307354751699E-5</v>
      </c>
      <c r="Q31" s="1">
        <f>SUMIF(טבלה2[City],טבלה8[[#This Row],[City]],טבלה2[Attendance14])</f>
        <v>190329</v>
      </c>
      <c r="R31">
        <f>SUMIF(טבלה2[City],טבלה8[[#This Row],[City]],טבלה2[Arrests15])</f>
        <v>19</v>
      </c>
      <c r="S31" s="2">
        <f>טבלה8[[#This Row],[Arrests15]]/טבלה8[[#This Row],[Attendance14]]</f>
        <v>9.9827141423535038E-5</v>
      </c>
      <c r="T31" s="1">
        <f>SUMIF(טבלה2[City],טבלה8[[#This Row],[City]],טבלה2[Attendance17])</f>
        <v>181607</v>
      </c>
      <c r="U31">
        <f>SUMIF(טבלה2[City],טבלה8[[#This Row],[City]],טבלה2[Arrests18])</f>
        <v>20</v>
      </c>
      <c r="V31" s="2">
        <f>טבלה8[[#This Row],[Arrests18]]/טבלה8[[#This Row],[Attendance17]]</f>
        <v>1.1012791357161343E-4</v>
      </c>
    </row>
    <row r="32" spans="1:22" x14ac:dyDescent="0.3">
      <c r="A32" t="s">
        <v>92</v>
      </c>
      <c r="B32" s="1">
        <f>SUMIF(טבלה2[City],טבלה8[[#This Row],[City]],טבלה2[Attendance])</f>
        <v>226964</v>
      </c>
      <c r="C32" s="1">
        <f>SUMIF(טבלה2[City],טבלה8[[#This Row],[City]],טבלה2[Arrests])</f>
        <v>132</v>
      </c>
      <c r="D32" s="2">
        <f>טבלה8[[#This Row],[Arrests]]/טבלה8[[#This Row],[Attendance]]</f>
        <v>5.8159003189933202E-4</v>
      </c>
      <c r="E32" s="1">
        <f>SUMIF(טבלה2[City],טבלה8[[#This Row],[City]],טבלה2[Attendance2])</f>
        <v>330699</v>
      </c>
      <c r="F32" s="1">
        <f>SUMIF(טבלה2[City],טבלה8[[#This Row],[City]],טבלה2[Arrests3])</f>
        <v>192</v>
      </c>
      <c r="G32" s="2">
        <f>טבלה8[[#This Row],[Arrests3]]/טבלה8[[#This Row],[Attendance2]]</f>
        <v>5.8058839004653776E-4</v>
      </c>
      <c r="H32" s="1">
        <f>SUMIF(טבלה2[City],טבלה8[[#This Row],[City]],טבלה2[Attendance5])</f>
        <v>392031</v>
      </c>
      <c r="I32">
        <f>SUMIF(טבלה2[City],טבלה8[[#This Row],[City]],טבלה2[Arrests6])</f>
        <v>322</v>
      </c>
      <c r="J32" s="2">
        <f>טבלה8[[#This Row],[Arrests6]]/טבלה8[[#This Row],[Attendance5]]</f>
        <v>8.2136361665276474E-4</v>
      </c>
      <c r="K32" s="1">
        <f>SUMIF(טבלה2[City],טבלה8[[#This Row],[City]],טבלה2[Attendance8])</f>
        <v>369902</v>
      </c>
      <c r="L32">
        <f>SUMIF(טבלה2[City],טבלה8[[#This Row],[City]],טבלה2[Arrests9])</f>
        <v>195</v>
      </c>
      <c r="M32" s="2">
        <f>טבלה8[[#This Row],[Arrests9]]/טבלה8[[#This Row],[Attendance8]]</f>
        <v>5.2716665495185211E-4</v>
      </c>
      <c r="N32" s="1">
        <f>SUMIF(טבלה2[City],טבלה8[[#This Row],[City]],טבלה2[Attendance11])</f>
        <v>316087</v>
      </c>
      <c r="O32">
        <f>SUMIF(טבלה2[City],טבלה8[[#This Row],[City]],טבלה2[Arrests12])</f>
        <v>119</v>
      </c>
      <c r="P32" s="2">
        <f>טבלה8[[#This Row],[Arrests12]]/טבלה8[[#This Row],[Attendance11]]</f>
        <v>3.7647862771958353E-4</v>
      </c>
      <c r="Q32" s="1">
        <f>SUMIF(טבלה2[City],טבלה8[[#This Row],[City]],טבלה2[Attendance14])</f>
        <v>312762</v>
      </c>
      <c r="R32">
        <f>SUMIF(טבלה2[City],טבלה8[[#This Row],[City]],טבלה2[Arrests15])</f>
        <v>84</v>
      </c>
      <c r="S32" s="2">
        <f>טבלה8[[#This Row],[Arrests15]]/טבלה8[[#This Row],[Attendance14]]</f>
        <v>2.6857482686515625E-4</v>
      </c>
      <c r="T32" s="1">
        <f>SUMIF(טבלה2[City],טבלה8[[#This Row],[City]],טבלה2[Attendance17])</f>
        <v>505190</v>
      </c>
      <c r="U32">
        <f>SUMIF(טבלה2[City],טבלה8[[#This Row],[City]],טבלה2[Arrests18])</f>
        <v>119</v>
      </c>
      <c r="V32" s="2">
        <f>טבלה8[[#This Row],[Arrests18]]/טבלה8[[#This Row],[Attendance17]]</f>
        <v>2.3555493972564776E-4</v>
      </c>
    </row>
    <row r="33" spans="1:22" x14ac:dyDescent="0.3">
      <c r="A33" t="s">
        <v>89</v>
      </c>
      <c r="B33" s="1">
        <f>SUBTOTAL(109,טבלה8[Attendance])</f>
        <v>14048226</v>
      </c>
      <c r="C33" s="1">
        <f>SUBTOTAL(109,טבלה8[Arrests])</f>
        <v>4232</v>
      </c>
      <c r="D33" s="2">
        <f>טבלה8[[#Totals],[Arrests]]/טבלה8[[#Totals],[Attendance]]</f>
        <v>3.0124800099315033E-4</v>
      </c>
      <c r="E33" s="1">
        <f>SUBTOTAL(109,טבלה8[Attendance2])</f>
        <v>14133706</v>
      </c>
      <c r="F33" s="1">
        <f>SUBTOTAL(109,טבלה8[Arrests3])</f>
        <v>4297</v>
      </c>
      <c r="G33" s="2">
        <f>טבלה8[[#Totals],[Arrests3]]/טבלה8[[#Totals],[Attendance2]]</f>
        <v>3.040250023596076E-4</v>
      </c>
      <c r="H33" s="1">
        <f>SUBTOTAL(109,טבלה8[Attendance5])</f>
        <v>14588444</v>
      </c>
      <c r="I33" s="1">
        <f>SUBTOTAL(109,טבלה8[Arrests6])</f>
        <v>4327</v>
      </c>
      <c r="J33" s="2">
        <f>טבלה8[[#Totals],[Arrests6]]/טבלה8[[#Totals],[Attendance5]]</f>
        <v>2.9660462760798892E-4</v>
      </c>
      <c r="K33" s="1">
        <f>SUBTOTAL(109,טבלה8[Attendance8])</f>
        <v>15208735</v>
      </c>
      <c r="L33" s="1">
        <f>SUBTOTAL(109,טבלה8[Arrests9])</f>
        <v>3494</v>
      </c>
      <c r="M33" s="2">
        <f>טבלה8[[#Totals],[Arrests9]]/טבלה8[[#Totals],[Attendance8]]</f>
        <v>2.2973639819485315E-4</v>
      </c>
      <c r="N33" s="1">
        <f>SUBTOTAL(109,טבלה8[Attendance11])</f>
        <v>16046053</v>
      </c>
      <c r="O33" s="1">
        <f>SUBTOTAL(109,טבלה8[Arrests12])</f>
        <v>3496</v>
      </c>
      <c r="P33" s="2">
        <f>טבלה8[[#Totals],[Arrests12]]/טבלה8[[#Totals],[Attendance11]]</f>
        <v>2.1787289372657563E-4</v>
      </c>
      <c r="Q33" s="1">
        <f>SUBTOTAL(109,טבלה8[Attendance14])</f>
        <v>15917029</v>
      </c>
      <c r="R33" s="1">
        <f>SUBTOTAL(109,טבלה8[Arrests15])</f>
        <v>2962</v>
      </c>
      <c r="S33" s="2">
        <f>טבלה8[[#Totals],[Arrests15]]/טבלה8[[#Totals],[Attendance14]]</f>
        <v>1.8609000461078509E-4</v>
      </c>
      <c r="T33" s="1">
        <f>SUBTOTAL(109,טבלה8[Attendance17])</f>
        <v>16991232</v>
      </c>
      <c r="U33" s="1">
        <f>SUBTOTAL(109,טבלה8[Arrests18])</f>
        <v>2841</v>
      </c>
      <c r="V33" s="2">
        <f>טבלה8[[#Totals],[Arrests18]]/טבלה8[[#Totals],[Attendance17]]</f>
        <v>1.6720388492135239E-4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conditionalFormatting sqref="A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D1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G1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P1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V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Premier League and Championship</vt:lpstr>
      <vt:lpstr>Arrests by 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Gralnik</dc:creator>
  <cp:lastModifiedBy>Omer Gralnik</cp:lastModifiedBy>
  <dcterms:created xsi:type="dcterms:W3CDTF">2020-04-07T14:42:07Z</dcterms:created>
  <dcterms:modified xsi:type="dcterms:W3CDTF">2020-04-09T09:17:52Z</dcterms:modified>
</cp:coreProperties>
</file>