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 Gralnik\Desktop\Datasets-Premier League\"/>
    </mc:Choice>
  </mc:AlternateContent>
  <xr:revisionPtr revIDLastSave="0" documentId="13_ncr:1_{FA9F689C-0DE3-4A0E-8C37-97A81CBD3266}" xr6:coauthVersionLast="45" xr6:coauthVersionMax="45" xr10:uidLastSave="{00000000-0000-0000-0000-000000000000}"/>
  <bookViews>
    <workbookView xWindow="-110" yWindow="-110" windowWidth="19420" windowHeight="10420" activeTab="1" xr2:uid="{7A2267A6-3329-4BA0-9D89-68E2EF985751}"/>
  </bookViews>
  <sheets>
    <sheet name="3rd_4th Divisions arrests" sheetId="1" r:id="rId1"/>
    <sheet name="Arrests by City" sheetId="2" r:id="rId2"/>
  </sheets>
  <externalReferences>
    <externalReference r:id="rId3"/>
  </externalReferences>
  <definedNames>
    <definedName name="_xlnm._FilterDatabase" localSheetId="0" hidden="1">'3rd_4th Divisions arrests'!$B$3:$B$46</definedName>
    <definedName name="_xlnm.Extract" localSheetId="0">'3rd_4th Divisions arrests'!$Y$45:$Y$46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45" i="2" s="1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45" i="2" s="1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45" i="2" s="1"/>
  <c r="O37" i="2"/>
  <c r="O38" i="2"/>
  <c r="O39" i="2"/>
  <c r="O40" i="2"/>
  <c r="O41" i="2"/>
  <c r="O42" i="2"/>
  <c r="O43" i="2"/>
  <c r="O4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45" i="2" s="1"/>
  <c r="N36" i="2"/>
  <c r="N37" i="2"/>
  <c r="N38" i="2"/>
  <c r="N39" i="2"/>
  <c r="N40" i="2"/>
  <c r="N41" i="2"/>
  <c r="N42" i="2"/>
  <c r="N43" i="2"/>
  <c r="N4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K3" i="2"/>
  <c r="K4" i="2"/>
  <c r="K5" i="2"/>
  <c r="K6" i="2"/>
  <c r="K45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45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45" i="2" s="1"/>
  <c r="E36" i="2"/>
  <c r="E37" i="2"/>
  <c r="E38" i="2"/>
  <c r="E39" i="2"/>
  <c r="E40" i="2"/>
  <c r="E41" i="2"/>
  <c r="E42" i="2"/>
  <c r="E43" i="2"/>
  <c r="E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5" i="2" s="1"/>
  <c r="C36" i="2"/>
  <c r="C37" i="2"/>
  <c r="C38" i="2"/>
  <c r="C39" i="2"/>
  <c r="C40" i="2"/>
  <c r="C41" i="2"/>
  <c r="C42" i="2"/>
  <c r="C43" i="2"/>
  <c r="C4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R45" i="2"/>
  <c r="Q45" i="2"/>
  <c r="F45" i="2"/>
  <c r="I45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2" i="1" s="1"/>
  <c r="I33" i="1"/>
  <c r="I34" i="1"/>
  <c r="I35" i="1"/>
  <c r="I36" i="1"/>
  <c r="K36" i="1" s="1"/>
  <c r="I37" i="1"/>
  <c r="I38" i="1"/>
  <c r="I39" i="1"/>
  <c r="I40" i="1"/>
  <c r="I41" i="1"/>
  <c r="I42" i="1"/>
  <c r="I43" i="1"/>
  <c r="I44" i="1"/>
  <c r="K44" i="1" s="1"/>
  <c r="I45" i="1"/>
  <c r="I46" i="1"/>
  <c r="H3" i="1"/>
  <c r="H4" i="1"/>
  <c r="H5" i="1"/>
  <c r="H6" i="1"/>
  <c r="G8" i="1"/>
  <c r="G9" i="1"/>
  <c r="G10" i="1"/>
  <c r="G11" i="1"/>
  <c r="G12" i="1"/>
  <c r="G13" i="1"/>
  <c r="G14" i="1"/>
  <c r="G15" i="1"/>
  <c r="H15" i="1" s="1"/>
  <c r="G16" i="1"/>
  <c r="G17" i="1"/>
  <c r="G18" i="1"/>
  <c r="G19" i="1"/>
  <c r="H1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" i="1"/>
  <c r="H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8" i="1" s="1"/>
  <c r="F39" i="1"/>
  <c r="F40" i="1"/>
  <c r="F41" i="1"/>
  <c r="F42" i="1"/>
  <c r="H42" i="1" s="1"/>
  <c r="F43" i="1"/>
  <c r="F44" i="1"/>
  <c r="F45" i="1"/>
  <c r="F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B45" i="2" l="1"/>
  <c r="D45" i="2" s="1"/>
  <c r="K28" i="1"/>
  <c r="G45" i="2"/>
  <c r="V45" i="2"/>
  <c r="S45" i="2"/>
  <c r="J45" i="2"/>
  <c r="P45" i="2"/>
  <c r="L45" i="2"/>
  <c r="M45" i="2" s="1"/>
  <c r="H43" i="1"/>
  <c r="H39" i="1"/>
  <c r="H35" i="1"/>
  <c r="H31" i="1"/>
  <c r="K45" i="1"/>
  <c r="K41" i="1"/>
  <c r="K37" i="1"/>
  <c r="K33" i="1"/>
  <c r="K29" i="1"/>
  <c r="K25" i="1"/>
  <c r="K9" i="1"/>
  <c r="H46" i="1"/>
  <c r="H34" i="1"/>
  <c r="H30" i="1"/>
  <c r="K40" i="1"/>
  <c r="H25" i="1"/>
  <c r="H21" i="1"/>
  <c r="H17" i="1"/>
  <c r="H13" i="1"/>
  <c r="H9" i="1"/>
  <c r="K21" i="1"/>
  <c r="K17" i="1"/>
  <c r="K13" i="1"/>
  <c r="K5" i="1"/>
  <c r="H27" i="1"/>
  <c r="H23" i="1"/>
  <c r="H11" i="1"/>
  <c r="H44" i="1"/>
  <c r="H40" i="1"/>
  <c r="H36" i="1"/>
  <c r="H32" i="1"/>
  <c r="H28" i="1"/>
  <c r="H24" i="1"/>
  <c r="H20" i="1"/>
  <c r="H16" i="1"/>
  <c r="H12" i="1"/>
  <c r="H8" i="1"/>
  <c r="K26" i="1"/>
  <c r="K22" i="1"/>
  <c r="K18" i="1"/>
  <c r="K14" i="1"/>
  <c r="K10" i="1"/>
  <c r="K6" i="1"/>
  <c r="K43" i="1"/>
  <c r="K39" i="1"/>
  <c r="K35" i="1"/>
  <c r="K31" i="1"/>
  <c r="K24" i="1"/>
  <c r="K20" i="1"/>
  <c r="K16" i="1"/>
  <c r="K12" i="1"/>
  <c r="K8" i="1"/>
  <c r="K4" i="1"/>
  <c r="K46" i="1"/>
  <c r="K42" i="1"/>
  <c r="K38" i="1"/>
  <c r="K34" i="1"/>
  <c r="K30" i="1"/>
  <c r="K27" i="1"/>
  <c r="K23" i="1"/>
  <c r="K19" i="1"/>
  <c r="K15" i="1"/>
  <c r="K11" i="1"/>
  <c r="K7" i="1"/>
  <c r="K3" i="1"/>
  <c r="N46" i="1"/>
  <c r="N42" i="1"/>
  <c r="N38" i="1"/>
  <c r="N34" i="1"/>
  <c r="N30" i="1"/>
  <c r="N27" i="1"/>
  <c r="N23" i="1"/>
  <c r="N19" i="1"/>
  <c r="N15" i="1"/>
  <c r="N11" i="1"/>
  <c r="N7" i="1"/>
  <c r="N3" i="1"/>
  <c r="N44" i="1"/>
  <c r="N40" i="1"/>
  <c r="N36" i="1"/>
  <c r="N32" i="1"/>
  <c r="N28" i="1"/>
  <c r="N25" i="1"/>
  <c r="N21" i="1"/>
  <c r="N17" i="1"/>
  <c r="N13" i="1"/>
  <c r="N9" i="1"/>
  <c r="N5" i="1"/>
  <c r="H45" i="1"/>
  <c r="H41" i="1"/>
  <c r="H37" i="1"/>
  <c r="H33" i="1"/>
  <c r="H29" i="1"/>
  <c r="H26" i="1"/>
  <c r="H22" i="1"/>
  <c r="H18" i="1"/>
  <c r="H14" i="1"/>
  <c r="H10" i="1"/>
  <c r="N45" i="1"/>
  <c r="N41" i="1"/>
  <c r="N37" i="1"/>
  <c r="N33" i="1"/>
  <c r="N29" i="1"/>
  <c r="N26" i="1"/>
  <c r="N22" i="1"/>
  <c r="N18" i="1"/>
  <c r="N14" i="1"/>
  <c r="N10" i="1"/>
  <c r="N6" i="1"/>
  <c r="N43" i="1"/>
  <c r="N39" i="1"/>
  <c r="N35" i="1"/>
  <c r="N31" i="1"/>
  <c r="N24" i="1"/>
  <c r="N20" i="1"/>
  <c r="N16" i="1"/>
  <c r="N12" i="1"/>
  <c r="N8" i="1"/>
  <c r="N4" i="1"/>
  <c r="V47" i="1" l="1"/>
  <c r="U47" i="1"/>
  <c r="S47" i="1"/>
  <c r="R47" i="1"/>
  <c r="P47" i="1"/>
  <c r="O47" i="1"/>
  <c r="M47" i="1"/>
  <c r="L47" i="1"/>
  <c r="J47" i="1"/>
  <c r="I47" i="1"/>
  <c r="G47" i="1"/>
  <c r="F47" i="1"/>
  <c r="D47" i="1"/>
  <c r="C47" i="1"/>
  <c r="K47" i="1" l="1"/>
  <c r="Q47" i="1"/>
  <c r="N47" i="1"/>
  <c r="T47" i="1"/>
  <c r="W47" i="1"/>
  <c r="H47" i="1"/>
  <c r="E47" i="1"/>
</calcChain>
</file>

<file path=xl/sharedStrings.xml><?xml version="1.0" encoding="utf-8"?>
<sst xmlns="http://schemas.openxmlformats.org/spreadsheetml/2006/main" count="190" uniqueCount="105">
  <si>
    <t>1987/1988</t>
  </si>
  <si>
    <t>1988/1989</t>
  </si>
  <si>
    <t>1989/1990</t>
  </si>
  <si>
    <t>1990/1991</t>
  </si>
  <si>
    <t>1991/1992</t>
  </si>
  <si>
    <t>1992/1993</t>
  </si>
  <si>
    <t>1993/1994</t>
  </si>
  <si>
    <t>Team</t>
  </si>
  <si>
    <t>City</t>
  </si>
  <si>
    <t>Attendance</t>
  </si>
  <si>
    <t>Arrests</t>
  </si>
  <si>
    <t>% Arrests</t>
  </si>
  <si>
    <t>Attendance2</t>
  </si>
  <si>
    <t>Arrests3</t>
  </si>
  <si>
    <t>% Arrests4</t>
  </si>
  <si>
    <t>Attendance5</t>
  </si>
  <si>
    <t>Arrests6</t>
  </si>
  <si>
    <t>% Arrests7</t>
  </si>
  <si>
    <t>Attendance8</t>
  </si>
  <si>
    <t>Arrests9</t>
  </si>
  <si>
    <t>% Arrests10</t>
  </si>
  <si>
    <t>Attendance11</t>
  </si>
  <si>
    <t>Arrests12</t>
  </si>
  <si>
    <t>% Arrests13</t>
  </si>
  <si>
    <t>Attendance14</t>
  </si>
  <si>
    <t>Arrests15</t>
  </si>
  <si>
    <t>% Arrests16</t>
  </si>
  <si>
    <t>Attendance17</t>
  </si>
  <si>
    <t>Arrests18</t>
  </si>
  <si>
    <t>% Arrests19</t>
  </si>
  <si>
    <t>London</t>
  </si>
  <si>
    <t>Total</t>
  </si>
  <si>
    <t>Blackpool</t>
  </si>
  <si>
    <t>Bolton Wanderers</t>
  </si>
  <si>
    <t>Bradford City</t>
  </si>
  <si>
    <t>Brentford</t>
  </si>
  <si>
    <t>Burnley</t>
  </si>
  <si>
    <t>Bury</t>
  </si>
  <si>
    <t>Cambridge United</t>
  </si>
  <si>
    <t>Cardiff City</t>
  </si>
  <si>
    <t>Carlisle United</t>
  </si>
  <si>
    <t>Chester City</t>
  </si>
  <si>
    <t xml:space="preserve">Chesterfield </t>
  </si>
  <si>
    <t>Colchester</t>
  </si>
  <si>
    <t>Crewe</t>
  </si>
  <si>
    <t>Darlington</t>
  </si>
  <si>
    <t>Doncaster Rovers</t>
  </si>
  <si>
    <t>Exeter</t>
  </si>
  <si>
    <t>Fulham</t>
  </si>
  <si>
    <t>Gillingham</t>
  </si>
  <si>
    <t>Grimsby Town</t>
  </si>
  <si>
    <t>Halifax Town</t>
  </si>
  <si>
    <t>Hartlepool United</t>
  </si>
  <si>
    <t>Hereford United</t>
  </si>
  <si>
    <t>Huddersfield Town</t>
  </si>
  <si>
    <t>Leyton Orient</t>
  </si>
  <si>
    <t>Mansfield Town</t>
  </si>
  <si>
    <t>Northampton Town</t>
  </si>
  <si>
    <t>Port Vale</t>
  </si>
  <si>
    <t xml:space="preserve">Preston North End </t>
  </si>
  <si>
    <t xml:space="preserve">Reading </t>
  </si>
  <si>
    <t>Rochdale</t>
  </si>
  <si>
    <t>Rotherham United</t>
  </si>
  <si>
    <t>Scarborough</t>
  </si>
  <si>
    <t>Scunthorpe United</t>
  </si>
  <si>
    <t>Shrewsbury Town</t>
  </si>
  <si>
    <t>Southend United</t>
  </si>
  <si>
    <t>Stockport County</t>
  </si>
  <si>
    <t>Swansea City</t>
  </si>
  <si>
    <t>Torquay United</t>
  </si>
  <si>
    <t>Tranmere Rovers</t>
  </si>
  <si>
    <t>Walsall</t>
  </si>
  <si>
    <t>Wigan Athletic</t>
  </si>
  <si>
    <t xml:space="preserve">Wrexham </t>
  </si>
  <si>
    <t>York City</t>
  </si>
  <si>
    <t>Peterborough United</t>
  </si>
  <si>
    <t>Reading</t>
  </si>
  <si>
    <t>Wrexham</t>
  </si>
  <si>
    <t>Bolton</t>
  </si>
  <si>
    <t>Bradford</t>
  </si>
  <si>
    <t>Cambridge</t>
  </si>
  <si>
    <t>Cardiff</t>
  </si>
  <si>
    <t>Carlisle</t>
  </si>
  <si>
    <t>Chester</t>
  </si>
  <si>
    <t>Doncaster</t>
  </si>
  <si>
    <t>Grimsby</t>
  </si>
  <si>
    <t>Halifax</t>
  </si>
  <si>
    <t>Hartlepool</t>
  </si>
  <si>
    <t>Hereford</t>
  </si>
  <si>
    <t>Huddersfield</t>
  </si>
  <si>
    <t>Mansfield</t>
  </si>
  <si>
    <t>Northampton</t>
  </si>
  <si>
    <t>Peterborough</t>
  </si>
  <si>
    <t>Preston</t>
  </si>
  <si>
    <t>Rotherham</t>
  </si>
  <si>
    <t>Scunthorpe</t>
  </si>
  <si>
    <t>Shrewsbury</t>
  </si>
  <si>
    <t>Stockport</t>
  </si>
  <si>
    <t>Swansea</t>
  </si>
  <si>
    <t>Torquay</t>
  </si>
  <si>
    <t>Tranmere</t>
  </si>
  <si>
    <t>Wigan</t>
  </si>
  <si>
    <t>York</t>
  </si>
  <si>
    <t>Stoke On Trent</t>
  </si>
  <si>
    <t>Southend On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</si>
</sst>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font>
        <sz val="10"/>
        <color rgb="FF000000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font>
        <sz val="10"/>
        <color rgb="FF000000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otball%20arrests%201988-1991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Sheet"/>
      <sheetName val="Contents"/>
      <sheetName val="Table_1"/>
      <sheetName val="Table_2"/>
      <sheetName val="Table_3"/>
    </sheetNames>
    <sheetDataSet>
      <sheetData sheetId="0" refreshError="1"/>
      <sheetData sheetId="1" refreshError="1"/>
      <sheetData sheetId="2" refreshError="1">
        <row r="5">
          <cell r="A5" t="str">
            <v>AFC Bournemouth</v>
          </cell>
          <cell r="B5">
            <v>186002</v>
          </cell>
          <cell r="C5">
            <v>35</v>
          </cell>
        </row>
        <row r="6">
          <cell r="A6" t="str">
            <v>Aldershot</v>
          </cell>
          <cell r="B6">
            <v>60249</v>
          </cell>
          <cell r="C6">
            <v>65</v>
          </cell>
        </row>
        <row r="7">
          <cell r="A7" t="str">
            <v>Arsenal</v>
          </cell>
          <cell r="B7">
            <v>676267</v>
          </cell>
          <cell r="C7">
            <v>167</v>
          </cell>
        </row>
        <row r="8">
          <cell r="A8" t="str">
            <v>Aston Villa</v>
          </cell>
          <cell r="B8">
            <v>443362</v>
          </cell>
          <cell r="C8">
            <v>344</v>
          </cell>
        </row>
        <row r="9">
          <cell r="A9" t="str">
            <v>Barnsley</v>
          </cell>
          <cell r="B9">
            <v>166129</v>
          </cell>
          <cell r="C9">
            <v>21</v>
          </cell>
        </row>
        <row r="10">
          <cell r="A10" t="str">
            <v>Birmingham</v>
          </cell>
          <cell r="B10">
            <v>144577</v>
          </cell>
          <cell r="C10">
            <v>65</v>
          </cell>
        </row>
        <row r="11">
          <cell r="A11" t="str">
            <v>Blackburn</v>
          </cell>
          <cell r="B11">
            <v>191379</v>
          </cell>
          <cell r="C11">
            <v>37</v>
          </cell>
        </row>
        <row r="12">
          <cell r="A12" t="str">
            <v>Blackpool</v>
          </cell>
          <cell r="B12">
            <v>88701</v>
          </cell>
          <cell r="C12">
            <v>66</v>
          </cell>
        </row>
        <row r="13">
          <cell r="A13" t="str">
            <v>Bolton Wanderers</v>
          </cell>
          <cell r="B13">
            <v>124626</v>
          </cell>
          <cell r="C13">
            <v>40</v>
          </cell>
        </row>
        <row r="14">
          <cell r="A14" t="str">
            <v>Bradford City</v>
          </cell>
          <cell r="B14">
            <v>242007</v>
          </cell>
          <cell r="C14">
            <v>85</v>
          </cell>
        </row>
        <row r="15">
          <cell r="A15" t="str">
            <v>Brentford</v>
          </cell>
          <cell r="B15">
            <v>129296</v>
          </cell>
          <cell r="C15">
            <v>50</v>
          </cell>
        </row>
        <row r="16">
          <cell r="A16" t="str">
            <v>Brighton</v>
          </cell>
          <cell r="B16">
            <v>208022</v>
          </cell>
          <cell r="C16">
            <v>47</v>
          </cell>
        </row>
        <row r="17">
          <cell r="A17" t="str">
            <v>Bristol City</v>
          </cell>
          <cell r="B17">
            <v>186371</v>
          </cell>
          <cell r="C17">
            <v>73</v>
          </cell>
        </row>
        <row r="18">
          <cell r="A18" t="str">
            <v>Bristol Rovers</v>
          </cell>
          <cell r="B18">
            <v>121856</v>
          </cell>
          <cell r="C18">
            <v>67</v>
          </cell>
        </row>
        <row r="19">
          <cell r="A19" t="str">
            <v>Burnley</v>
          </cell>
          <cell r="B19">
            <v>162583</v>
          </cell>
          <cell r="C19">
            <v>47</v>
          </cell>
        </row>
        <row r="20">
          <cell r="A20" t="str">
            <v>Bury</v>
          </cell>
          <cell r="B20">
            <v>77346</v>
          </cell>
          <cell r="C20">
            <v>27</v>
          </cell>
        </row>
        <row r="21">
          <cell r="A21" t="str">
            <v>Cambridge United</v>
          </cell>
          <cell r="B21">
            <v>59655</v>
          </cell>
          <cell r="C21">
            <v>17</v>
          </cell>
        </row>
        <row r="22">
          <cell r="A22" t="str">
            <v>Cardiff City</v>
          </cell>
          <cell r="B22">
            <v>100643</v>
          </cell>
          <cell r="C22">
            <v>16</v>
          </cell>
        </row>
        <row r="23">
          <cell r="A23" t="str">
            <v>Carlisle United</v>
          </cell>
          <cell r="B23">
            <v>73696</v>
          </cell>
          <cell r="C23">
            <v>17</v>
          </cell>
        </row>
        <row r="24">
          <cell r="A24" t="str">
            <v>Charlton Athletic</v>
          </cell>
          <cell r="B24">
            <v>177760</v>
          </cell>
          <cell r="C24">
            <v>47</v>
          </cell>
        </row>
        <row r="25">
          <cell r="A25" t="str">
            <v>Chelsea</v>
          </cell>
          <cell r="B25">
            <v>371685</v>
          </cell>
          <cell r="C25">
            <v>304</v>
          </cell>
        </row>
        <row r="26">
          <cell r="A26" t="str">
            <v>Chester City</v>
          </cell>
          <cell r="B26">
            <v>70119</v>
          </cell>
          <cell r="C26">
            <v>20</v>
          </cell>
        </row>
        <row r="27">
          <cell r="A27" t="str">
            <v xml:space="preserve">Chesterfield </v>
          </cell>
          <cell r="B27">
            <v>86746</v>
          </cell>
          <cell r="C27">
            <v>44</v>
          </cell>
        </row>
        <row r="28">
          <cell r="A28" t="str">
            <v>Colchester</v>
          </cell>
          <cell r="B28">
            <v>66421</v>
          </cell>
          <cell r="C28">
            <v>7</v>
          </cell>
        </row>
        <row r="29">
          <cell r="A29" t="str">
            <v>Coventry</v>
          </cell>
          <cell r="B29">
            <v>302902</v>
          </cell>
          <cell r="C29">
            <v>190</v>
          </cell>
        </row>
        <row r="30">
          <cell r="A30" t="str">
            <v>Crewe</v>
          </cell>
          <cell r="B30">
            <v>74202</v>
          </cell>
          <cell r="C30">
            <v>30</v>
          </cell>
        </row>
        <row r="31">
          <cell r="A31" t="str">
            <v>Crystal Palace</v>
          </cell>
          <cell r="B31">
            <v>245342</v>
          </cell>
          <cell r="C31">
            <v>71</v>
          </cell>
        </row>
        <row r="32">
          <cell r="A32" t="str">
            <v>Darlington</v>
          </cell>
          <cell r="B32">
            <v>53278</v>
          </cell>
          <cell r="C32">
            <v>26</v>
          </cell>
        </row>
        <row r="33">
          <cell r="A33" t="str">
            <v>Derby County</v>
          </cell>
          <cell r="B33">
            <v>335964</v>
          </cell>
          <cell r="C33">
            <v>132</v>
          </cell>
        </row>
        <row r="34">
          <cell r="A34" t="str">
            <v>Doncaster Rovers</v>
          </cell>
          <cell r="B34">
            <v>49796</v>
          </cell>
          <cell r="C34">
            <v>20</v>
          </cell>
        </row>
        <row r="35">
          <cell r="A35" t="str">
            <v>Everton</v>
          </cell>
          <cell r="B35">
            <v>521444</v>
          </cell>
          <cell r="C35">
            <v>80</v>
          </cell>
        </row>
        <row r="36">
          <cell r="A36" t="str">
            <v>Exeter</v>
          </cell>
          <cell r="B36">
            <v>59832</v>
          </cell>
          <cell r="C36">
            <v>12</v>
          </cell>
        </row>
        <row r="37">
          <cell r="A37" t="str">
            <v>Fulham</v>
          </cell>
          <cell r="B37">
            <v>113580</v>
          </cell>
          <cell r="C37">
            <v>126</v>
          </cell>
        </row>
        <row r="38">
          <cell r="A38" t="str">
            <v>Gillingham</v>
          </cell>
          <cell r="B38">
            <v>84907</v>
          </cell>
          <cell r="C38">
            <v>23</v>
          </cell>
        </row>
        <row r="39">
          <cell r="A39" t="str">
            <v>Grimsby Town</v>
          </cell>
          <cell r="B39">
            <v>98949</v>
          </cell>
          <cell r="C39">
            <v>79</v>
          </cell>
        </row>
        <row r="40">
          <cell r="A40" t="str">
            <v>Halifax Town</v>
          </cell>
          <cell r="B40">
            <v>43577</v>
          </cell>
          <cell r="C40">
            <v>62</v>
          </cell>
        </row>
        <row r="41">
          <cell r="A41" t="str">
            <v>Hartlepool United</v>
          </cell>
          <cell r="B41">
            <v>46921</v>
          </cell>
          <cell r="C41">
            <v>21</v>
          </cell>
        </row>
        <row r="42">
          <cell r="A42" t="str">
            <v>Hereford United</v>
          </cell>
          <cell r="B42">
            <v>49619</v>
          </cell>
          <cell r="C42">
            <v>28</v>
          </cell>
        </row>
        <row r="43">
          <cell r="A43" t="str">
            <v>Huddersfield Town</v>
          </cell>
          <cell r="B43">
            <v>133989</v>
          </cell>
          <cell r="C43">
            <v>34</v>
          </cell>
        </row>
        <row r="44">
          <cell r="A44" t="str">
            <v>Hull City</v>
          </cell>
          <cell r="B44">
            <v>135915</v>
          </cell>
          <cell r="C44">
            <v>18</v>
          </cell>
        </row>
        <row r="45">
          <cell r="A45" t="str">
            <v>Ipswich Town</v>
          </cell>
          <cell r="B45">
            <v>288319</v>
          </cell>
          <cell r="C45">
            <v>31</v>
          </cell>
        </row>
        <row r="46">
          <cell r="A46" t="str">
            <v>Leeds United</v>
          </cell>
          <cell r="B46">
            <v>500906</v>
          </cell>
          <cell r="C46">
            <v>159</v>
          </cell>
        </row>
        <row r="47">
          <cell r="A47" t="str">
            <v>Leicester City</v>
          </cell>
          <cell r="B47">
            <v>239357</v>
          </cell>
          <cell r="C47">
            <v>95</v>
          </cell>
        </row>
        <row r="48">
          <cell r="A48" t="str">
            <v>Leyton Orient</v>
          </cell>
          <cell r="B48">
            <v>87340</v>
          </cell>
          <cell r="C48">
            <v>8</v>
          </cell>
        </row>
        <row r="49">
          <cell r="A49" t="str">
            <v>Lincoln City</v>
          </cell>
          <cell r="B49">
            <v>90051</v>
          </cell>
          <cell r="C49">
            <v>19</v>
          </cell>
        </row>
        <row r="50">
          <cell r="A50" t="str">
            <v>Liverpool</v>
          </cell>
          <cell r="B50">
            <v>734902</v>
          </cell>
          <cell r="C50">
            <v>132</v>
          </cell>
        </row>
        <row r="51">
          <cell r="A51" t="str">
            <v>Luton Town</v>
          </cell>
          <cell r="B51">
            <v>176681</v>
          </cell>
          <cell r="C51">
            <v>7</v>
          </cell>
        </row>
        <row r="52">
          <cell r="A52" t="str">
            <v>Manchester City</v>
          </cell>
          <cell r="B52">
            <v>540476</v>
          </cell>
          <cell r="C52">
            <v>39</v>
          </cell>
        </row>
        <row r="53">
          <cell r="A53" t="str">
            <v>Manchester United</v>
          </cell>
          <cell r="B53">
            <v>693257</v>
          </cell>
          <cell r="C53">
            <v>60</v>
          </cell>
        </row>
        <row r="54">
          <cell r="A54" t="str">
            <v>Mansfield Town</v>
          </cell>
          <cell r="B54">
            <v>92033</v>
          </cell>
          <cell r="C54">
            <v>40</v>
          </cell>
        </row>
        <row r="55">
          <cell r="A55" t="str">
            <v>Middlesbrough</v>
          </cell>
          <cell r="B55">
            <v>378210</v>
          </cell>
          <cell r="C55">
            <v>86</v>
          </cell>
        </row>
        <row r="56">
          <cell r="A56" t="str">
            <v>Millwall</v>
          </cell>
          <cell r="B56">
            <v>293926</v>
          </cell>
          <cell r="C56">
            <v>160</v>
          </cell>
        </row>
        <row r="57">
          <cell r="A57" t="str">
            <v xml:space="preserve">Newcastle </v>
          </cell>
          <cell r="B57">
            <v>433487</v>
          </cell>
          <cell r="C57">
            <v>166</v>
          </cell>
        </row>
        <row r="58">
          <cell r="A58" t="str">
            <v>Northampton Town</v>
          </cell>
          <cell r="B58">
            <v>91030</v>
          </cell>
          <cell r="C58">
            <v>3</v>
          </cell>
        </row>
        <row r="59">
          <cell r="A59" t="str">
            <v>Norwich City</v>
          </cell>
          <cell r="B59">
            <v>318844</v>
          </cell>
          <cell r="C59">
            <v>86</v>
          </cell>
        </row>
        <row r="60">
          <cell r="A60" t="str">
            <v>Notts County</v>
          </cell>
          <cell r="B60">
            <v>130654</v>
          </cell>
          <cell r="C60">
            <v>49</v>
          </cell>
        </row>
        <row r="61">
          <cell r="A61" t="str">
            <v>Nottingham Forest</v>
          </cell>
          <cell r="B61">
            <v>394911</v>
          </cell>
          <cell r="C61">
            <v>66</v>
          </cell>
        </row>
        <row r="62">
          <cell r="A62" t="str">
            <v>Oldham Athletic</v>
          </cell>
          <cell r="B62">
            <v>160325</v>
          </cell>
          <cell r="C62">
            <v>12</v>
          </cell>
        </row>
        <row r="63">
          <cell r="A63" t="str">
            <v>Oxford United</v>
          </cell>
          <cell r="B63">
            <v>145788</v>
          </cell>
          <cell r="C63">
            <v>36</v>
          </cell>
        </row>
        <row r="64">
          <cell r="A64" t="str">
            <v>Peterborough United</v>
          </cell>
          <cell r="B64">
            <v>74469</v>
          </cell>
          <cell r="C64">
            <v>14</v>
          </cell>
        </row>
        <row r="65">
          <cell r="A65" t="str">
            <v>Plymouth Argyle</v>
          </cell>
          <cell r="B65">
            <v>198443</v>
          </cell>
          <cell r="C65">
            <v>19</v>
          </cell>
        </row>
        <row r="66">
          <cell r="A66" t="str">
            <v>Portsmouth</v>
          </cell>
          <cell r="B66">
            <v>233980</v>
          </cell>
          <cell r="C66">
            <v>162</v>
          </cell>
        </row>
        <row r="67">
          <cell r="A67" t="str">
            <v>Port Vale</v>
          </cell>
          <cell r="B67">
            <v>154426</v>
          </cell>
          <cell r="C67">
            <v>79</v>
          </cell>
        </row>
        <row r="68">
          <cell r="A68" t="str">
            <v xml:space="preserve">Preston North End </v>
          </cell>
          <cell r="B68">
            <v>163703</v>
          </cell>
          <cell r="C68">
            <v>51</v>
          </cell>
        </row>
        <row r="69">
          <cell r="A69" t="str">
            <v>Queens Park Rangers</v>
          </cell>
          <cell r="B69">
            <v>235018</v>
          </cell>
          <cell r="C69">
            <v>95</v>
          </cell>
        </row>
        <row r="70">
          <cell r="A70" t="str">
            <v xml:space="preserve">Reading </v>
          </cell>
          <cell r="B70">
            <v>117613</v>
          </cell>
          <cell r="C70">
            <v>25</v>
          </cell>
        </row>
        <row r="71">
          <cell r="A71" t="str">
            <v>Rochdale</v>
          </cell>
          <cell r="B71">
            <v>45127</v>
          </cell>
          <cell r="C71">
            <v>47</v>
          </cell>
        </row>
        <row r="72">
          <cell r="A72" t="str">
            <v>Rotherham United</v>
          </cell>
          <cell r="B72">
            <v>116279</v>
          </cell>
          <cell r="C72">
            <v>31</v>
          </cell>
        </row>
        <row r="73">
          <cell r="A73" t="str">
            <v>Scarborough</v>
          </cell>
          <cell r="B73">
            <v>66895</v>
          </cell>
          <cell r="C73">
            <v>51</v>
          </cell>
        </row>
        <row r="74">
          <cell r="A74" t="str">
            <v>Scunthorpe United</v>
          </cell>
          <cell r="B74">
            <v>104588</v>
          </cell>
          <cell r="C74">
            <v>55</v>
          </cell>
        </row>
        <row r="75">
          <cell r="A75" t="str">
            <v>Sheffield United</v>
          </cell>
          <cell r="B75">
            <v>280315</v>
          </cell>
          <cell r="C75">
            <v>50</v>
          </cell>
        </row>
        <row r="76">
          <cell r="A76" t="str">
            <v>Sheffield Wednesday</v>
          </cell>
          <cell r="B76">
            <v>380807</v>
          </cell>
          <cell r="C76">
            <v>80</v>
          </cell>
        </row>
        <row r="77">
          <cell r="A77" t="str">
            <v>Shrewsbury Town</v>
          </cell>
          <cell r="B77">
            <v>108100</v>
          </cell>
          <cell r="C77">
            <v>37</v>
          </cell>
        </row>
        <row r="78">
          <cell r="A78" t="str">
            <v>Southampton</v>
          </cell>
          <cell r="B78">
            <v>296047</v>
          </cell>
          <cell r="C78">
            <v>146</v>
          </cell>
        </row>
        <row r="79">
          <cell r="A79" t="str">
            <v>Southend United</v>
          </cell>
          <cell r="B79">
            <v>84479</v>
          </cell>
          <cell r="C79">
            <v>30</v>
          </cell>
        </row>
        <row r="80">
          <cell r="A80" t="str">
            <v>Stockport County</v>
          </cell>
          <cell r="B80">
            <v>64061</v>
          </cell>
          <cell r="C80">
            <v>53</v>
          </cell>
        </row>
        <row r="81">
          <cell r="A81" t="str">
            <v>Stoke City</v>
          </cell>
          <cell r="B81">
            <v>214979</v>
          </cell>
          <cell r="C81">
            <v>44</v>
          </cell>
        </row>
        <row r="82">
          <cell r="A82" t="str">
            <v>Sunderland</v>
          </cell>
          <cell r="B82">
            <v>342217</v>
          </cell>
          <cell r="C82">
            <v>49</v>
          </cell>
        </row>
        <row r="83">
          <cell r="A83" t="str">
            <v>Swansea City</v>
          </cell>
          <cell r="B83">
            <v>112895</v>
          </cell>
          <cell r="C83">
            <v>51</v>
          </cell>
        </row>
        <row r="84">
          <cell r="A84" t="str">
            <v>Swindon Town</v>
          </cell>
          <cell r="B84">
            <v>198881</v>
          </cell>
          <cell r="C84">
            <v>44</v>
          </cell>
        </row>
        <row r="85">
          <cell r="A85" t="str">
            <v>Torquay United</v>
          </cell>
          <cell r="B85">
            <v>53852</v>
          </cell>
          <cell r="C85">
            <v>16</v>
          </cell>
        </row>
        <row r="86">
          <cell r="A86" t="str">
            <v>Tottenham Hotspur</v>
          </cell>
          <cell r="B86">
            <v>464876</v>
          </cell>
          <cell r="C86">
            <v>127</v>
          </cell>
        </row>
        <row r="87">
          <cell r="A87" t="str">
            <v>Tranmere Rovers</v>
          </cell>
          <cell r="B87">
            <v>121830</v>
          </cell>
          <cell r="C87">
            <v>20</v>
          </cell>
        </row>
        <row r="88">
          <cell r="A88" t="str">
            <v>Walsall</v>
          </cell>
          <cell r="B88">
            <v>140495</v>
          </cell>
          <cell r="C88">
            <v>148</v>
          </cell>
        </row>
        <row r="89">
          <cell r="A89" t="str">
            <v>Watford</v>
          </cell>
          <cell r="B89">
            <v>279446</v>
          </cell>
          <cell r="C89">
            <v>44</v>
          </cell>
        </row>
        <row r="90">
          <cell r="A90" t="str">
            <v xml:space="preserve">West Bromwich Albion </v>
          </cell>
          <cell r="B90">
            <v>290683</v>
          </cell>
          <cell r="C90">
            <v>145</v>
          </cell>
        </row>
        <row r="91">
          <cell r="A91" t="str">
            <v>West Ham</v>
          </cell>
          <cell r="B91">
            <v>394126</v>
          </cell>
          <cell r="C91">
            <v>201</v>
          </cell>
        </row>
        <row r="92">
          <cell r="A92" t="str">
            <v>Wigan Athletic</v>
          </cell>
          <cell r="B92">
            <v>72263</v>
          </cell>
          <cell r="C92">
            <v>4</v>
          </cell>
        </row>
        <row r="93">
          <cell r="A93" t="str">
            <v>Wimbledon</v>
          </cell>
          <cell r="B93">
            <v>148169</v>
          </cell>
          <cell r="C93">
            <v>17</v>
          </cell>
        </row>
        <row r="94">
          <cell r="A94" t="str">
            <v>Wolverhampton</v>
          </cell>
          <cell r="B94">
            <v>330699</v>
          </cell>
          <cell r="C94">
            <v>192</v>
          </cell>
        </row>
        <row r="95">
          <cell r="A95" t="str">
            <v xml:space="preserve">Wrexham </v>
          </cell>
          <cell r="B95">
            <v>61051</v>
          </cell>
          <cell r="C95">
            <v>12</v>
          </cell>
        </row>
        <row r="96">
          <cell r="A96" t="str">
            <v>York City</v>
          </cell>
          <cell r="B96">
            <v>59119</v>
          </cell>
          <cell r="C96">
            <v>132</v>
          </cell>
        </row>
      </sheetData>
      <sheetData sheetId="3" refreshError="1">
        <row r="5">
          <cell r="A5" t="str">
            <v>AFC Bournemouth</v>
          </cell>
          <cell r="C5">
            <v>171432</v>
          </cell>
          <cell r="D5">
            <v>213</v>
          </cell>
        </row>
        <row r="6">
          <cell r="A6" t="str">
            <v>Aldershot</v>
          </cell>
          <cell r="C6">
            <v>46537</v>
          </cell>
          <cell r="D6">
            <v>36</v>
          </cell>
        </row>
        <row r="7">
          <cell r="A7" t="str">
            <v>Arsenal</v>
          </cell>
          <cell r="C7">
            <v>639763</v>
          </cell>
          <cell r="D7">
            <v>143</v>
          </cell>
        </row>
        <row r="8">
          <cell r="A8" t="str">
            <v>Aston Villa</v>
          </cell>
          <cell r="C8">
            <v>485356</v>
          </cell>
          <cell r="D8">
            <v>215</v>
          </cell>
        </row>
        <row r="9">
          <cell r="A9" t="str">
            <v>Barnsley</v>
          </cell>
          <cell r="C9">
            <v>207389</v>
          </cell>
          <cell r="D9">
            <v>54</v>
          </cell>
        </row>
        <row r="10">
          <cell r="A10" t="str">
            <v>Birmingham</v>
          </cell>
          <cell r="C10">
            <v>195242</v>
          </cell>
          <cell r="D10">
            <v>152</v>
          </cell>
        </row>
        <row r="11">
          <cell r="A11" t="str">
            <v>Blackburn</v>
          </cell>
          <cell r="C11">
            <v>221054</v>
          </cell>
          <cell r="D11">
            <v>51</v>
          </cell>
        </row>
        <row r="12">
          <cell r="A12" t="str">
            <v>Blackpool</v>
          </cell>
          <cell r="C12">
            <v>93527</v>
          </cell>
          <cell r="D12">
            <v>107</v>
          </cell>
        </row>
        <row r="13">
          <cell r="A13" t="str">
            <v>Bolton Wanderers</v>
          </cell>
          <cell r="C13">
            <v>167770</v>
          </cell>
          <cell r="D13">
            <v>73</v>
          </cell>
        </row>
        <row r="14">
          <cell r="A14" t="str">
            <v>Bradford City</v>
          </cell>
          <cell r="C14">
            <v>199041</v>
          </cell>
          <cell r="D14">
            <v>69</v>
          </cell>
        </row>
        <row r="15">
          <cell r="A15" t="str">
            <v>Brentford</v>
          </cell>
          <cell r="C15">
            <v>130189</v>
          </cell>
          <cell r="D15">
            <v>25</v>
          </cell>
        </row>
        <row r="16">
          <cell r="A16" t="str">
            <v>Brighton</v>
          </cell>
          <cell r="C16">
            <v>198105</v>
          </cell>
          <cell r="D16">
            <v>55</v>
          </cell>
        </row>
        <row r="17">
          <cell r="A17" t="str">
            <v>Bristol City</v>
          </cell>
          <cell r="C17">
            <v>262037</v>
          </cell>
          <cell r="D17">
            <v>114</v>
          </cell>
        </row>
        <row r="18">
          <cell r="A18" t="str">
            <v>Bristol Rovers</v>
          </cell>
          <cell r="C18">
            <v>142791</v>
          </cell>
          <cell r="D18">
            <v>50</v>
          </cell>
        </row>
        <row r="19">
          <cell r="A19" t="str">
            <v>Burnley</v>
          </cell>
          <cell r="C19">
            <v>142967</v>
          </cell>
          <cell r="D19">
            <v>47</v>
          </cell>
        </row>
        <row r="20">
          <cell r="A20" t="str">
            <v>Bury</v>
          </cell>
          <cell r="C20">
            <v>79210</v>
          </cell>
          <cell r="D20">
            <v>27</v>
          </cell>
        </row>
        <row r="21">
          <cell r="A21" t="str">
            <v>Cambridge United</v>
          </cell>
          <cell r="C21">
            <v>45349</v>
          </cell>
          <cell r="D21">
            <v>1</v>
          </cell>
        </row>
        <row r="22">
          <cell r="A22" t="str">
            <v>Cardiff City</v>
          </cell>
          <cell r="C22">
            <v>84304</v>
          </cell>
          <cell r="D22">
            <v>32</v>
          </cell>
        </row>
        <row r="23">
          <cell r="A23" t="str">
            <v>Carlisle United</v>
          </cell>
          <cell r="C23">
            <v>107959</v>
          </cell>
          <cell r="D23">
            <v>15</v>
          </cell>
        </row>
        <row r="24">
          <cell r="A24" t="str">
            <v>Charlton Athletic</v>
          </cell>
          <cell r="C24">
            <v>204503</v>
          </cell>
          <cell r="D24">
            <v>64</v>
          </cell>
        </row>
        <row r="25">
          <cell r="A25" t="str">
            <v>Chelsea</v>
          </cell>
          <cell r="C25">
            <v>415239</v>
          </cell>
          <cell r="D25">
            <v>236</v>
          </cell>
        </row>
        <row r="26">
          <cell r="A26" t="str">
            <v>Chester City</v>
          </cell>
          <cell r="C26">
            <v>55914</v>
          </cell>
          <cell r="D26">
            <v>46</v>
          </cell>
        </row>
        <row r="27">
          <cell r="A27" t="str">
            <v xml:space="preserve">Chesterfield </v>
          </cell>
          <cell r="C27">
            <v>98265</v>
          </cell>
          <cell r="D27">
            <v>54</v>
          </cell>
        </row>
        <row r="28">
          <cell r="A28" t="str">
            <v>Colchester</v>
          </cell>
          <cell r="C28">
            <v>70940</v>
          </cell>
          <cell r="D28">
            <v>17</v>
          </cell>
        </row>
        <row r="29">
          <cell r="A29" t="str">
            <v>Coventry</v>
          </cell>
          <cell r="C29">
            <v>271543</v>
          </cell>
          <cell r="D29">
            <v>192</v>
          </cell>
        </row>
        <row r="30">
          <cell r="A30" t="str">
            <v>Crewe</v>
          </cell>
          <cell r="C30">
            <v>93156</v>
          </cell>
          <cell r="D30">
            <v>11</v>
          </cell>
        </row>
        <row r="31">
          <cell r="A31" t="str">
            <v>Crystal Palace</v>
          </cell>
          <cell r="C31">
            <v>323792</v>
          </cell>
          <cell r="D31">
            <v>76</v>
          </cell>
        </row>
        <row r="32">
          <cell r="A32" t="str">
            <v>Derby County</v>
          </cell>
          <cell r="C32">
            <v>329912</v>
          </cell>
          <cell r="D32">
            <v>89</v>
          </cell>
        </row>
        <row r="33">
          <cell r="A33" t="str">
            <v>Doncaster Rovers</v>
          </cell>
          <cell r="C33">
            <v>62255</v>
          </cell>
          <cell r="D33">
            <v>51</v>
          </cell>
        </row>
        <row r="34">
          <cell r="A34" t="str">
            <v>Everton</v>
          </cell>
          <cell r="C34">
            <v>494766</v>
          </cell>
          <cell r="D34">
            <v>68</v>
          </cell>
        </row>
        <row r="35">
          <cell r="A35" t="str">
            <v>Exeter</v>
          </cell>
          <cell r="C35">
            <v>112634</v>
          </cell>
          <cell r="D35">
            <v>19</v>
          </cell>
        </row>
        <row r="36">
          <cell r="A36" t="str">
            <v>Fulham</v>
          </cell>
          <cell r="C36">
            <v>103321</v>
          </cell>
          <cell r="D36">
            <v>67</v>
          </cell>
        </row>
        <row r="37">
          <cell r="A37" t="str">
            <v>Gillingham</v>
          </cell>
          <cell r="C37">
            <v>88421</v>
          </cell>
          <cell r="D37">
            <v>7</v>
          </cell>
        </row>
        <row r="38">
          <cell r="A38" t="str">
            <v>Grimsby Town</v>
          </cell>
          <cell r="C38">
            <v>137623</v>
          </cell>
          <cell r="D38">
            <v>49</v>
          </cell>
        </row>
        <row r="39">
          <cell r="A39" t="str">
            <v>Halifax Town</v>
          </cell>
          <cell r="C39">
            <v>38637</v>
          </cell>
          <cell r="D39">
            <v>47</v>
          </cell>
        </row>
        <row r="40">
          <cell r="A40" t="str">
            <v>Hartlepool United</v>
          </cell>
          <cell r="C40">
            <v>56988</v>
          </cell>
          <cell r="D40">
            <v>16</v>
          </cell>
        </row>
        <row r="41">
          <cell r="A41" t="str">
            <v>Hereford United</v>
          </cell>
          <cell r="C41">
            <v>61981</v>
          </cell>
          <cell r="D41">
            <v>49</v>
          </cell>
        </row>
        <row r="42">
          <cell r="A42" t="str">
            <v>Huddersfield Town</v>
          </cell>
          <cell r="C42">
            <v>129549</v>
          </cell>
          <cell r="D42">
            <v>25</v>
          </cell>
        </row>
        <row r="43">
          <cell r="A43" t="str">
            <v>Hull City</v>
          </cell>
          <cell r="C43">
            <v>144198</v>
          </cell>
          <cell r="D43">
            <v>57</v>
          </cell>
        </row>
        <row r="44">
          <cell r="A44" t="str">
            <v>Ipswich Town</v>
          </cell>
          <cell r="C44">
            <v>293597</v>
          </cell>
          <cell r="D44">
            <v>30</v>
          </cell>
        </row>
        <row r="45">
          <cell r="A45" t="str">
            <v>Leeds United</v>
          </cell>
          <cell r="C45">
            <v>635833</v>
          </cell>
          <cell r="D45">
            <v>168</v>
          </cell>
        </row>
        <row r="46">
          <cell r="A46" t="str">
            <v>Leicester City</v>
          </cell>
          <cell r="C46">
            <v>269387</v>
          </cell>
          <cell r="D46">
            <v>115</v>
          </cell>
        </row>
        <row r="47">
          <cell r="A47" t="str">
            <v>Leyton Orient</v>
          </cell>
          <cell r="C47">
            <v>100385</v>
          </cell>
          <cell r="D47">
            <v>20</v>
          </cell>
        </row>
        <row r="48">
          <cell r="A48" t="str">
            <v>Lincoln City</v>
          </cell>
          <cell r="C48">
            <v>93629</v>
          </cell>
          <cell r="D48">
            <v>116</v>
          </cell>
        </row>
        <row r="49">
          <cell r="A49" t="str">
            <v>Liverpool</v>
          </cell>
          <cell r="C49">
            <v>700908</v>
          </cell>
          <cell r="D49">
            <v>84</v>
          </cell>
        </row>
        <row r="50">
          <cell r="A50" t="str">
            <v>Luton Town</v>
          </cell>
          <cell r="C50">
            <v>186451</v>
          </cell>
          <cell r="D50">
            <v>9</v>
          </cell>
        </row>
        <row r="51">
          <cell r="A51" t="str">
            <v>Maidstone United</v>
          </cell>
          <cell r="C51">
            <v>55912</v>
          </cell>
          <cell r="D51">
            <v>20</v>
          </cell>
        </row>
        <row r="52">
          <cell r="A52" t="str">
            <v>Manchester City</v>
          </cell>
          <cell r="C52">
            <v>531541</v>
          </cell>
          <cell r="D52">
            <v>57</v>
          </cell>
        </row>
        <row r="53">
          <cell r="A53" t="str">
            <v>Manchester United</v>
          </cell>
          <cell r="C53">
            <v>740476</v>
          </cell>
          <cell r="D53">
            <v>60</v>
          </cell>
        </row>
        <row r="54">
          <cell r="A54" t="str">
            <v>Mansfield Town</v>
          </cell>
          <cell r="C54">
            <v>71933</v>
          </cell>
          <cell r="D54">
            <v>10</v>
          </cell>
        </row>
        <row r="55">
          <cell r="A55" t="str">
            <v>Middlesbrough</v>
          </cell>
          <cell r="C55">
            <v>374249</v>
          </cell>
          <cell r="D55">
            <v>36</v>
          </cell>
        </row>
        <row r="56">
          <cell r="A56" t="str">
            <v>Millwall</v>
          </cell>
          <cell r="C56">
            <v>236009</v>
          </cell>
          <cell r="D56">
            <v>108</v>
          </cell>
        </row>
        <row r="57">
          <cell r="A57" t="str">
            <v>Newcastle</v>
          </cell>
          <cell r="C57">
            <v>505840</v>
          </cell>
          <cell r="D57">
            <v>215</v>
          </cell>
        </row>
        <row r="58">
          <cell r="A58" t="str">
            <v>Northampton Town</v>
          </cell>
          <cell r="C58">
            <v>73564</v>
          </cell>
          <cell r="D58">
            <v>1</v>
          </cell>
        </row>
        <row r="59">
          <cell r="A59" t="str">
            <v>Norwich City</v>
          </cell>
          <cell r="C59">
            <v>318052</v>
          </cell>
          <cell r="D59">
            <v>49</v>
          </cell>
        </row>
        <row r="60">
          <cell r="A60" t="str">
            <v>Notts County</v>
          </cell>
          <cell r="C60">
            <v>141438</v>
          </cell>
          <cell r="D60">
            <v>46</v>
          </cell>
        </row>
        <row r="61">
          <cell r="A61" t="str">
            <v>Nottingham Forest</v>
          </cell>
          <cell r="C61">
            <v>391014</v>
          </cell>
          <cell r="D61">
            <v>84</v>
          </cell>
        </row>
        <row r="62">
          <cell r="A62" t="str">
            <v>Oldham Athletic</v>
          </cell>
          <cell r="C62">
            <v>223557</v>
          </cell>
          <cell r="D62">
            <v>8</v>
          </cell>
        </row>
        <row r="63">
          <cell r="A63" t="str">
            <v>Oxford United</v>
          </cell>
          <cell r="C63">
            <v>133822</v>
          </cell>
          <cell r="D63">
            <v>51</v>
          </cell>
        </row>
        <row r="64">
          <cell r="A64" t="str">
            <v>Peterborough United</v>
          </cell>
          <cell r="C64">
            <v>110777</v>
          </cell>
          <cell r="D64">
            <v>12</v>
          </cell>
        </row>
        <row r="65">
          <cell r="A65" t="str">
            <v>Plymouth Argyle</v>
          </cell>
          <cell r="C65">
            <v>200720</v>
          </cell>
          <cell r="D65">
            <v>22</v>
          </cell>
        </row>
        <row r="66">
          <cell r="A66" t="str">
            <v>Portsmouth</v>
          </cell>
          <cell r="C66">
            <v>209644</v>
          </cell>
          <cell r="D66">
            <v>42</v>
          </cell>
        </row>
        <row r="67">
          <cell r="A67" t="str">
            <v>Port Vale</v>
          </cell>
          <cell r="C67">
            <v>206485</v>
          </cell>
          <cell r="D67">
            <v>96</v>
          </cell>
        </row>
        <row r="68">
          <cell r="A68" t="str">
            <v>Preston North End</v>
          </cell>
          <cell r="C68">
            <v>145189</v>
          </cell>
          <cell r="D68">
            <v>114</v>
          </cell>
        </row>
        <row r="69">
          <cell r="A69" t="str">
            <v>Queens Park Rangers</v>
          </cell>
          <cell r="C69">
            <v>249760</v>
          </cell>
          <cell r="D69">
            <v>70</v>
          </cell>
        </row>
        <row r="70">
          <cell r="A70" t="str">
            <v>Reading</v>
          </cell>
          <cell r="C70">
            <v>93974</v>
          </cell>
          <cell r="D70">
            <v>21</v>
          </cell>
        </row>
        <row r="71">
          <cell r="A71" t="str">
            <v>Rochdale</v>
          </cell>
          <cell r="C71">
            <v>47510</v>
          </cell>
          <cell r="D71">
            <v>28</v>
          </cell>
        </row>
        <row r="72">
          <cell r="A72" t="str">
            <v>Rotherham United</v>
          </cell>
          <cell r="C72">
            <v>127692</v>
          </cell>
          <cell r="D72">
            <v>48</v>
          </cell>
        </row>
        <row r="73">
          <cell r="A73" t="str">
            <v>Scarborough</v>
          </cell>
          <cell r="C73">
            <v>53204</v>
          </cell>
          <cell r="D73">
            <v>31</v>
          </cell>
        </row>
        <row r="74">
          <cell r="A74" t="str">
            <v>Scunthorpe United</v>
          </cell>
          <cell r="C74">
            <v>81007</v>
          </cell>
          <cell r="D74">
            <v>15</v>
          </cell>
        </row>
        <row r="75">
          <cell r="A75" t="str">
            <v>Sheffield United</v>
          </cell>
          <cell r="C75">
            <v>388677</v>
          </cell>
          <cell r="D75">
            <v>97</v>
          </cell>
        </row>
        <row r="76">
          <cell r="A76" t="str">
            <v>Sheffield Wednesday</v>
          </cell>
          <cell r="C76">
            <v>397615</v>
          </cell>
          <cell r="D76">
            <v>87</v>
          </cell>
        </row>
        <row r="77">
          <cell r="A77" t="str">
            <v>Shrewsbury Town</v>
          </cell>
          <cell r="C77">
            <v>81283</v>
          </cell>
          <cell r="D77">
            <v>18</v>
          </cell>
        </row>
        <row r="78">
          <cell r="A78" t="str">
            <v>Southampton</v>
          </cell>
          <cell r="C78">
            <v>313222</v>
          </cell>
          <cell r="D78">
            <v>73</v>
          </cell>
        </row>
        <row r="79">
          <cell r="A79" t="str">
            <v>Southend United</v>
          </cell>
          <cell r="C79">
            <v>83880</v>
          </cell>
          <cell r="D79">
            <v>10</v>
          </cell>
        </row>
        <row r="80">
          <cell r="A80" t="str">
            <v>Stockport County</v>
          </cell>
          <cell r="C80">
            <v>89758</v>
          </cell>
          <cell r="D80">
            <v>25</v>
          </cell>
        </row>
        <row r="81">
          <cell r="A81" t="str">
            <v>Stoke City</v>
          </cell>
          <cell r="C81">
            <v>286368</v>
          </cell>
          <cell r="D81">
            <v>49</v>
          </cell>
        </row>
        <row r="82">
          <cell r="A82" t="str">
            <v>Sunderland</v>
          </cell>
          <cell r="C82">
            <v>401098</v>
          </cell>
          <cell r="D82">
            <v>85</v>
          </cell>
        </row>
        <row r="83">
          <cell r="A83" t="str">
            <v>Swansea City</v>
          </cell>
          <cell r="C83">
            <v>88396</v>
          </cell>
          <cell r="D83">
            <v>48</v>
          </cell>
        </row>
        <row r="84">
          <cell r="A84" t="str">
            <v>Swindon Town</v>
          </cell>
          <cell r="C84">
            <v>216463</v>
          </cell>
          <cell r="D84">
            <v>30</v>
          </cell>
        </row>
        <row r="85">
          <cell r="A85" t="str">
            <v>Torquay United</v>
          </cell>
          <cell r="C85">
            <v>49484</v>
          </cell>
          <cell r="D85">
            <v>27</v>
          </cell>
        </row>
        <row r="86">
          <cell r="A86" t="str">
            <v>Tottenham Hotspur</v>
          </cell>
          <cell r="C86">
            <v>502830</v>
          </cell>
          <cell r="D86">
            <v>73</v>
          </cell>
        </row>
        <row r="87">
          <cell r="A87" t="str">
            <v>Tranmere Rovers</v>
          </cell>
          <cell r="C87">
            <v>171200</v>
          </cell>
          <cell r="D87">
            <v>27</v>
          </cell>
        </row>
        <row r="88">
          <cell r="A88" t="str">
            <v>Walsall</v>
          </cell>
          <cell r="C88">
            <v>93765</v>
          </cell>
          <cell r="D88">
            <v>55</v>
          </cell>
        </row>
        <row r="89">
          <cell r="A89" t="str">
            <v>Watford</v>
          </cell>
          <cell r="C89">
            <v>238074</v>
          </cell>
          <cell r="D89">
            <v>40</v>
          </cell>
        </row>
        <row r="90">
          <cell r="A90" t="str">
            <v>West Bromwich Albion</v>
          </cell>
          <cell r="C90">
            <v>259724</v>
          </cell>
          <cell r="D90">
            <v>116</v>
          </cell>
        </row>
        <row r="91">
          <cell r="A91" t="str">
            <v>West Ham</v>
          </cell>
          <cell r="C91">
            <v>465873</v>
          </cell>
          <cell r="D91">
            <v>182</v>
          </cell>
        </row>
        <row r="92">
          <cell r="A92" t="str">
            <v>Wigan Athletic</v>
          </cell>
          <cell r="C92">
            <v>63486</v>
          </cell>
          <cell r="D92">
            <v>14</v>
          </cell>
        </row>
        <row r="93">
          <cell r="A93" t="str">
            <v>Wimbledon</v>
          </cell>
          <cell r="C93">
            <v>145380</v>
          </cell>
          <cell r="D93">
            <v>20</v>
          </cell>
        </row>
        <row r="94">
          <cell r="A94" t="str">
            <v>Wolverhampton</v>
          </cell>
          <cell r="C94">
            <v>392031</v>
          </cell>
          <cell r="D94">
            <v>322</v>
          </cell>
        </row>
        <row r="95">
          <cell r="A95" t="str">
            <v xml:space="preserve">Wrexham </v>
          </cell>
          <cell r="C95">
            <v>54974</v>
          </cell>
          <cell r="D95">
            <v>3</v>
          </cell>
        </row>
        <row r="96">
          <cell r="A96" t="str">
            <v>York City</v>
          </cell>
          <cell r="C96">
            <v>59395</v>
          </cell>
          <cell r="D96">
            <v>39</v>
          </cell>
        </row>
      </sheetData>
      <sheetData sheetId="4" refreshError="1">
        <row r="5">
          <cell r="A5" t="str">
            <v>AFC Bournemouth</v>
          </cell>
          <cell r="C5">
            <v>124558</v>
          </cell>
          <cell r="D5">
            <v>9</v>
          </cell>
        </row>
        <row r="6">
          <cell r="A6" t="str">
            <v>Aldershot</v>
          </cell>
          <cell r="C6">
            <v>41796</v>
          </cell>
          <cell r="D6">
            <v>14</v>
          </cell>
        </row>
        <row r="7">
          <cell r="A7" t="str">
            <v>Arsenal</v>
          </cell>
          <cell r="C7">
            <v>700768</v>
          </cell>
          <cell r="D7">
            <v>143</v>
          </cell>
        </row>
        <row r="8">
          <cell r="A8" t="str">
            <v>Aston Villa</v>
          </cell>
          <cell r="C8">
            <v>487607</v>
          </cell>
          <cell r="D8">
            <v>219</v>
          </cell>
        </row>
        <row r="9">
          <cell r="A9" t="str">
            <v>Barnsley</v>
          </cell>
          <cell r="C9">
            <v>205464</v>
          </cell>
          <cell r="D9">
            <v>92</v>
          </cell>
        </row>
        <row r="10">
          <cell r="A10" t="str">
            <v>Birmingham</v>
          </cell>
          <cell r="C10">
            <v>145335</v>
          </cell>
          <cell r="D10">
            <v>50</v>
          </cell>
        </row>
        <row r="11">
          <cell r="A11" t="str">
            <v>Blackburn</v>
          </cell>
          <cell r="C11">
            <v>179512</v>
          </cell>
          <cell r="D11">
            <v>45</v>
          </cell>
        </row>
        <row r="12">
          <cell r="A12" t="str">
            <v>Blackpool</v>
          </cell>
          <cell r="C12">
            <v>81340</v>
          </cell>
          <cell r="D12">
            <v>12</v>
          </cell>
        </row>
        <row r="13">
          <cell r="A13" t="str">
            <v>Bolton Wanderers</v>
          </cell>
          <cell r="C13">
            <v>148689</v>
          </cell>
          <cell r="D13">
            <v>12</v>
          </cell>
        </row>
        <row r="14">
          <cell r="A14" t="str">
            <v>Bradford City</v>
          </cell>
          <cell r="C14">
            <v>138757</v>
          </cell>
          <cell r="D14">
            <v>9</v>
          </cell>
        </row>
        <row r="15">
          <cell r="A15" t="str">
            <v>Brentford</v>
          </cell>
          <cell r="C15">
            <v>141208</v>
          </cell>
          <cell r="D15">
            <v>15</v>
          </cell>
        </row>
        <row r="16">
          <cell r="A16" t="str">
            <v>Brighton</v>
          </cell>
          <cell r="C16">
            <v>191448</v>
          </cell>
          <cell r="D16">
            <v>34</v>
          </cell>
        </row>
        <row r="17">
          <cell r="A17" t="str">
            <v>Bristol City</v>
          </cell>
          <cell r="C17">
            <v>308822</v>
          </cell>
          <cell r="D17">
            <v>124</v>
          </cell>
        </row>
        <row r="18">
          <cell r="A18" t="str">
            <v>Bristol Rovers</v>
          </cell>
          <cell r="C18">
            <v>136750</v>
          </cell>
          <cell r="D18">
            <v>51</v>
          </cell>
        </row>
        <row r="19">
          <cell r="A19" t="str">
            <v>Burnley</v>
          </cell>
          <cell r="C19">
            <v>169424</v>
          </cell>
          <cell r="D19">
            <v>22</v>
          </cell>
        </row>
        <row r="20">
          <cell r="A20" t="str">
            <v>Bury</v>
          </cell>
          <cell r="C20">
            <v>61844</v>
          </cell>
          <cell r="D20">
            <v>11</v>
          </cell>
        </row>
        <row r="21">
          <cell r="A21" t="str">
            <v>Cambridge United</v>
          </cell>
          <cell r="C21">
            <v>116542</v>
          </cell>
          <cell r="D21">
            <v>3</v>
          </cell>
        </row>
        <row r="22">
          <cell r="A22" t="str">
            <v>Cardiff City</v>
          </cell>
          <cell r="C22">
            <v>67989</v>
          </cell>
          <cell r="D22">
            <v>8</v>
          </cell>
        </row>
        <row r="23">
          <cell r="A23" t="str">
            <v>Carlisle United</v>
          </cell>
          <cell r="C23">
            <v>64655</v>
          </cell>
          <cell r="D23">
            <v>14</v>
          </cell>
        </row>
        <row r="24">
          <cell r="A24" t="str">
            <v>Charlton Athletic</v>
          </cell>
          <cell r="C24">
            <v>150936</v>
          </cell>
          <cell r="D24">
            <v>43</v>
          </cell>
        </row>
        <row r="25">
          <cell r="A25" t="str">
            <v>Chelsea</v>
          </cell>
          <cell r="C25">
            <v>388177</v>
          </cell>
          <cell r="D25">
            <v>195</v>
          </cell>
        </row>
        <row r="26">
          <cell r="A26" t="str">
            <v>Chester City</v>
          </cell>
          <cell r="C26">
            <v>24040</v>
          </cell>
          <cell r="D26">
            <v>0</v>
          </cell>
        </row>
        <row r="27">
          <cell r="A27" t="str">
            <v>Chesterfield</v>
          </cell>
          <cell r="C27">
            <v>72805</v>
          </cell>
          <cell r="D27">
            <v>9</v>
          </cell>
        </row>
        <row r="28">
          <cell r="A28" t="str">
            <v>Coventry</v>
          </cell>
          <cell r="C28">
            <v>263712</v>
          </cell>
          <cell r="D28">
            <v>149</v>
          </cell>
        </row>
        <row r="29">
          <cell r="A29" t="str">
            <v>Crewe</v>
          </cell>
          <cell r="C29">
            <v>68991</v>
          </cell>
          <cell r="D29">
            <v>1</v>
          </cell>
        </row>
        <row r="30">
          <cell r="A30" t="str">
            <v>Crystal Palace</v>
          </cell>
          <cell r="C30">
            <v>360816</v>
          </cell>
          <cell r="D30">
            <v>70</v>
          </cell>
        </row>
        <row r="31">
          <cell r="A31" t="str">
            <v>Darlington</v>
          </cell>
          <cell r="C31">
            <v>86486</v>
          </cell>
          <cell r="D31">
            <v>7</v>
          </cell>
        </row>
        <row r="32">
          <cell r="A32" t="str">
            <v>Derby County</v>
          </cell>
          <cell r="C32">
            <v>311581</v>
          </cell>
          <cell r="D32">
            <v>28</v>
          </cell>
        </row>
        <row r="33">
          <cell r="A33" t="str">
            <v>Doncaster Rovers</v>
          </cell>
          <cell r="C33">
            <v>55316</v>
          </cell>
          <cell r="D33">
            <v>15</v>
          </cell>
        </row>
        <row r="34">
          <cell r="A34" t="str">
            <v>Everton</v>
          </cell>
          <cell r="C34">
            <v>468571</v>
          </cell>
          <cell r="D34">
            <v>91</v>
          </cell>
        </row>
        <row r="35">
          <cell r="A35" t="str">
            <v>Exeter</v>
          </cell>
          <cell r="C35">
            <v>90016</v>
          </cell>
          <cell r="D35">
            <v>30</v>
          </cell>
        </row>
        <row r="36">
          <cell r="A36" t="str">
            <v>Fulham</v>
          </cell>
          <cell r="C36">
            <v>75762</v>
          </cell>
          <cell r="D36">
            <v>13</v>
          </cell>
        </row>
        <row r="37">
          <cell r="A37" t="str">
            <v>Gillingham</v>
          </cell>
          <cell r="C37">
            <v>80667</v>
          </cell>
          <cell r="D37">
            <v>12</v>
          </cell>
        </row>
        <row r="38">
          <cell r="A38" t="str">
            <v>Grimsby Town</v>
          </cell>
          <cell r="C38">
            <v>154447</v>
          </cell>
          <cell r="D38">
            <v>39</v>
          </cell>
        </row>
        <row r="39">
          <cell r="A39" t="str">
            <v>Halifax Town</v>
          </cell>
          <cell r="C39">
            <v>29321</v>
          </cell>
          <cell r="D39">
            <v>2</v>
          </cell>
        </row>
        <row r="40">
          <cell r="A40" t="str">
            <v>Hartlepool United</v>
          </cell>
          <cell r="C40">
            <v>66957</v>
          </cell>
          <cell r="D40">
            <v>17</v>
          </cell>
        </row>
        <row r="41">
          <cell r="A41" t="str">
            <v>Hereford United</v>
          </cell>
          <cell r="C41">
            <v>53298</v>
          </cell>
          <cell r="D41">
            <v>12</v>
          </cell>
        </row>
        <row r="42">
          <cell r="A42" t="str">
            <v>Huddersfield Town</v>
          </cell>
          <cell r="C42">
            <v>109174</v>
          </cell>
          <cell r="D42">
            <v>22</v>
          </cell>
        </row>
        <row r="43">
          <cell r="A43" t="str">
            <v>Hull City</v>
          </cell>
          <cell r="C43">
            <v>141770</v>
          </cell>
          <cell r="D43">
            <v>59</v>
          </cell>
        </row>
        <row r="44">
          <cell r="A44" t="str">
            <v>Ipswich Town</v>
          </cell>
          <cell r="C44">
            <v>272132</v>
          </cell>
          <cell r="D44">
            <v>39</v>
          </cell>
        </row>
        <row r="45">
          <cell r="A45" t="str">
            <v>Leeds United</v>
          </cell>
          <cell r="C45">
            <v>546434</v>
          </cell>
          <cell r="D45">
            <v>87</v>
          </cell>
        </row>
        <row r="46">
          <cell r="A46" t="str">
            <v>Leicester City</v>
          </cell>
          <cell r="C46">
            <v>264636</v>
          </cell>
          <cell r="D46">
            <v>106</v>
          </cell>
        </row>
        <row r="47">
          <cell r="A47" t="str">
            <v>Leyton Orient</v>
          </cell>
          <cell r="C47">
            <v>83486</v>
          </cell>
          <cell r="D47">
            <v>4</v>
          </cell>
        </row>
        <row r="48">
          <cell r="A48" t="str">
            <v>Lincoln City</v>
          </cell>
          <cell r="C48">
            <v>58575</v>
          </cell>
          <cell r="D48">
            <v>4</v>
          </cell>
        </row>
        <row r="49">
          <cell r="A49" t="str">
            <v>Liverpool</v>
          </cell>
          <cell r="C49">
            <v>684539</v>
          </cell>
          <cell r="D49">
            <v>121</v>
          </cell>
        </row>
        <row r="50">
          <cell r="A50" t="str">
            <v>Luton Town</v>
          </cell>
          <cell r="C50">
            <v>195255</v>
          </cell>
          <cell r="D50">
            <v>3</v>
          </cell>
        </row>
        <row r="51">
          <cell r="A51" t="str">
            <v>Maidstone United</v>
          </cell>
          <cell r="C51">
            <v>42633</v>
          </cell>
          <cell r="D51">
            <v>12</v>
          </cell>
        </row>
        <row r="52">
          <cell r="A52" t="str">
            <v>Manchester City</v>
          </cell>
          <cell r="C52">
            <v>530150</v>
          </cell>
          <cell r="D52">
            <v>33</v>
          </cell>
        </row>
        <row r="53">
          <cell r="A53" t="str">
            <v>Manchester United</v>
          </cell>
          <cell r="C53">
            <v>821589</v>
          </cell>
          <cell r="D53">
            <v>39</v>
          </cell>
        </row>
        <row r="54">
          <cell r="A54" t="str">
            <v>Mansfield Town</v>
          </cell>
          <cell r="C54">
            <v>50056</v>
          </cell>
          <cell r="D54">
            <v>6</v>
          </cell>
        </row>
        <row r="55">
          <cell r="A55" t="str">
            <v>Middlesbrough</v>
          </cell>
          <cell r="C55">
            <v>391252</v>
          </cell>
          <cell r="D55">
            <v>14</v>
          </cell>
        </row>
        <row r="56">
          <cell r="A56" t="str">
            <v>Millwall</v>
          </cell>
          <cell r="C56">
            <v>249349</v>
          </cell>
          <cell r="D56">
            <v>71</v>
          </cell>
        </row>
        <row r="57">
          <cell r="A57" t="str">
            <v xml:space="preserve">Newcastle </v>
          </cell>
          <cell r="C57">
            <v>387604</v>
          </cell>
          <cell r="D57">
            <v>141</v>
          </cell>
        </row>
        <row r="58">
          <cell r="A58" t="str">
            <v>Northampton Town</v>
          </cell>
          <cell r="C58">
            <v>76938</v>
          </cell>
          <cell r="D58">
            <v>2</v>
          </cell>
        </row>
        <row r="59">
          <cell r="A59" t="str">
            <v>Norwich City</v>
          </cell>
          <cell r="C59">
            <v>293864</v>
          </cell>
          <cell r="D59">
            <v>40</v>
          </cell>
        </row>
        <row r="60">
          <cell r="A60" t="str">
            <v>Notts County</v>
          </cell>
          <cell r="C60">
            <v>187825</v>
          </cell>
          <cell r="D60">
            <v>81</v>
          </cell>
        </row>
        <row r="61">
          <cell r="A61" t="str">
            <v>Nottingham Forest</v>
          </cell>
          <cell r="C61">
            <v>421553</v>
          </cell>
          <cell r="D61">
            <v>115</v>
          </cell>
        </row>
        <row r="62">
          <cell r="A62" t="str">
            <v>Oldham Athletic</v>
          </cell>
          <cell r="C62">
            <v>301465</v>
          </cell>
          <cell r="D62">
            <v>30</v>
          </cell>
        </row>
        <row r="63">
          <cell r="A63" t="str">
            <v>Oxford United</v>
          </cell>
          <cell r="C63">
            <v>132976</v>
          </cell>
          <cell r="D63">
            <v>29</v>
          </cell>
        </row>
        <row r="64">
          <cell r="A64" t="str">
            <v>Peterborough United</v>
          </cell>
          <cell r="C64">
            <v>111124</v>
          </cell>
          <cell r="D64">
            <v>11</v>
          </cell>
        </row>
        <row r="65">
          <cell r="A65" t="str">
            <v>Plymouth Argyle</v>
          </cell>
          <cell r="C65">
            <v>162779</v>
          </cell>
          <cell r="D65">
            <v>34</v>
          </cell>
        </row>
        <row r="66">
          <cell r="A66" t="str">
            <v>Portsmouth</v>
          </cell>
          <cell r="C66">
            <v>220166</v>
          </cell>
          <cell r="D66">
            <v>90</v>
          </cell>
        </row>
        <row r="67">
          <cell r="A67" t="str">
            <v>Port Vale</v>
          </cell>
          <cell r="C67">
            <v>185714</v>
          </cell>
          <cell r="D67">
            <v>60</v>
          </cell>
        </row>
        <row r="68">
          <cell r="A68" t="str">
            <v xml:space="preserve">Preston North End </v>
          </cell>
          <cell r="C68">
            <v>104121</v>
          </cell>
          <cell r="D68">
            <v>25</v>
          </cell>
        </row>
        <row r="69">
          <cell r="A69" t="str">
            <v>Queens Park Rangers</v>
          </cell>
          <cell r="C69">
            <v>254722</v>
          </cell>
          <cell r="D69">
            <v>54</v>
          </cell>
        </row>
        <row r="70">
          <cell r="A70" t="str">
            <v xml:space="preserve">Reading </v>
          </cell>
          <cell r="C70">
            <v>94181</v>
          </cell>
          <cell r="D70">
            <v>17</v>
          </cell>
        </row>
        <row r="71">
          <cell r="A71" t="str">
            <v>Rochdale</v>
          </cell>
          <cell r="C71">
            <v>39900</v>
          </cell>
          <cell r="D71">
            <v>5</v>
          </cell>
        </row>
        <row r="72">
          <cell r="A72" t="str">
            <v>Rotherham United</v>
          </cell>
          <cell r="C72">
            <v>84539</v>
          </cell>
          <cell r="D72">
            <v>31</v>
          </cell>
        </row>
        <row r="73">
          <cell r="A73" t="str">
            <v>Scarborough</v>
          </cell>
          <cell r="C73">
            <v>31161</v>
          </cell>
          <cell r="D73">
            <v>0</v>
          </cell>
        </row>
        <row r="74">
          <cell r="A74" t="str">
            <v>Scunthorpe United</v>
          </cell>
          <cell r="C74">
            <v>62458</v>
          </cell>
          <cell r="D74">
            <v>6</v>
          </cell>
        </row>
        <row r="75">
          <cell r="A75" t="str">
            <v>Sheffield United</v>
          </cell>
          <cell r="C75">
            <v>405545</v>
          </cell>
          <cell r="D75">
            <v>91</v>
          </cell>
        </row>
        <row r="76">
          <cell r="A76" t="str">
            <v>Sheffield Wednesday</v>
          </cell>
          <cell r="C76">
            <v>610327</v>
          </cell>
          <cell r="D76">
            <v>64</v>
          </cell>
        </row>
        <row r="77">
          <cell r="A77" t="str">
            <v>Shrewsbury Town</v>
          </cell>
          <cell r="C77">
            <v>61695</v>
          </cell>
          <cell r="D77">
            <v>23</v>
          </cell>
        </row>
        <row r="78">
          <cell r="A78" t="str">
            <v>Southampton</v>
          </cell>
          <cell r="C78">
            <v>320323</v>
          </cell>
          <cell r="D78">
            <v>47</v>
          </cell>
        </row>
        <row r="79">
          <cell r="A79" t="str">
            <v>Southend United</v>
          </cell>
          <cell r="C79">
            <v>131608</v>
          </cell>
          <cell r="D79">
            <v>15</v>
          </cell>
        </row>
        <row r="80">
          <cell r="A80" t="str">
            <v>Stockport County</v>
          </cell>
          <cell r="C80">
            <v>74898</v>
          </cell>
          <cell r="D80">
            <v>14</v>
          </cell>
        </row>
        <row r="81">
          <cell r="A81" t="str">
            <v>Stoke City</v>
          </cell>
          <cell r="C81">
            <v>240377</v>
          </cell>
          <cell r="D81">
            <v>38</v>
          </cell>
        </row>
        <row r="82">
          <cell r="A82" t="str">
            <v>Sunderland</v>
          </cell>
          <cell r="C82">
            <v>426893</v>
          </cell>
          <cell r="D82">
            <v>104</v>
          </cell>
        </row>
        <row r="83">
          <cell r="A83" t="str">
            <v>Swansea City</v>
          </cell>
          <cell r="C83">
            <v>77836</v>
          </cell>
          <cell r="D83">
            <v>17</v>
          </cell>
        </row>
        <row r="84">
          <cell r="A84" t="str">
            <v>Swindon Town</v>
          </cell>
          <cell r="C84">
            <v>216248</v>
          </cell>
          <cell r="D84">
            <v>32</v>
          </cell>
        </row>
        <row r="85">
          <cell r="A85" t="str">
            <v>Torquay United</v>
          </cell>
          <cell r="C85">
            <v>65038</v>
          </cell>
          <cell r="D85">
            <v>3</v>
          </cell>
        </row>
        <row r="86">
          <cell r="A86" t="str">
            <v>Tottenham Hotspur</v>
          </cell>
          <cell r="C86">
            <v>581998</v>
          </cell>
          <cell r="D86">
            <v>100</v>
          </cell>
        </row>
        <row r="87">
          <cell r="A87" t="str">
            <v>Tranmere Rovers</v>
          </cell>
          <cell r="C87">
            <v>141898</v>
          </cell>
          <cell r="D87">
            <v>13</v>
          </cell>
        </row>
        <row r="88">
          <cell r="A88" t="str">
            <v>Walsall</v>
          </cell>
          <cell r="C88">
            <v>95188</v>
          </cell>
          <cell r="D88">
            <v>35</v>
          </cell>
        </row>
        <row r="89">
          <cell r="A89" t="str">
            <v>Watford</v>
          </cell>
          <cell r="C89">
            <v>220362</v>
          </cell>
          <cell r="D89">
            <v>22</v>
          </cell>
        </row>
        <row r="90">
          <cell r="A90" t="str">
            <v>West Bromwich Albion</v>
          </cell>
          <cell r="C90">
            <v>276029</v>
          </cell>
          <cell r="D90">
            <v>128</v>
          </cell>
        </row>
        <row r="91">
          <cell r="A91" t="str">
            <v>West Ham</v>
          </cell>
          <cell r="C91">
            <v>515705</v>
          </cell>
          <cell r="D91">
            <v>126</v>
          </cell>
        </row>
        <row r="92">
          <cell r="A92" t="str">
            <v>Wigan Athletic</v>
          </cell>
          <cell r="C92">
            <v>52337</v>
          </cell>
          <cell r="D92">
            <v>8</v>
          </cell>
        </row>
        <row r="93">
          <cell r="A93" t="str">
            <v>Wimbledon</v>
          </cell>
          <cell r="C93">
            <v>140909</v>
          </cell>
          <cell r="D93">
            <v>18</v>
          </cell>
        </row>
        <row r="94">
          <cell r="A94" t="str">
            <v>Wolverhampton</v>
          </cell>
          <cell r="C94">
            <v>369902</v>
          </cell>
          <cell r="D94">
            <v>195</v>
          </cell>
        </row>
        <row r="95">
          <cell r="A95" t="str">
            <v>Wrexham</v>
          </cell>
          <cell r="C95">
            <v>36204</v>
          </cell>
          <cell r="D95">
            <v>2</v>
          </cell>
        </row>
        <row r="96">
          <cell r="A96" t="str">
            <v>York City</v>
          </cell>
          <cell r="C96">
            <v>57543</v>
          </cell>
          <cell r="D96">
            <v>16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592B2-2B9E-4EEC-B6EB-67E582102DF7}" name="טבלה2" displayName="טבלה2" ref="A2:W47" totalsRowCount="1">
  <sortState xmlns:xlrd2="http://schemas.microsoft.com/office/spreadsheetml/2017/richdata2" ref="A3:W46">
    <sortCondition ref="B3:B46"/>
    <sortCondition ref="A3:A46"/>
  </sortState>
  <tableColumns count="23">
    <tableColumn id="1" xr3:uid="{D1D03CC1-C9F0-4F6D-90AF-033FD442A8D0}" name="Team" totalsRowLabel="Total"/>
    <tableColumn id="2" xr3:uid="{1C059ED5-BC0B-4B42-A4E5-6576A4542D54}" name="City" dataDxfId="83"/>
    <tableColumn id="3" xr3:uid="{0F1868E4-0F7B-4725-8815-868ECE87D0AC}" name="Attendance" totalsRowFunction="sum" dataDxfId="82" totalsRowDxfId="63"/>
    <tableColumn id="4" xr3:uid="{F6C12036-479D-455B-ADED-369CA134353E}" name="Arrests" totalsRowFunction="sum" dataDxfId="81" totalsRowDxfId="62"/>
    <tableColumn id="5" xr3:uid="{84A4D54C-5987-4B5B-8175-A9AE142B9F89}" name="% Arrests" totalsRowFunction="custom" dataDxfId="80" totalsRowDxfId="61" dataCellStyle="Percent">
      <calculatedColumnFormula>טבלה2[[#This Row],[Arrests]]/טבלה2[[#This Row],[Attendance]]</calculatedColumnFormula>
      <totalsRowFormula>טבלה2[[#Totals],[Arrests]]/טבלה2[[#Totals],[Attendance]]</totalsRowFormula>
    </tableColumn>
    <tableColumn id="6" xr3:uid="{9B532C4F-654A-485E-8A0C-FCBFD0A7CEBD}" name="Attendance2" totalsRowFunction="sum" dataDxfId="79" totalsRowDxfId="60"/>
    <tableColumn id="7" xr3:uid="{A7BDADCB-4215-4528-971F-3BF3F332A07A}" name="Arrests3" totalsRowFunction="sum" dataDxfId="78" totalsRowDxfId="59"/>
    <tableColumn id="8" xr3:uid="{7AABF5A3-4472-4213-A954-9A8C19429389}" name="% Arrests4" totalsRowFunction="custom" dataDxfId="77" totalsRowDxfId="58" dataCellStyle="Percent">
      <calculatedColumnFormula>טבלה2[[#This Row],[Arrests3]]/טבלה2[[#This Row],[Attendance2]]</calculatedColumnFormula>
      <totalsRowFormula>טבלה2[[#Totals],[Arrests3]]/טבלה2[[#Totals],[Attendance2]]</totalsRowFormula>
    </tableColumn>
    <tableColumn id="9" xr3:uid="{8AF52AC8-BA4F-45F0-8DE9-D1FB957E9B15}" name="Attendance5" totalsRowFunction="sum" dataDxfId="76" totalsRowDxfId="57">
      <calculatedColumnFormula>VLOOKUP(טבלה2[[#This Row],[Team]],[1]Table_2!$A$5:$D$96,3,1)</calculatedColumnFormula>
    </tableColumn>
    <tableColumn id="10" xr3:uid="{07566D39-8E63-4FEE-A528-F1972912EEB7}" name="Arrests6" totalsRowFunction="sum" dataDxfId="75" totalsRowDxfId="56">
      <calculatedColumnFormula>VLOOKUP(טבלה2[[#This Row],[Team]],[1]Table_2!$A$5:$D$96,4,1)</calculatedColumnFormula>
    </tableColumn>
    <tableColumn id="11" xr3:uid="{849B3D9B-C1B9-4DA7-9A34-26A60A6CC994}" name="% Arrests7" totalsRowFunction="custom" dataDxfId="74" totalsRowDxfId="55" dataCellStyle="Percent">
      <calculatedColumnFormula>טבלה2[[#This Row],[Arrests6]]/טבלה2[[#This Row],[Attendance5]]</calculatedColumnFormula>
      <totalsRowFormula>טבלה2[[#Totals],[Arrests6]]/טבלה2[[#Totals],[Attendance5]]</totalsRowFormula>
    </tableColumn>
    <tableColumn id="12" xr3:uid="{2C1B27BA-E43B-4E26-9AF6-A68AC2437675}" name="Attendance8" totalsRowFunction="sum" dataDxfId="73" totalsRowDxfId="54">
      <calculatedColumnFormula>VLOOKUP(טבלה2[[#This Row],[Team]],[1]Table_3!$A$5:$D$96,3,1)</calculatedColumnFormula>
    </tableColumn>
    <tableColumn id="13" xr3:uid="{584F79D7-4910-4818-956F-D747DDC2ED7F}" name="Arrests9" totalsRowFunction="sum" dataDxfId="72" totalsRowDxfId="53">
      <calculatedColumnFormula>VLOOKUP(טבלה2[[#This Row],[Team]],[1]Table_3!$A$5:$D$96,4,1)</calculatedColumnFormula>
    </tableColumn>
    <tableColumn id="14" xr3:uid="{82ADBD0E-FBF6-4703-B318-D0B615CB9045}" name="% Arrests10" totalsRowFunction="custom" dataDxfId="71" totalsRowDxfId="52" dataCellStyle="Percent">
      <calculatedColumnFormula>טבלה2[[#This Row],[Arrests9]]/טבלה2[[#This Row],[Attendance8]]</calculatedColumnFormula>
      <totalsRowFormula>טבלה2[[#Totals],[Arrests9]]/טבלה2[[#Totals],[Attendance8]]</totalsRowFormula>
    </tableColumn>
    <tableColumn id="15" xr3:uid="{F684D032-242C-4B15-B3C9-C661467AA9AC}" name="Attendance11" totalsRowFunction="sum" dataDxfId="70" totalsRowDxfId="51"/>
    <tableColumn id="16" xr3:uid="{8EE2152B-4DF6-4802-A262-039C044E47FA}" name="Arrests12" totalsRowFunction="sum" dataDxfId="69" totalsRowDxfId="50"/>
    <tableColumn id="17" xr3:uid="{7D372FB2-9C8E-4694-BC15-E68A02157FBF}" name="% Arrests13" totalsRowFunction="custom" dataDxfId="68" totalsRowDxfId="49" dataCellStyle="Percent">
      <calculatedColumnFormula>טבלה2[[#This Row],[Arrests12]]/טבלה2[[#This Row],[Attendance11]]</calculatedColumnFormula>
      <totalsRowFormula>טבלה2[[#Totals],[Arrests12]]/טבלה2[[#Totals],[Attendance11]]</totalsRowFormula>
    </tableColumn>
    <tableColumn id="18" xr3:uid="{84E56436-7B91-40A1-8571-1977BA0A32E9}" name="Attendance14" totalsRowFunction="sum" dataDxfId="67" totalsRowDxfId="48"/>
    <tableColumn id="19" xr3:uid="{2C96C0EB-78C5-4FCB-B517-33911D528F2A}" name="Arrests15" totalsRowFunction="sum" totalsRowDxfId="47"/>
    <tableColumn id="20" xr3:uid="{06D70A04-2B51-4BDD-A9A9-401BFA6FBCC8}" name="% Arrests16" totalsRowFunction="custom" dataDxfId="66" totalsRowDxfId="46" dataCellStyle="Percent">
      <calculatedColumnFormula>טבלה2[[#This Row],[Arrests15]]/טבלה2[[#This Row],[Attendance14]]</calculatedColumnFormula>
      <totalsRowFormula>טבלה2[[#Totals],[Arrests15]]/טבלה2[[#Totals],[Attendance14]]</totalsRowFormula>
    </tableColumn>
    <tableColumn id="21" xr3:uid="{6CFBDA82-561D-4F7E-9FCC-2C2D8457F29B}" name="Attendance17" totalsRowFunction="sum" dataDxfId="65" totalsRowDxfId="45"/>
    <tableColumn id="22" xr3:uid="{EC331324-4790-4FA1-A217-82C28C0BC874}" name="Arrests18" totalsRowFunction="sum" totalsRowDxfId="44"/>
    <tableColumn id="23" xr3:uid="{56D35179-3B3C-43F5-9456-BA9136D6E60B}" name="% Arrests19" totalsRowFunction="custom" dataDxfId="64" totalsRowDxfId="43" dataCellStyle="Percent">
      <calculatedColumnFormula>טבלה2[[#This Row],[Arrests18]]/טבלה2[[#This Row],[Attendance17]]</calculatedColumnFormula>
      <totalsRowFormula>טבלה2[[#Totals],[Arrests18]]/טבלה2[[#Totals],[Attendance17]]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2E911-D698-48DA-B652-3FA8A0BB06AD}" name="טבלה23" displayName="טבלה23" ref="A2:V45" totalsRowCount="1">
  <tableColumns count="22">
    <tableColumn id="1" xr3:uid="{7F1EB521-40E6-4248-A437-3C9283F047B9}" name="City" dataDxfId="42"/>
    <tableColumn id="3" xr3:uid="{BEE0791C-B5D0-4264-9F6C-1C1959FCAC50}" name="Attendance" totalsRowFunction="sum" dataDxfId="41" totalsRowDxfId="20">
      <calculatedColumnFormula>SUMIF(טבלה2[City],טבלה23[[#This Row],[City]],טבלה2[Attendance])</calculatedColumnFormula>
    </tableColumn>
    <tableColumn id="4" xr3:uid="{FBCD84A2-DE54-463D-BFC8-81838FDD1B41}" name="Arrests" totalsRowFunction="sum" dataDxfId="40" totalsRowDxfId="19">
      <calculatedColumnFormula>SUMIF(טבלה2[City],טבלה23[[#This Row],[City]],טבלה2[Arrests])</calculatedColumnFormula>
    </tableColumn>
    <tableColumn id="5" xr3:uid="{0D07ECF8-3FAF-4D39-8370-D69AE4A50BA9}" name="% Arrests" totalsRowFunction="custom" dataDxfId="39" totalsRowDxfId="18" dataCellStyle="Percent" totalsRowCellStyle="Percent">
      <calculatedColumnFormula>טבלה23[[#This Row],[Arrests]]/טבלה23[[#This Row],[Attendance]]</calculatedColumnFormula>
      <totalsRowFormula>טבלה23[[#Totals],[Arrests]]/טבלה23[[#Totals],[Attendance]]</totalsRowFormula>
    </tableColumn>
    <tableColumn id="6" xr3:uid="{B88E9E6D-CC07-45A3-8375-F5A5A1911FE9}" name="Attendance2" totalsRowFunction="sum" dataDxfId="38" totalsRowDxfId="17">
      <calculatedColumnFormula>SUMIF(טבלה2[City],טבלה23[[#This Row],[City]],טבלה2[Attendance2])</calculatedColumnFormula>
    </tableColumn>
    <tableColumn id="7" xr3:uid="{3E80024D-9602-4A0B-B556-DEEE01FBA848}" name="Arrests3" totalsRowFunction="sum" dataDxfId="37" totalsRowDxfId="16">
      <calculatedColumnFormula>SUMIF(טבלה2[City],טבלה23[[#This Row],[City]],טבלה2[Arrests3])</calculatedColumnFormula>
    </tableColumn>
    <tableColumn id="8" xr3:uid="{63F14C3D-F946-4C90-97EF-22B7F4016BDD}" name="% Arrests4" totalsRowFunction="custom" dataDxfId="36" totalsRowDxfId="15" dataCellStyle="Percent" totalsRowCellStyle="Percent">
      <calculatedColumnFormula>טבלה23[[#This Row],[Arrests3]]/טבלה23[[#This Row],[Attendance2]]</calculatedColumnFormula>
      <totalsRowFormula>טבלה23[[#Totals],[Arrests3]]/טבלה23[[#Totals],[Attendance2]]</totalsRowFormula>
    </tableColumn>
    <tableColumn id="9" xr3:uid="{182CAF32-EDE0-4204-9571-AD8EA754ED10}" name="Attendance5" totalsRowFunction="sum" dataDxfId="35" totalsRowDxfId="14">
      <calculatedColumnFormula>SUMIF(טבלה2[City],טבלה23[[#This Row],[City]],טבלה2[Attendance5])</calculatedColumnFormula>
    </tableColumn>
    <tableColumn id="10" xr3:uid="{A168E025-07FC-4A0B-844C-D756BFFE4238}" name="Arrests6" totalsRowFunction="sum" dataDxfId="34" totalsRowDxfId="13">
      <calculatedColumnFormula>SUMIF(טבלה2[City],טבלה23[[#This Row],[City]],טבלה2[Arrests6])</calculatedColumnFormula>
    </tableColumn>
    <tableColumn id="11" xr3:uid="{90CA28B2-26F6-473F-90E1-BE202418FFE5}" name="% Arrests7" totalsRowFunction="custom" dataDxfId="33" totalsRowDxfId="12" dataCellStyle="Percent" totalsRowCellStyle="Percent">
      <calculatedColumnFormula>טבלה23[[#This Row],[Arrests6]]/טבלה23[[#This Row],[Attendance5]]</calculatedColumnFormula>
      <totalsRowFormula>טבלה23[[#Totals],[Arrests6]]/טבלה23[[#Totals],[Attendance5]]</totalsRowFormula>
    </tableColumn>
    <tableColumn id="12" xr3:uid="{F647FD54-A68D-435E-828C-DDC5910A209B}" name="Attendance8" totalsRowFunction="sum" dataDxfId="32" totalsRowDxfId="11">
      <calculatedColumnFormula>SUMIF(טבלה2[City],טבלה23[[#This Row],[City]],טבלה2[Attendance8])</calculatedColumnFormula>
    </tableColumn>
    <tableColumn id="13" xr3:uid="{684D359A-2266-4DDF-B9DE-A1E31A236391}" name="Arrests9" totalsRowFunction="sum" dataDxfId="31" totalsRowDxfId="10">
      <calculatedColumnFormula>SUMIF(טבלה2[City],טבלה23[[#This Row],[City]],טבלה2[Arrests9])</calculatedColumnFormula>
    </tableColumn>
    <tableColumn id="14" xr3:uid="{65442DD9-196D-446B-B5ED-9160A3647170}" name="% Arrests10" totalsRowFunction="custom" dataDxfId="30" totalsRowDxfId="9" dataCellStyle="Percent" totalsRowCellStyle="Percent">
      <calculatedColumnFormula>טבלה23[[#This Row],[Arrests9]]/טבלה23[[#This Row],[Attendance8]]</calculatedColumnFormula>
      <totalsRowFormula>טבלה23[[#Totals],[Arrests9]]/טבלה23[[#Totals],[Attendance8]]</totalsRowFormula>
    </tableColumn>
    <tableColumn id="15" xr3:uid="{DCDF6BE2-8F94-4F76-9188-B53D34A4B979}" name="Attendance11" totalsRowFunction="sum" dataDxfId="29" totalsRowDxfId="8">
      <calculatedColumnFormula>SUMIF(טבלה2[City],טבלה23[[#This Row],[City]],טבלה2[Attendance11])</calculatedColumnFormula>
    </tableColumn>
    <tableColumn id="16" xr3:uid="{456A5721-5ECE-49BD-9E67-0AF3D6AA780F}" name="Arrests12" totalsRowFunction="sum" dataDxfId="28" totalsRowDxfId="7">
      <calculatedColumnFormula>SUMIF(טבלה2[City],טבלה23[[#This Row],[City]],טבלה2[Arrests12])</calculatedColumnFormula>
    </tableColumn>
    <tableColumn id="17" xr3:uid="{FF37C432-D6CA-465D-B6FB-6A90B91C8EBD}" name="% Arrests13" totalsRowFunction="custom" dataDxfId="27" totalsRowDxfId="6" dataCellStyle="Percent" totalsRowCellStyle="Percent">
      <calculatedColumnFormula>טבלה23[[#This Row],[Arrests12]]/טבלה23[[#This Row],[Attendance11]]</calculatedColumnFormula>
      <totalsRowFormula>טבלה23[[#Totals],[Arrests12]]/טבלה23[[#Totals],[Attendance11]]</totalsRowFormula>
    </tableColumn>
    <tableColumn id="18" xr3:uid="{D159367B-236B-4666-88E4-CC0695F365E8}" name="Attendance14" totalsRowFunction="sum" dataDxfId="26" totalsRowDxfId="5">
      <calculatedColumnFormula>SUMIF(טבלה2[City],טבלה23[[#This Row],[City]],טבלה2[Attendance14])</calculatedColumnFormula>
    </tableColumn>
    <tableColumn id="19" xr3:uid="{32BE6237-8E34-4462-888C-C43B9B705643}" name="Arrests15" totalsRowFunction="sum" dataDxfId="25" totalsRowDxfId="4">
      <calculatedColumnFormula>SUMIF(טבלה2[City],טבלה23[[#This Row],[City]],טבלה2[Arrests15])</calculatedColumnFormula>
    </tableColumn>
    <tableColumn id="20" xr3:uid="{79CFF31C-2898-4471-AE61-F3EA8AA5E4AB}" name="% Arrests16" totalsRowFunction="custom" dataDxfId="24" totalsRowDxfId="3" dataCellStyle="Percent" totalsRowCellStyle="Percent">
      <calculatedColumnFormula>טבלה23[[#This Row],[Arrests15]]/טבלה23[[#This Row],[Attendance14]]</calculatedColumnFormula>
      <totalsRowFormula>טבלה23[[#Totals],[Arrests15]]/טבלה23[[#Totals],[Attendance14]]</totalsRowFormula>
    </tableColumn>
    <tableColumn id="21" xr3:uid="{B6D2F0DC-F4D7-4021-90F5-31D749ADC007}" name="Attendance17" totalsRowFunction="sum" dataDxfId="23" totalsRowDxfId="2">
      <calculatedColumnFormula>SUMIF(טבלה2[City],טבלה23[[#This Row],[City]],טבלה2[Attendance17])</calculatedColumnFormula>
    </tableColumn>
    <tableColumn id="22" xr3:uid="{F940D6CB-EDEA-425F-B793-A026B00D89D3}" name="Arrests18" totalsRowFunction="sum" dataDxfId="22" totalsRowDxfId="1">
      <calculatedColumnFormula>SUMIF(טבלה2[City],טבלה23[[#This Row],[City]],טבלה2[Arrests18])</calculatedColumnFormula>
    </tableColumn>
    <tableColumn id="23" xr3:uid="{9D958144-AE01-4491-8015-5C6D7CB6D52E}" name="% Arrests19" totalsRowFunction="custom" dataDxfId="21" totalsRowDxfId="0" dataCellStyle="Percent" totalsRowCellStyle="Percent">
      <calculatedColumnFormula>טבלה23[[#This Row],[Arrests18]]/טבלה23[[#This Row],[Attendance17]]</calculatedColumnFormula>
      <totalsRowFormula>טבלה23[[#Totals],[Arrests18]]/טבלה23[[#Totals],[Attendance17]]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8AA-317A-4EB6-A81B-53582C485C60}">
  <dimension ref="A1:W47"/>
  <sheetViews>
    <sheetView topLeftCell="A16" zoomScale="62" zoomScaleNormal="85" workbookViewId="0">
      <selection activeCell="C3" sqref="C3:E46"/>
    </sheetView>
  </sheetViews>
  <sheetFormatPr defaultRowHeight="14" x14ac:dyDescent="0.3"/>
  <cols>
    <col min="1" max="1" width="22.83203125" bestFit="1" customWidth="1"/>
    <col min="2" max="2" width="14.08203125" bestFit="1" customWidth="1"/>
    <col min="3" max="3" width="11.1640625" bestFit="1" customWidth="1"/>
    <col min="4" max="4" width="7.5" customWidth="1"/>
    <col min="5" max="5" width="9.6640625" bestFit="1" customWidth="1"/>
    <col min="6" max="6" width="12.25" bestFit="1" customWidth="1"/>
    <col min="7" max="7" width="8.58203125" bestFit="1" customWidth="1"/>
    <col min="8" max="8" width="10.75" bestFit="1" customWidth="1"/>
    <col min="9" max="9" width="12.25" bestFit="1" customWidth="1"/>
    <col min="12" max="12" width="12.25" bestFit="1" customWidth="1"/>
    <col min="13" max="13" width="8.58203125" bestFit="1" customWidth="1"/>
    <col min="14" max="14" width="11.83203125" bestFit="1" customWidth="1"/>
    <col min="15" max="15" width="13.33203125" bestFit="1" customWidth="1"/>
    <col min="16" max="16" width="9.6640625" bestFit="1" customWidth="1"/>
    <col min="17" max="17" width="11.83203125" bestFit="1" customWidth="1"/>
    <col min="18" max="18" width="13.33203125" bestFit="1" customWidth="1"/>
    <col min="19" max="19" width="9.6640625" bestFit="1" customWidth="1"/>
    <col min="20" max="20" width="11.83203125" bestFit="1" customWidth="1"/>
    <col min="21" max="21" width="13.33203125" bestFit="1" customWidth="1"/>
    <col min="22" max="22" width="9.6640625" bestFit="1" customWidth="1"/>
    <col min="23" max="23" width="11.83203125" bestFit="1" customWidth="1"/>
    <col min="24" max="24" width="8.6640625" customWidth="1"/>
    <col min="25" max="25" width="52" bestFit="1" customWidth="1"/>
  </cols>
  <sheetData>
    <row r="1" spans="1:23" x14ac:dyDescent="0.3">
      <c r="A1" s="1"/>
      <c r="B1" s="1"/>
      <c r="C1" s="2" t="s">
        <v>0</v>
      </c>
      <c r="D1" s="2"/>
      <c r="E1" s="2"/>
      <c r="F1" s="3" t="s">
        <v>1</v>
      </c>
      <c r="G1" s="3"/>
      <c r="H1" s="3"/>
      <c r="I1" s="4" t="s">
        <v>2</v>
      </c>
      <c r="J1" s="4"/>
      <c r="K1" s="4"/>
      <c r="L1" s="5" t="s">
        <v>3</v>
      </c>
      <c r="M1" s="5"/>
      <c r="N1" s="5"/>
      <c r="O1" s="6" t="s">
        <v>4</v>
      </c>
      <c r="P1" s="6"/>
      <c r="Q1" s="6"/>
      <c r="R1" s="7" t="s">
        <v>5</v>
      </c>
      <c r="S1" s="7"/>
      <c r="T1" s="7"/>
      <c r="U1" s="8" t="s">
        <v>6</v>
      </c>
      <c r="V1" s="8"/>
      <c r="W1" s="8"/>
    </row>
    <row r="2" spans="1:23" x14ac:dyDescent="0.3">
      <c r="A2" t="s">
        <v>7</v>
      </c>
      <c r="B2" t="s">
        <v>8</v>
      </c>
      <c r="C2" s="9" t="s">
        <v>9</v>
      </c>
      <c r="D2" s="9" t="s">
        <v>10</v>
      </c>
      <c r="E2" s="9" t="s">
        <v>11</v>
      </c>
      <c r="F2" s="10" t="s">
        <v>12</v>
      </c>
      <c r="G2" s="10" t="s">
        <v>13</v>
      </c>
      <c r="H2" s="10" t="s">
        <v>14</v>
      </c>
      <c r="I2" s="11" t="s">
        <v>15</v>
      </c>
      <c r="J2" s="11" t="s">
        <v>16</v>
      </c>
      <c r="K2" s="11" t="s">
        <v>17</v>
      </c>
      <c r="L2" s="12" t="s">
        <v>18</v>
      </c>
      <c r="M2" s="12" t="s">
        <v>19</v>
      </c>
      <c r="N2" s="12" t="s">
        <v>20</v>
      </c>
      <c r="O2" s="13" t="s">
        <v>21</v>
      </c>
      <c r="P2" s="13" t="s">
        <v>22</v>
      </c>
      <c r="Q2" s="13" t="s">
        <v>23</v>
      </c>
      <c r="R2" s="14" t="s">
        <v>24</v>
      </c>
      <c r="S2" s="14" t="s">
        <v>25</v>
      </c>
      <c r="T2" s="14" t="s">
        <v>26</v>
      </c>
      <c r="U2" s="15" t="s">
        <v>27</v>
      </c>
      <c r="V2" s="15" t="s">
        <v>28</v>
      </c>
      <c r="W2" s="15" t="s">
        <v>29</v>
      </c>
    </row>
    <row r="3" spans="1:23" x14ac:dyDescent="0.3">
      <c r="A3" s="19" t="s">
        <v>32</v>
      </c>
      <c r="B3" s="19" t="s">
        <v>32</v>
      </c>
      <c r="C3" s="16">
        <v>96935</v>
      </c>
      <c r="D3" s="16">
        <v>36</v>
      </c>
      <c r="E3" s="18">
        <f>טבלה2[[#This Row],[Arrests]]/טבלה2[[#This Row],[Attendance]]</f>
        <v>3.7138288543869601E-4</v>
      </c>
      <c r="F3" s="16">
        <v>88701</v>
      </c>
      <c r="G3" s="16">
        <v>66</v>
      </c>
      <c r="H3" s="18">
        <f>טבלה2[[#This Row],[Arrests3]]/טבלה2[[#This Row],[Attendance2]]</f>
        <v>7.4407278384685627E-4</v>
      </c>
      <c r="I3" s="16">
        <f>VLOOKUP(טבלה2[[#This Row],[Team]],[1]Table_2!$A$5:$D$96,3,1)</f>
        <v>93527</v>
      </c>
      <c r="J3" s="16">
        <f>VLOOKUP(טבלה2[[#This Row],[Team]],[1]Table_2!$A$5:$D$96,4,1)</f>
        <v>107</v>
      </c>
      <c r="K3" s="18">
        <f>טבלה2[[#This Row],[Arrests6]]/טבלה2[[#This Row],[Attendance5]]</f>
        <v>1.1440546580131941E-3</v>
      </c>
      <c r="L3" s="16">
        <f>VLOOKUP(טבלה2[[#This Row],[Team]],[1]Table_3!$A$5:$D$96,3,1)</f>
        <v>81340</v>
      </c>
      <c r="M3" s="16">
        <f>VLOOKUP(טבלה2[[#This Row],[Team]],[1]Table_3!$A$5:$D$96,4,1)</f>
        <v>12</v>
      </c>
      <c r="N3" s="18">
        <f>טבלה2[[#This Row],[Arrests9]]/טבלה2[[#This Row],[Attendance8]]</f>
        <v>1.475288910745021E-4</v>
      </c>
      <c r="O3" s="16">
        <v>95359</v>
      </c>
      <c r="P3" s="16">
        <v>62</v>
      </c>
      <c r="Q3" s="18">
        <f>טבלה2[[#This Row],[Arrests12]]/טבלה2[[#This Row],[Attendance11]]</f>
        <v>6.5017460334105854E-4</v>
      </c>
      <c r="R3" s="16">
        <v>126523</v>
      </c>
      <c r="S3">
        <v>114</v>
      </c>
      <c r="T3" s="18">
        <f>טבלה2[[#This Row],[Arrests15]]/טבלה2[[#This Row],[Attendance14]]</f>
        <v>9.0102194857851934E-4</v>
      </c>
      <c r="U3" s="16">
        <v>109403</v>
      </c>
      <c r="V3">
        <v>129</v>
      </c>
      <c r="W3" s="18">
        <f>טבלה2[[#This Row],[Arrests18]]/טבלה2[[#This Row],[Attendance17]]</f>
        <v>1.1791267149895341E-3</v>
      </c>
    </row>
    <row r="4" spans="1:23" x14ac:dyDescent="0.3">
      <c r="A4" s="19" t="s">
        <v>33</v>
      </c>
      <c r="B4" s="19" t="s">
        <v>78</v>
      </c>
      <c r="C4" s="16">
        <v>114778</v>
      </c>
      <c r="D4" s="16">
        <v>21</v>
      </c>
      <c r="E4" s="18">
        <f>טבלה2[[#This Row],[Arrests]]/טבלה2[[#This Row],[Attendance]]</f>
        <v>1.8296189165171027E-4</v>
      </c>
      <c r="F4" s="16">
        <v>124626</v>
      </c>
      <c r="G4" s="16">
        <v>40</v>
      </c>
      <c r="H4" s="18">
        <f>טבלה2[[#This Row],[Arrests3]]/טבלה2[[#This Row],[Attendance2]]</f>
        <v>3.2096031325726574E-4</v>
      </c>
      <c r="I4" s="16">
        <f>VLOOKUP(טבלה2[[#This Row],[Team]],[1]Table_2!$A$5:$D$96,3,1)</f>
        <v>167770</v>
      </c>
      <c r="J4" s="16">
        <f>VLOOKUP(טבלה2[[#This Row],[Team]],[1]Table_2!$A$5:$D$96,4,1)</f>
        <v>73</v>
      </c>
      <c r="K4" s="18">
        <f>טבלה2[[#This Row],[Arrests6]]/טבלה2[[#This Row],[Attendance5]]</f>
        <v>4.351195088514037E-4</v>
      </c>
      <c r="L4" s="16">
        <f>VLOOKUP(טבלה2[[#This Row],[Team]],[1]Table_3!$A$5:$D$96,3,1)</f>
        <v>148689</v>
      </c>
      <c r="M4" s="16">
        <f>VLOOKUP(טבלה2[[#This Row],[Team]],[1]Table_3!$A$5:$D$96,4,1)</f>
        <v>12</v>
      </c>
      <c r="N4" s="18">
        <f>טבלה2[[#This Row],[Arrests9]]/טבלה2[[#This Row],[Attendance8]]</f>
        <v>8.0705364889131003E-5</v>
      </c>
      <c r="O4" s="16">
        <v>138683</v>
      </c>
      <c r="P4" s="16">
        <v>49</v>
      </c>
      <c r="Q4" s="18">
        <f>טבלה2[[#This Row],[Arrests12]]/טבלה2[[#This Row],[Attendance11]]</f>
        <v>3.5332376715242677E-4</v>
      </c>
      <c r="R4" s="16">
        <v>208429</v>
      </c>
      <c r="S4">
        <v>65</v>
      </c>
      <c r="T4" s="18">
        <f>טבלה2[[#This Row],[Arrests15]]/טבלה2[[#This Row],[Attendance14]]</f>
        <v>3.1185679535957091E-4</v>
      </c>
      <c r="U4" s="16">
        <v>241462</v>
      </c>
      <c r="V4">
        <v>50</v>
      </c>
      <c r="W4" s="18">
        <f>טבלה2[[#This Row],[Arrests18]]/טבלה2[[#This Row],[Attendance17]]</f>
        <v>2.0707192021933058E-4</v>
      </c>
    </row>
    <row r="5" spans="1:23" x14ac:dyDescent="0.3">
      <c r="A5" s="19" t="s">
        <v>34</v>
      </c>
      <c r="B5" s="19" t="s">
        <v>79</v>
      </c>
      <c r="C5" s="16">
        <v>285509</v>
      </c>
      <c r="D5" s="16">
        <v>197</v>
      </c>
      <c r="E5" s="18">
        <f>טבלה2[[#This Row],[Arrests]]/טבלה2[[#This Row],[Attendance]]</f>
        <v>6.8999576195496461E-4</v>
      </c>
      <c r="F5" s="16">
        <v>242007</v>
      </c>
      <c r="G5" s="16">
        <v>85</v>
      </c>
      <c r="H5" s="18">
        <f>טבלה2[[#This Row],[Arrests3]]/טבלה2[[#This Row],[Attendance2]]</f>
        <v>3.512295098902098E-4</v>
      </c>
      <c r="I5" s="16">
        <f>VLOOKUP(טבלה2[[#This Row],[Team]],[1]Table_2!$A$5:$D$96,3,1)</f>
        <v>199041</v>
      </c>
      <c r="J5" s="16">
        <f>VLOOKUP(טבלה2[[#This Row],[Team]],[1]Table_2!$A$5:$D$96,4,1)</f>
        <v>69</v>
      </c>
      <c r="K5" s="18">
        <f>טבלה2[[#This Row],[Arrests6]]/טבלה2[[#This Row],[Attendance5]]</f>
        <v>3.4666224546701436E-4</v>
      </c>
      <c r="L5" s="16">
        <f>VLOOKUP(טבלה2[[#This Row],[Team]],[1]Table_3!$A$5:$D$96,3,1)</f>
        <v>138757</v>
      </c>
      <c r="M5" s="16">
        <f>VLOOKUP(טבלה2[[#This Row],[Team]],[1]Table_3!$A$5:$D$96,4,1)</f>
        <v>9</v>
      </c>
      <c r="N5" s="18">
        <f>טבלה2[[#This Row],[Arrests9]]/טבלה2[[#This Row],[Attendance8]]</f>
        <v>6.4861592568302858E-5</v>
      </c>
      <c r="O5" s="16">
        <v>140653</v>
      </c>
      <c r="P5" s="16">
        <v>25</v>
      </c>
      <c r="Q5" s="18">
        <f>טבלה2[[#This Row],[Arrests12]]/טבלה2[[#This Row],[Attendance11]]</f>
        <v>1.7774238729355223E-4</v>
      </c>
      <c r="R5" s="16">
        <v>151374</v>
      </c>
      <c r="S5">
        <v>20</v>
      </c>
      <c r="T5" s="18">
        <f>טבלה2[[#This Row],[Arrests15]]/טבלה2[[#This Row],[Attendance14]]</f>
        <v>1.3212308586679352E-4</v>
      </c>
      <c r="U5" s="16">
        <v>147095</v>
      </c>
      <c r="V5">
        <v>33</v>
      </c>
      <c r="W5" s="18">
        <f>טבלה2[[#This Row],[Arrests18]]/טבלה2[[#This Row],[Attendance17]]</f>
        <v>2.243448111764506E-4</v>
      </c>
    </row>
    <row r="6" spans="1:23" x14ac:dyDescent="0.3">
      <c r="A6" s="19" t="s">
        <v>35</v>
      </c>
      <c r="B6" s="19" t="s">
        <v>30</v>
      </c>
      <c r="C6" s="16">
        <v>105430</v>
      </c>
      <c r="D6" s="16">
        <v>72</v>
      </c>
      <c r="E6" s="18">
        <f>טבלה2[[#This Row],[Arrests]]/טבלה2[[#This Row],[Attendance]]</f>
        <v>6.8291757564260651E-4</v>
      </c>
      <c r="F6" s="16">
        <v>129296</v>
      </c>
      <c r="G6" s="16">
        <v>50</v>
      </c>
      <c r="H6" s="18">
        <f>טבלה2[[#This Row],[Arrests3]]/טבלה2[[#This Row],[Attendance2]]</f>
        <v>3.8670956564781586E-4</v>
      </c>
      <c r="I6" s="16">
        <f>VLOOKUP(טבלה2[[#This Row],[Team]],[1]Table_2!$A$5:$D$96,3,1)</f>
        <v>130189</v>
      </c>
      <c r="J6" s="16">
        <f>VLOOKUP(טבלה2[[#This Row],[Team]],[1]Table_2!$A$5:$D$96,4,1)</f>
        <v>25</v>
      </c>
      <c r="K6" s="18">
        <f>טבלה2[[#This Row],[Arrests6]]/טבלה2[[#This Row],[Attendance5]]</f>
        <v>1.9202851239352018E-4</v>
      </c>
      <c r="L6" s="16">
        <f>VLOOKUP(טבלה2[[#This Row],[Team]],[1]Table_3!$A$5:$D$96,3,1)</f>
        <v>141208</v>
      </c>
      <c r="M6" s="16">
        <f>VLOOKUP(טבלה2[[#This Row],[Team]],[1]Table_3!$A$5:$D$96,4,1)</f>
        <v>15</v>
      </c>
      <c r="N6" s="18">
        <f>טבלה2[[#This Row],[Arrests9]]/טבלה2[[#This Row],[Attendance8]]</f>
        <v>1.0622627613166393E-4</v>
      </c>
      <c r="O6" s="16">
        <v>164579</v>
      </c>
      <c r="P6" s="16">
        <v>26</v>
      </c>
      <c r="Q6" s="18">
        <f>טבלה2[[#This Row],[Arrests12]]/טבלה2[[#This Row],[Attendance11]]</f>
        <v>1.5797884298725839E-4</v>
      </c>
      <c r="R6" s="16">
        <v>194939</v>
      </c>
      <c r="S6">
        <v>22</v>
      </c>
      <c r="T6" s="18">
        <f>טבלה2[[#This Row],[Arrests15]]/טבלה2[[#This Row],[Attendance14]]</f>
        <v>1.1285581643488476E-4</v>
      </c>
      <c r="U6" s="16">
        <v>129043</v>
      </c>
      <c r="V6">
        <v>37</v>
      </c>
      <c r="W6" s="18">
        <f>טבלה2[[#This Row],[Arrests18]]/טבלה2[[#This Row],[Attendance17]]</f>
        <v>2.8672613004967335E-4</v>
      </c>
    </row>
    <row r="7" spans="1:23" x14ac:dyDescent="0.3">
      <c r="A7" s="19" t="s">
        <v>36</v>
      </c>
      <c r="B7" s="19" t="s">
        <v>36</v>
      </c>
      <c r="C7" s="16">
        <v>144770</v>
      </c>
      <c r="D7" s="16">
        <v>90</v>
      </c>
      <c r="E7" s="18">
        <f>טבלה2[[#This Row],[Arrests]]/טבלה2[[#This Row],[Attendance]]</f>
        <v>6.2167576155280793E-4</v>
      </c>
      <c r="F7" s="16">
        <f>VLOOKUP(טבלה2[[#This Row],[Team]],[1]Table_1!$A$5:$B$96,2,1)</f>
        <v>162583</v>
      </c>
      <c r="G7" s="16">
        <f>VLOOKUP(טבלה2[[#This Row],[Team]],[1]Table_1!$A$5:$C$96,3,1)</f>
        <v>47</v>
      </c>
      <c r="H7" s="18">
        <f>טבלה2[[#This Row],[Arrests3]]/טבלה2[[#This Row],[Attendance2]]</f>
        <v>2.890831144707626E-4</v>
      </c>
      <c r="I7" s="16">
        <f>VLOOKUP(טבלה2[[#This Row],[Team]],[1]Table_2!$A$5:$D$96,3,1)</f>
        <v>142967</v>
      </c>
      <c r="J7" s="16">
        <f>VLOOKUP(טבלה2[[#This Row],[Team]],[1]Table_2!$A$5:$D$96,4,1)</f>
        <v>47</v>
      </c>
      <c r="K7" s="18">
        <f>טבלה2[[#This Row],[Arrests6]]/טבלה2[[#This Row],[Attendance5]]</f>
        <v>3.2874719340826906E-4</v>
      </c>
      <c r="L7" s="16">
        <f>VLOOKUP(טבלה2[[#This Row],[Team]],[1]Table_3!$A$5:$D$96,3,1)</f>
        <v>169424</v>
      </c>
      <c r="M7" s="16">
        <f>VLOOKUP(טבלה2[[#This Row],[Team]],[1]Table_3!$A$5:$D$96,4,1)</f>
        <v>22</v>
      </c>
      <c r="N7" s="18">
        <f>טבלה2[[#This Row],[Arrests9]]/טבלה2[[#This Row],[Attendance8]]</f>
        <v>1.2985173293039948E-4</v>
      </c>
      <c r="O7" s="16">
        <v>231466</v>
      </c>
      <c r="P7" s="16">
        <v>48</v>
      </c>
      <c r="Q7" s="18">
        <f>טבלה2[[#This Row],[Arrests12]]/טבלה2[[#This Row],[Attendance11]]</f>
        <v>2.0737386916436972E-4</v>
      </c>
      <c r="R7" s="16">
        <v>242347</v>
      </c>
      <c r="S7">
        <v>71</v>
      </c>
      <c r="T7" s="18">
        <f>טבלה2[[#This Row],[Arrests15]]/טבלה2[[#This Row],[Attendance14]]</f>
        <v>2.9296834703957547E-4</v>
      </c>
      <c r="U7" s="16">
        <v>259283</v>
      </c>
      <c r="V7">
        <v>23</v>
      </c>
      <c r="W7" s="18">
        <f>טבלה2[[#This Row],[Arrests18]]/טבלה2[[#This Row],[Attendance17]]</f>
        <v>8.87061627642383E-5</v>
      </c>
    </row>
    <row r="8" spans="1:23" x14ac:dyDescent="0.3">
      <c r="A8" s="19" t="s">
        <v>37</v>
      </c>
      <c r="B8" s="19" t="s">
        <v>37</v>
      </c>
      <c r="C8" s="16">
        <v>58997</v>
      </c>
      <c r="D8" s="16">
        <v>5</v>
      </c>
      <c r="E8" s="18">
        <f>טבלה2[[#This Row],[Arrests]]/טבלה2[[#This Row],[Attendance]]</f>
        <v>8.4750072037561233E-5</v>
      </c>
      <c r="F8" s="16">
        <f>VLOOKUP(טבלה2[[#This Row],[Team]],[1]Table_1!$A$5:$B$96,2,1)</f>
        <v>77346</v>
      </c>
      <c r="G8" s="16">
        <f>VLOOKUP(טבלה2[[#This Row],[Team]],[1]Table_1!$A$5:$C$96,3,1)</f>
        <v>27</v>
      </c>
      <c r="H8" s="18">
        <f>טבלה2[[#This Row],[Arrests3]]/טבלה2[[#This Row],[Attendance2]]</f>
        <v>3.4908075401442868E-4</v>
      </c>
      <c r="I8" s="16">
        <f>VLOOKUP(טבלה2[[#This Row],[Team]],[1]Table_2!$A$5:$D$96,3,1)</f>
        <v>79210</v>
      </c>
      <c r="J8" s="16">
        <f>VLOOKUP(טבלה2[[#This Row],[Team]],[1]Table_2!$A$5:$D$96,4,1)</f>
        <v>27</v>
      </c>
      <c r="K8" s="18">
        <f>טבלה2[[#This Row],[Arrests6]]/טבלה2[[#This Row],[Attendance5]]</f>
        <v>3.40866052266128E-4</v>
      </c>
      <c r="L8" s="16">
        <f>VLOOKUP(טבלה2[[#This Row],[Team]],[1]Table_3!$A$5:$D$96,3,1)</f>
        <v>61844</v>
      </c>
      <c r="M8" s="16">
        <f>VLOOKUP(טבלה2[[#This Row],[Team]],[1]Table_3!$A$5:$D$96,4,1)</f>
        <v>11</v>
      </c>
      <c r="N8" s="18">
        <f>טבלה2[[#This Row],[Arrests9]]/טבלה2[[#This Row],[Attendance8]]</f>
        <v>1.7786689088674729E-4</v>
      </c>
      <c r="O8" s="16">
        <v>66734</v>
      </c>
      <c r="P8" s="16">
        <v>7</v>
      </c>
      <c r="Q8" s="18">
        <f>טבלה2[[#This Row],[Arrests12]]/טבלה2[[#This Row],[Attendance11]]</f>
        <v>1.0489405700242755E-4</v>
      </c>
      <c r="R8" s="16">
        <v>56067</v>
      </c>
      <c r="S8">
        <v>12</v>
      </c>
      <c r="T8" s="18">
        <f>טבלה2[[#This Row],[Arrests15]]/טבלה2[[#This Row],[Attendance14]]</f>
        <v>2.1402964310557012E-4</v>
      </c>
      <c r="U8" s="16">
        <v>54529</v>
      </c>
      <c r="V8">
        <v>4</v>
      </c>
      <c r="W8" s="18">
        <f>טבלה2[[#This Row],[Arrests18]]/טבלה2[[#This Row],[Attendance17]]</f>
        <v>7.3355462231106382E-5</v>
      </c>
    </row>
    <row r="9" spans="1:23" x14ac:dyDescent="0.3">
      <c r="A9" s="19" t="s">
        <v>38</v>
      </c>
      <c r="B9" s="19" t="s">
        <v>80</v>
      </c>
      <c r="C9" s="16">
        <v>52896</v>
      </c>
      <c r="D9" s="16">
        <v>29</v>
      </c>
      <c r="E9" s="18">
        <f>טבלה2[[#This Row],[Arrests]]/טבלה2[[#This Row],[Attendance]]</f>
        <v>5.4824561403508769E-4</v>
      </c>
      <c r="F9" s="16">
        <f>VLOOKUP(טבלה2[[#This Row],[Team]],[1]Table_1!$A$5:$B$96,2,1)</f>
        <v>59655</v>
      </c>
      <c r="G9" s="16">
        <f>VLOOKUP(טבלה2[[#This Row],[Team]],[1]Table_1!$A$5:$C$96,3,1)</f>
        <v>17</v>
      </c>
      <c r="H9" s="18">
        <f>טבלה2[[#This Row],[Arrests3]]/טבלה2[[#This Row],[Attendance2]]</f>
        <v>2.8497192188416728E-4</v>
      </c>
      <c r="I9" s="16">
        <f>VLOOKUP(טבלה2[[#This Row],[Team]],[1]Table_2!$A$5:$D$96,3,1)</f>
        <v>45349</v>
      </c>
      <c r="J9" s="16">
        <f>VLOOKUP(טבלה2[[#This Row],[Team]],[1]Table_2!$A$5:$D$96,4,1)</f>
        <v>1</v>
      </c>
      <c r="K9" s="18">
        <f>טבלה2[[#This Row],[Arrests6]]/טבלה2[[#This Row],[Attendance5]]</f>
        <v>2.205120289311782E-5</v>
      </c>
      <c r="L9" s="16">
        <f>VLOOKUP(טבלה2[[#This Row],[Team]],[1]Table_3!$A$5:$D$96,3,1)</f>
        <v>116542</v>
      </c>
      <c r="M9" s="16">
        <f>VLOOKUP(טבלה2[[#This Row],[Team]],[1]Table_3!$A$5:$D$96,4,1)</f>
        <v>3</v>
      </c>
      <c r="N9" s="18">
        <f>טבלה2[[#This Row],[Arrests9]]/טבלה2[[#This Row],[Attendance8]]</f>
        <v>2.5741792658440732E-5</v>
      </c>
      <c r="O9" s="16">
        <v>162804</v>
      </c>
      <c r="P9" s="16">
        <v>9</v>
      </c>
      <c r="Q9" s="18">
        <f>טבלה2[[#This Row],[Arrests12]]/טבלה2[[#This Row],[Attendance11]]</f>
        <v>5.5281197022186185E-5</v>
      </c>
      <c r="R9" s="16">
        <v>127526</v>
      </c>
      <c r="S9">
        <v>26</v>
      </c>
      <c r="T9" s="18">
        <f>טבלה2[[#This Row],[Arrests15]]/טבלה2[[#This Row],[Attendance14]]</f>
        <v>2.0387999309944639E-4</v>
      </c>
      <c r="U9" s="16">
        <v>84773</v>
      </c>
      <c r="V9">
        <v>6</v>
      </c>
      <c r="W9" s="18">
        <f>טבלה2[[#This Row],[Arrests18]]/טבלה2[[#This Row],[Attendance17]]</f>
        <v>7.0777252191145764E-5</v>
      </c>
    </row>
    <row r="10" spans="1:23" x14ac:dyDescent="0.3">
      <c r="A10" s="19" t="s">
        <v>39</v>
      </c>
      <c r="B10" s="19" t="s">
        <v>81</v>
      </c>
      <c r="C10" s="16">
        <v>101752</v>
      </c>
      <c r="D10" s="16">
        <v>43</v>
      </c>
      <c r="E10" s="18">
        <f>טבלה2[[#This Row],[Arrests]]/טבלה2[[#This Row],[Attendance]]</f>
        <v>4.2259611604685904E-4</v>
      </c>
      <c r="F10" s="16">
        <f>VLOOKUP(טבלה2[[#This Row],[Team]],[1]Table_1!$A$5:$B$96,2,1)</f>
        <v>100643</v>
      </c>
      <c r="G10" s="16">
        <f>VLOOKUP(טבלה2[[#This Row],[Team]],[1]Table_1!$A$5:$C$96,3,1)</f>
        <v>16</v>
      </c>
      <c r="H10" s="18">
        <f>טבלה2[[#This Row],[Arrests3]]/טבלה2[[#This Row],[Attendance2]]</f>
        <v>1.5897777292012361E-4</v>
      </c>
      <c r="I10" s="16">
        <f>VLOOKUP(טבלה2[[#This Row],[Team]],[1]Table_2!$A$5:$D$96,3,1)</f>
        <v>84304</v>
      </c>
      <c r="J10" s="16">
        <f>VLOOKUP(טבלה2[[#This Row],[Team]],[1]Table_2!$A$5:$D$96,4,1)</f>
        <v>32</v>
      </c>
      <c r="K10" s="18">
        <f>טבלה2[[#This Row],[Arrests6]]/טבלה2[[#This Row],[Attendance5]]</f>
        <v>3.7957866767887642E-4</v>
      </c>
      <c r="L10" s="16">
        <f>VLOOKUP(טבלה2[[#This Row],[Team]],[1]Table_3!$A$5:$D$96,3,1)</f>
        <v>67989</v>
      </c>
      <c r="M10" s="16">
        <f>VLOOKUP(טבלה2[[#This Row],[Team]],[1]Table_3!$A$5:$D$96,4,1)</f>
        <v>8</v>
      </c>
      <c r="N10" s="18">
        <f>טבלה2[[#This Row],[Arrests9]]/טבלה2[[#This Row],[Attendance8]]</f>
        <v>1.1766609304446308E-4</v>
      </c>
      <c r="O10" s="16">
        <v>136300</v>
      </c>
      <c r="P10" s="16">
        <v>8</v>
      </c>
      <c r="Q10" s="18">
        <f>טבלה2[[#This Row],[Arrests12]]/טבלה2[[#This Row],[Attendance11]]</f>
        <v>5.8694057226705793E-5</v>
      </c>
      <c r="R10" s="16">
        <v>179752</v>
      </c>
      <c r="S10">
        <v>14</v>
      </c>
      <c r="T10" s="18">
        <f>טבלה2[[#This Row],[Arrests15]]/טבלה2[[#This Row],[Attendance14]]</f>
        <v>7.7885086118652361E-5</v>
      </c>
      <c r="U10" s="16">
        <v>139150</v>
      </c>
      <c r="V10">
        <v>15</v>
      </c>
      <c r="W10" s="18">
        <f>טבלה2[[#This Row],[Arrests18]]/טבלה2[[#This Row],[Attendance17]]</f>
        <v>1.0779734099892202E-4</v>
      </c>
    </row>
    <row r="11" spans="1:23" x14ac:dyDescent="0.3">
      <c r="A11" s="19" t="s">
        <v>40</v>
      </c>
      <c r="B11" s="19" t="s">
        <v>82</v>
      </c>
      <c r="C11" s="16">
        <v>51282</v>
      </c>
      <c r="D11" s="16">
        <v>27</v>
      </c>
      <c r="E11" s="18">
        <f>טבלה2[[#This Row],[Arrests]]/טבלה2[[#This Row],[Attendance]]</f>
        <v>5.265005265005265E-4</v>
      </c>
      <c r="F11" s="16">
        <f>VLOOKUP(טבלה2[[#This Row],[Team]],[1]Table_1!$A$5:$B$96,2,1)</f>
        <v>73696</v>
      </c>
      <c r="G11" s="16">
        <f>VLOOKUP(טבלה2[[#This Row],[Team]],[1]Table_1!$A$5:$C$96,3,1)</f>
        <v>17</v>
      </c>
      <c r="H11" s="18">
        <f>טבלה2[[#This Row],[Arrests3]]/טבלה2[[#This Row],[Attendance2]]</f>
        <v>2.3067737733391229E-4</v>
      </c>
      <c r="I11" s="16">
        <f>VLOOKUP(טבלה2[[#This Row],[Team]],[1]Table_2!$A$5:$D$96,3,1)</f>
        <v>107959</v>
      </c>
      <c r="J11" s="16">
        <f>VLOOKUP(טבלה2[[#This Row],[Team]],[1]Table_2!$A$5:$D$96,4,1)</f>
        <v>15</v>
      </c>
      <c r="K11" s="18">
        <f>טבלה2[[#This Row],[Arrests6]]/טבלה2[[#This Row],[Attendance5]]</f>
        <v>1.3894163525041915E-4</v>
      </c>
      <c r="L11" s="16">
        <f>VLOOKUP(טבלה2[[#This Row],[Team]],[1]Table_3!$A$5:$D$96,3,1)</f>
        <v>64655</v>
      </c>
      <c r="M11" s="16">
        <f>VLOOKUP(טבלה2[[#This Row],[Team]],[1]Table_3!$A$5:$D$96,4,1)</f>
        <v>14</v>
      </c>
      <c r="N11" s="18">
        <f>טבלה2[[#This Row],[Arrests9]]/טבלה2[[#This Row],[Attendance8]]</f>
        <v>2.1653391075709535E-4</v>
      </c>
      <c r="O11" s="16">
        <v>53568</v>
      </c>
      <c r="P11" s="16">
        <v>19</v>
      </c>
      <c r="Q11" s="18">
        <f>טבלה2[[#This Row],[Arrests12]]/טבלה2[[#This Row],[Attendance11]]</f>
        <v>3.54689366786141E-4</v>
      </c>
      <c r="R11" s="16">
        <v>75821</v>
      </c>
      <c r="S11">
        <v>12</v>
      </c>
      <c r="T11" s="18">
        <f>טבלה2[[#This Row],[Arrests15]]/טבלה2[[#This Row],[Attendance14]]</f>
        <v>1.5826749845029742E-4</v>
      </c>
      <c r="U11" s="16">
        <v>116244</v>
      </c>
      <c r="V11">
        <v>16</v>
      </c>
      <c r="W11" s="18">
        <f>טבלה2[[#This Row],[Arrests18]]/טבלה2[[#This Row],[Attendance17]]</f>
        <v>1.3764151268022434E-4</v>
      </c>
    </row>
    <row r="12" spans="1:23" x14ac:dyDescent="0.3">
      <c r="A12" s="19" t="s">
        <v>41</v>
      </c>
      <c r="B12" s="19" t="s">
        <v>83</v>
      </c>
      <c r="C12" s="16">
        <v>58967</v>
      </c>
      <c r="D12" s="16">
        <v>22</v>
      </c>
      <c r="E12" s="18">
        <f>טבלה2[[#This Row],[Arrests]]/טבלה2[[#This Row],[Attendance]]</f>
        <v>3.7309003340851664E-4</v>
      </c>
      <c r="F12" s="16">
        <f>VLOOKUP(טבלה2[[#This Row],[Team]],[1]Table_1!$A$5:$B$96,2,1)</f>
        <v>70119</v>
      </c>
      <c r="G12" s="16">
        <f>VLOOKUP(טבלה2[[#This Row],[Team]],[1]Table_1!$A$5:$C$96,3,1)</f>
        <v>20</v>
      </c>
      <c r="H12" s="18">
        <f>טבלה2[[#This Row],[Arrests3]]/טבלה2[[#This Row],[Attendance2]]</f>
        <v>2.8522939574152512E-4</v>
      </c>
      <c r="I12" s="16">
        <f>VLOOKUP(טבלה2[[#This Row],[Team]],[1]Table_2!$A$5:$D$96,3,1)</f>
        <v>55914</v>
      </c>
      <c r="J12" s="16">
        <f>VLOOKUP(טבלה2[[#This Row],[Team]],[1]Table_2!$A$5:$D$96,4,1)</f>
        <v>46</v>
      </c>
      <c r="K12" s="18">
        <f>טבלה2[[#This Row],[Arrests6]]/טבלה2[[#This Row],[Attendance5]]</f>
        <v>8.2269199127231105E-4</v>
      </c>
      <c r="L12" s="16">
        <f>VLOOKUP(טבלה2[[#This Row],[Team]],[1]Table_3!$A$5:$D$96,3,1)</f>
        <v>24040</v>
      </c>
      <c r="M12" s="16">
        <f>VLOOKUP(טבלה2[[#This Row],[Team]],[1]Table_3!$A$5:$D$96,4,1)</f>
        <v>0</v>
      </c>
      <c r="N12" s="18">
        <f>טבלה2[[#This Row],[Arrests9]]/טבלה2[[#This Row],[Attendance8]]</f>
        <v>0</v>
      </c>
      <c r="O12" s="16">
        <v>42711</v>
      </c>
      <c r="P12" s="16">
        <v>11</v>
      </c>
      <c r="Q12" s="18">
        <f>טבלה2[[#This Row],[Arrests12]]/טבלה2[[#This Row],[Attendance11]]</f>
        <v>2.5754489475779071E-4</v>
      </c>
      <c r="R12" s="16">
        <v>68806</v>
      </c>
      <c r="S12">
        <v>29</v>
      </c>
      <c r="T12" s="18">
        <f>טבלה2[[#This Row],[Arrests15]]/טבלה2[[#This Row],[Attendance14]]</f>
        <v>4.2147487137749617E-4</v>
      </c>
      <c r="U12" s="16">
        <v>67008</v>
      </c>
      <c r="V12">
        <v>30</v>
      </c>
      <c r="W12" s="18">
        <f>טבלה2[[#This Row],[Arrests18]]/טבלה2[[#This Row],[Attendance17]]</f>
        <v>4.4770773638968484E-4</v>
      </c>
    </row>
    <row r="13" spans="1:23" x14ac:dyDescent="0.3">
      <c r="A13" s="19" t="s">
        <v>42</v>
      </c>
      <c r="B13" s="19" t="s">
        <v>42</v>
      </c>
      <c r="C13" s="16">
        <v>61239</v>
      </c>
      <c r="D13" s="16">
        <v>21</v>
      </c>
      <c r="E13" s="18">
        <f>טבלה2[[#This Row],[Arrests]]/טבלה2[[#This Row],[Attendance]]</f>
        <v>3.4291872826140203E-4</v>
      </c>
      <c r="F13" s="16">
        <f>VLOOKUP(טבלה2[[#This Row],[Team]],[1]Table_1!$A$5:$B$96,2,1)</f>
        <v>86746</v>
      </c>
      <c r="G13" s="16">
        <f>VLOOKUP(טבלה2[[#This Row],[Team]],[1]Table_1!$A$5:$C$96,3,1)</f>
        <v>44</v>
      </c>
      <c r="H13" s="18">
        <f>טבלה2[[#This Row],[Arrests3]]/טבלה2[[#This Row],[Attendance2]]</f>
        <v>5.0722799898554399E-4</v>
      </c>
      <c r="I13" s="16">
        <f>VLOOKUP(טבלה2[[#This Row],[Team]],[1]Table_2!$A$5:$D$96,3,1)</f>
        <v>98265</v>
      </c>
      <c r="J13" s="16">
        <f>VLOOKUP(טבלה2[[#This Row],[Team]],[1]Table_2!$A$5:$D$96,4,1)</f>
        <v>54</v>
      </c>
      <c r="K13" s="18">
        <f>טבלה2[[#This Row],[Arrests6]]/טבלה2[[#This Row],[Attendance5]]</f>
        <v>5.4953442222561446E-4</v>
      </c>
      <c r="L13" s="16">
        <f>VLOOKUP(טבלה2[[#This Row],[Team]],[1]Table_3!$A$5:$D$96,3,1)</f>
        <v>72805</v>
      </c>
      <c r="M13" s="16">
        <f>VLOOKUP(טבלה2[[#This Row],[Team]],[1]Table_3!$A$5:$D$96,4,1)</f>
        <v>9</v>
      </c>
      <c r="N13" s="18">
        <f>טבלה2[[#This Row],[Arrests9]]/טבלה2[[#This Row],[Attendance8]]</f>
        <v>1.2361788338713001E-4</v>
      </c>
      <c r="O13" s="16">
        <v>75664</v>
      </c>
      <c r="P13" s="16">
        <v>12</v>
      </c>
      <c r="Q13" s="18">
        <f>טבלה2[[#This Row],[Arrests12]]/טבלה2[[#This Row],[Attendance11]]</f>
        <v>1.585958976527807E-4</v>
      </c>
      <c r="R13" s="16">
        <v>67468</v>
      </c>
      <c r="S13">
        <v>23</v>
      </c>
      <c r="T13" s="18">
        <f>טבלה2[[#This Row],[Arrests15]]/טבלה2[[#This Row],[Attendance14]]</f>
        <v>3.4090235370842472E-4</v>
      </c>
      <c r="U13" s="16">
        <v>66958</v>
      </c>
      <c r="V13">
        <v>33</v>
      </c>
      <c r="W13" s="18">
        <f>טבלה2[[#This Row],[Arrests18]]/טבלה2[[#This Row],[Attendance17]]</f>
        <v>4.9284626183577769E-4</v>
      </c>
    </row>
    <row r="14" spans="1:23" x14ac:dyDescent="0.3">
      <c r="A14" s="19" t="s">
        <v>43</v>
      </c>
      <c r="B14" s="19" t="s">
        <v>43</v>
      </c>
      <c r="C14" s="16">
        <v>40607</v>
      </c>
      <c r="D14" s="16">
        <v>0</v>
      </c>
      <c r="E14" s="18">
        <f>טבלה2[[#This Row],[Arrests]]/טבלה2[[#This Row],[Attendance]]</f>
        <v>0</v>
      </c>
      <c r="F14" s="16">
        <f>VLOOKUP(טבלה2[[#This Row],[Team]],[1]Table_1!$A$5:$B$96,2,1)</f>
        <v>66421</v>
      </c>
      <c r="G14" s="16">
        <f>VLOOKUP(טבלה2[[#This Row],[Team]],[1]Table_1!$A$5:$C$96,3,1)</f>
        <v>7</v>
      </c>
      <c r="H14" s="18">
        <f>טבלה2[[#This Row],[Arrests3]]/טבלה2[[#This Row],[Attendance2]]</f>
        <v>1.0538835609219975E-4</v>
      </c>
      <c r="I14" s="16">
        <f>VLOOKUP(טבלה2[[#This Row],[Team]],[1]Table_2!$A$5:$D$96,3,1)</f>
        <v>70940</v>
      </c>
      <c r="J14" s="16">
        <f>VLOOKUP(טבלה2[[#This Row],[Team]],[1]Table_2!$A$5:$D$96,4,1)</f>
        <v>17</v>
      </c>
      <c r="K14" s="18">
        <f>טבלה2[[#This Row],[Arrests6]]/טבלה2[[#This Row],[Attendance5]]</f>
        <v>2.3963913166055823E-4</v>
      </c>
      <c r="L14" s="16">
        <f>VLOOKUP(טבלה2[[#This Row],[Team]],[1]Table_3!$A$5:$D$96,3,1)</f>
        <v>72805</v>
      </c>
      <c r="M14" s="16">
        <f>VLOOKUP(טבלה2[[#This Row],[Team]],[1]Table_3!$A$5:$D$96,4,1)</f>
        <v>9</v>
      </c>
      <c r="N14" s="18">
        <f>טבלה2[[#This Row],[Arrests9]]/טבלה2[[#This Row],[Attendance8]]</f>
        <v>1.2361788338713001E-4</v>
      </c>
      <c r="O14" s="16">
        <v>42711</v>
      </c>
      <c r="P14" s="16">
        <v>11</v>
      </c>
      <c r="Q14" s="18">
        <f>טבלה2[[#This Row],[Arrests12]]/טבלה2[[#This Row],[Attendance11]]</f>
        <v>2.5754489475779071E-4</v>
      </c>
      <c r="R14" s="16">
        <v>79321</v>
      </c>
      <c r="S14">
        <v>14</v>
      </c>
      <c r="T14" s="18">
        <f>טבלה2[[#This Row],[Arrests15]]/טבלה2[[#This Row],[Attendance14]]</f>
        <v>1.7649802700419814E-4</v>
      </c>
      <c r="U14" s="16">
        <v>59998</v>
      </c>
      <c r="V14">
        <v>6</v>
      </c>
      <c r="W14" s="18">
        <f>טבלה2[[#This Row],[Arrests18]]/טבלה2[[#This Row],[Attendance17]]</f>
        <v>1.0000333344444814E-4</v>
      </c>
    </row>
    <row r="15" spans="1:23" x14ac:dyDescent="0.3">
      <c r="A15" s="19" t="s">
        <v>44</v>
      </c>
      <c r="B15" s="19" t="s">
        <v>44</v>
      </c>
      <c r="C15" s="16">
        <v>51828</v>
      </c>
      <c r="D15" s="16">
        <v>21</v>
      </c>
      <c r="E15" s="18">
        <f>טבלה2[[#This Row],[Arrests]]/טבלה2[[#This Row],[Attendance]]</f>
        <v>4.051863857374392E-4</v>
      </c>
      <c r="F15" s="16">
        <f>VLOOKUP(טבלה2[[#This Row],[Team]],[1]Table_1!$A$5:$B$96,2,1)</f>
        <v>74202</v>
      </c>
      <c r="G15" s="16">
        <f>VLOOKUP(טבלה2[[#This Row],[Team]],[1]Table_1!$A$5:$C$96,3,1)</f>
        <v>30</v>
      </c>
      <c r="H15" s="18">
        <f>טבלה2[[#This Row],[Arrests3]]/טבלה2[[#This Row],[Attendance2]]</f>
        <v>4.0430177084175629E-4</v>
      </c>
      <c r="I15" s="16">
        <f>VLOOKUP(טבלה2[[#This Row],[Team]],[1]Table_2!$A$5:$D$96,3,1)</f>
        <v>93156</v>
      </c>
      <c r="J15" s="16">
        <f>VLOOKUP(טבלה2[[#This Row],[Team]],[1]Table_2!$A$5:$D$96,4,1)</f>
        <v>11</v>
      </c>
      <c r="K15" s="18">
        <f>טבלה2[[#This Row],[Arrests6]]/טבלה2[[#This Row],[Attendance5]]</f>
        <v>1.1808149770277813E-4</v>
      </c>
      <c r="L15" s="16">
        <f>VLOOKUP(טבלה2[[#This Row],[Team]],[1]Table_3!$A$5:$D$96,3,1)</f>
        <v>68991</v>
      </c>
      <c r="M15" s="16">
        <f>VLOOKUP(טבלה2[[#This Row],[Team]],[1]Table_3!$A$5:$D$96,4,1)</f>
        <v>1</v>
      </c>
      <c r="N15" s="18">
        <f>טבלה2[[#This Row],[Arrests9]]/טבלה2[[#This Row],[Attendance8]]</f>
        <v>1.4494644228957401E-5</v>
      </c>
      <c r="O15" s="16">
        <v>82129</v>
      </c>
      <c r="P15" s="16">
        <v>9</v>
      </c>
      <c r="Q15" s="18">
        <f>טבלה2[[#This Row],[Arrests12]]/טבלה2[[#This Row],[Attendance11]]</f>
        <v>1.0958370368566524E-4</v>
      </c>
      <c r="R15" s="16">
        <v>72545</v>
      </c>
      <c r="S15">
        <v>15</v>
      </c>
      <c r="T15" s="18">
        <f>טבלה2[[#This Row],[Arrests15]]/טבלה2[[#This Row],[Attendance14]]</f>
        <v>2.0676821283341373E-4</v>
      </c>
      <c r="U15" s="16">
        <v>83809</v>
      </c>
      <c r="V15">
        <v>13</v>
      </c>
      <c r="W15" s="18">
        <f>טבלה2[[#This Row],[Arrests18]]/טבלה2[[#This Row],[Attendance17]]</f>
        <v>1.551146058299228E-4</v>
      </c>
    </row>
    <row r="16" spans="1:23" x14ac:dyDescent="0.3">
      <c r="A16" s="19" t="s">
        <v>45</v>
      </c>
      <c r="B16" s="19" t="s">
        <v>45</v>
      </c>
      <c r="C16" s="16">
        <v>50374</v>
      </c>
      <c r="D16" s="16">
        <v>5</v>
      </c>
      <c r="E16" s="18">
        <f>טבלה2[[#This Row],[Arrests]]/טבלה2[[#This Row],[Attendance]]</f>
        <v>9.9257553499821336E-5</v>
      </c>
      <c r="F16" s="16">
        <f>VLOOKUP(טבלה2[[#This Row],[Team]],[1]Table_1!$A$5:$B$96,2,1)</f>
        <v>53278</v>
      </c>
      <c r="G16" s="16">
        <f>VLOOKUP(טבלה2[[#This Row],[Team]],[1]Table_1!$A$5:$C$96,3,1)</f>
        <v>26</v>
      </c>
      <c r="H16" s="18">
        <f>טבלה2[[#This Row],[Arrests3]]/טבלה2[[#This Row],[Attendance2]]</f>
        <v>4.8800630654303838E-4</v>
      </c>
      <c r="I16" s="16">
        <f>VLOOKUP(טבלה2[[#This Row],[Team]],[1]Table_2!$A$5:$D$96,3,1)</f>
        <v>323792</v>
      </c>
      <c r="J16" s="16">
        <f>VLOOKUP(טבלה2[[#This Row],[Team]],[1]Table_2!$A$5:$D$96,4,1)</f>
        <v>76</v>
      </c>
      <c r="K16" s="18">
        <f>טבלה2[[#This Row],[Arrests6]]/טבלה2[[#This Row],[Attendance5]]</f>
        <v>2.3471858477046992E-4</v>
      </c>
      <c r="L16" s="16">
        <f>VLOOKUP(טבלה2[[#This Row],[Team]],[1]Table_3!$A$5:$D$96,3,1)</f>
        <v>86486</v>
      </c>
      <c r="M16" s="16">
        <f>VLOOKUP(טבלה2[[#This Row],[Team]],[1]Table_3!$A$5:$D$96,4,1)</f>
        <v>7</v>
      </c>
      <c r="N16" s="18">
        <f>טבלה2[[#This Row],[Arrests9]]/טבלה2[[#This Row],[Attendance8]]</f>
        <v>8.0937955275998429E-5</v>
      </c>
      <c r="O16" s="16">
        <v>66802</v>
      </c>
      <c r="P16" s="16">
        <v>25</v>
      </c>
      <c r="Q16" s="18">
        <f>טבלה2[[#This Row],[Arrests12]]/טבלה2[[#This Row],[Attendance11]]</f>
        <v>3.7424029220682018E-4</v>
      </c>
      <c r="R16" s="16">
        <v>41166</v>
      </c>
      <c r="S16">
        <v>13</v>
      </c>
      <c r="T16" s="18">
        <f>טבלה2[[#This Row],[Arrests15]]/טבלה2[[#This Row],[Attendance14]]</f>
        <v>3.157945877666035E-4</v>
      </c>
      <c r="U16" s="16">
        <v>47796</v>
      </c>
      <c r="V16">
        <v>8</v>
      </c>
      <c r="W16" s="18">
        <f>טבלה2[[#This Row],[Arrests18]]/טבלה2[[#This Row],[Attendance17]]</f>
        <v>1.6737802326554523E-4</v>
      </c>
    </row>
    <row r="17" spans="1:23" x14ac:dyDescent="0.3">
      <c r="A17" s="19" t="s">
        <v>46</v>
      </c>
      <c r="B17" s="19" t="s">
        <v>84</v>
      </c>
      <c r="C17" s="16">
        <v>43223</v>
      </c>
      <c r="D17" s="16">
        <v>28</v>
      </c>
      <c r="E17" s="18">
        <f>טבלה2[[#This Row],[Arrests]]/טבלה2[[#This Row],[Attendance]]</f>
        <v>6.4780325289776281E-4</v>
      </c>
      <c r="F17" s="16">
        <f>VLOOKUP(טבלה2[[#This Row],[Team]],[1]Table_1!$A$5:$B$96,2,1)</f>
        <v>49796</v>
      </c>
      <c r="G17" s="16">
        <f>VLOOKUP(טבלה2[[#This Row],[Team]],[1]Table_1!$A$5:$C$96,3,1)</f>
        <v>20</v>
      </c>
      <c r="H17" s="18">
        <f>טבלה2[[#This Row],[Arrests3]]/טבלה2[[#This Row],[Attendance2]]</f>
        <v>4.0163868583821993E-4</v>
      </c>
      <c r="I17" s="16">
        <f>VLOOKUP(טבלה2[[#This Row],[Team]],[1]Table_2!$A$5:$D$96,3,1)</f>
        <v>62255</v>
      </c>
      <c r="J17" s="16">
        <f>VLOOKUP(טבלה2[[#This Row],[Team]],[1]Table_2!$A$5:$D$96,4,1)</f>
        <v>51</v>
      </c>
      <c r="K17" s="18">
        <f>טבלה2[[#This Row],[Arrests6]]/טבלה2[[#This Row],[Attendance5]]</f>
        <v>8.1921130832864834E-4</v>
      </c>
      <c r="L17" s="16">
        <f>VLOOKUP(טבלה2[[#This Row],[Team]],[1]Table_3!$A$5:$D$96,3,1)</f>
        <v>55316</v>
      </c>
      <c r="M17" s="16">
        <f>VLOOKUP(טבלה2[[#This Row],[Team]],[1]Table_3!$A$5:$D$96,4,1)</f>
        <v>15</v>
      </c>
      <c r="N17" s="18">
        <f>טבלה2[[#This Row],[Arrests9]]/טבלה2[[#This Row],[Attendance8]]</f>
        <v>2.7116928194374139E-4</v>
      </c>
      <c r="O17" s="16">
        <v>45270</v>
      </c>
      <c r="P17" s="16">
        <v>32</v>
      </c>
      <c r="Q17" s="18">
        <f>טבלה2[[#This Row],[Arrests12]]/טבלה2[[#This Row],[Attendance11]]</f>
        <v>7.0686989176054784E-4</v>
      </c>
      <c r="R17" s="16">
        <v>50632</v>
      </c>
      <c r="S17">
        <v>24</v>
      </c>
      <c r="T17" s="18">
        <f>טבלה2[[#This Row],[Arrests15]]/טבלה2[[#This Row],[Attendance14]]</f>
        <v>4.7400853215357879E-4</v>
      </c>
      <c r="U17" s="16">
        <v>52041</v>
      </c>
      <c r="V17">
        <v>8</v>
      </c>
      <c r="W17" s="18">
        <f>טבלה2[[#This Row],[Arrests18]]/טבלה2[[#This Row],[Attendance17]]</f>
        <v>1.537249476374397E-4</v>
      </c>
    </row>
    <row r="18" spans="1:23" x14ac:dyDescent="0.3">
      <c r="A18" s="19" t="s">
        <v>47</v>
      </c>
      <c r="B18" s="19" t="s">
        <v>47</v>
      </c>
      <c r="C18" s="16">
        <v>56264</v>
      </c>
      <c r="D18" s="16">
        <v>83</v>
      </c>
      <c r="E18" s="18">
        <f>טבלה2[[#This Row],[Arrests]]/טבלה2[[#This Row],[Attendance]]</f>
        <v>1.4751883975543864E-3</v>
      </c>
      <c r="F18" s="16">
        <f>VLOOKUP(טבלה2[[#This Row],[Team]],[1]Table_1!$A$5:$B$96,2,1)</f>
        <v>59832</v>
      </c>
      <c r="G18" s="16">
        <f>VLOOKUP(טבלה2[[#This Row],[Team]],[1]Table_1!$A$5:$C$96,3,1)</f>
        <v>12</v>
      </c>
      <c r="H18" s="18">
        <f>טבלה2[[#This Row],[Arrests3]]/טבלה2[[#This Row],[Attendance2]]</f>
        <v>2.0056157240272763E-4</v>
      </c>
      <c r="I18" s="16">
        <f>VLOOKUP(טבלה2[[#This Row],[Team]],[1]Table_2!$A$5:$D$96,3,1)</f>
        <v>112634</v>
      </c>
      <c r="J18" s="16">
        <f>VLOOKUP(טבלה2[[#This Row],[Team]],[1]Table_2!$A$5:$D$96,4,1)</f>
        <v>19</v>
      </c>
      <c r="K18" s="18">
        <f>טבלה2[[#This Row],[Arrests6]]/טבלה2[[#This Row],[Attendance5]]</f>
        <v>1.6868796278210843E-4</v>
      </c>
      <c r="L18" s="16">
        <f>VLOOKUP(טבלה2[[#This Row],[Team]],[1]Table_3!$A$5:$D$96,3,1)</f>
        <v>90016</v>
      </c>
      <c r="M18" s="16">
        <f>VLOOKUP(טבלה2[[#This Row],[Team]],[1]Table_3!$A$5:$D$96,4,1)</f>
        <v>30</v>
      </c>
      <c r="N18" s="18">
        <f>טבלה2[[#This Row],[Arrests9]]/טבלה2[[#This Row],[Attendance8]]</f>
        <v>3.3327408460718096E-4</v>
      </c>
      <c r="O18" s="16">
        <v>83426</v>
      </c>
      <c r="P18" s="16">
        <v>13</v>
      </c>
      <c r="Q18" s="18">
        <f>טבלה2[[#This Row],[Arrests12]]/טבלה2[[#This Row],[Attendance11]]</f>
        <v>1.558267206865965E-4</v>
      </c>
      <c r="R18" s="16">
        <v>75314</v>
      </c>
      <c r="S18">
        <v>23</v>
      </c>
      <c r="T18" s="18">
        <f>טבלה2[[#This Row],[Arrests15]]/טבלה2[[#This Row],[Attendance14]]</f>
        <v>3.0538810845261172E-4</v>
      </c>
      <c r="U18" s="16">
        <v>76366</v>
      </c>
      <c r="V18">
        <v>20</v>
      </c>
      <c r="W18" s="18">
        <f>טבלה2[[#This Row],[Arrests18]]/טבלה2[[#This Row],[Attendance17]]</f>
        <v>2.6189665557970826E-4</v>
      </c>
    </row>
    <row r="19" spans="1:23" x14ac:dyDescent="0.3">
      <c r="A19" s="19" t="s">
        <v>48</v>
      </c>
      <c r="B19" s="19" t="s">
        <v>30</v>
      </c>
      <c r="C19" s="16">
        <v>116454</v>
      </c>
      <c r="D19" s="16">
        <v>99</v>
      </c>
      <c r="E19" s="18">
        <f>טבלה2[[#This Row],[Arrests]]/טבלה2[[#This Row],[Attendance]]</f>
        <v>8.5012107785048172E-4</v>
      </c>
      <c r="F19" s="16">
        <f>VLOOKUP(טבלה2[[#This Row],[Team]],[1]Table_1!$A$5:$B$96,2,1)</f>
        <v>113580</v>
      </c>
      <c r="G19" s="16">
        <f>VLOOKUP(טבלה2[[#This Row],[Team]],[1]Table_1!$A$5:$C$96,3,1)</f>
        <v>126</v>
      </c>
      <c r="H19" s="18">
        <f>טבלה2[[#This Row],[Arrests3]]/טבלה2[[#This Row],[Attendance2]]</f>
        <v>1.1093502377179081E-3</v>
      </c>
      <c r="I19" s="16">
        <f>VLOOKUP(טבלה2[[#This Row],[Team]],[1]Table_2!$A$5:$D$96,3,1)</f>
        <v>103321</v>
      </c>
      <c r="J19" s="16">
        <f>VLOOKUP(טבלה2[[#This Row],[Team]],[1]Table_2!$A$5:$D$96,4,1)</f>
        <v>67</v>
      </c>
      <c r="K19" s="18">
        <f>טבלה2[[#This Row],[Arrests6]]/טבלה2[[#This Row],[Attendance5]]</f>
        <v>6.4846449414930174E-4</v>
      </c>
      <c r="L19" s="16">
        <f>VLOOKUP(טבלה2[[#This Row],[Team]],[1]Table_3!$A$5:$D$96,3,1)</f>
        <v>75762</v>
      </c>
      <c r="M19" s="16">
        <f>VLOOKUP(טבלה2[[#This Row],[Team]],[1]Table_3!$A$5:$D$96,4,1)</f>
        <v>13</v>
      </c>
      <c r="N19" s="18">
        <f>טבלה2[[#This Row],[Arrests9]]/טבלה2[[#This Row],[Attendance8]]</f>
        <v>1.7158997914521791E-4</v>
      </c>
      <c r="O19" s="16">
        <v>103324</v>
      </c>
      <c r="P19" s="16">
        <v>35</v>
      </c>
      <c r="Q19" s="18">
        <f>טבלה2[[#This Row],[Arrests12]]/טבלה2[[#This Row],[Attendance11]]</f>
        <v>3.3874027331500911E-4</v>
      </c>
      <c r="R19" s="16">
        <v>108922</v>
      </c>
      <c r="S19">
        <v>40</v>
      </c>
      <c r="T19" s="18">
        <f>טבלה2[[#This Row],[Arrests15]]/טבלה2[[#This Row],[Attendance14]]</f>
        <v>3.672352692752612E-4</v>
      </c>
      <c r="U19" s="16">
        <v>107068</v>
      </c>
      <c r="V19">
        <v>28</v>
      </c>
      <c r="W19" s="18">
        <f>טבלה2[[#This Row],[Arrests18]]/טבלה2[[#This Row],[Attendance17]]</f>
        <v>2.6151604587738636E-4</v>
      </c>
    </row>
    <row r="20" spans="1:23" x14ac:dyDescent="0.3">
      <c r="A20" s="19" t="s">
        <v>49</v>
      </c>
      <c r="B20" s="19" t="s">
        <v>49</v>
      </c>
      <c r="C20" s="16">
        <v>106260</v>
      </c>
      <c r="D20" s="16">
        <v>32</v>
      </c>
      <c r="E20" s="18">
        <f>טבלה2[[#This Row],[Arrests]]/טבלה2[[#This Row],[Attendance]]</f>
        <v>3.0114812723508374E-4</v>
      </c>
      <c r="F20" s="16">
        <f>VLOOKUP(טבלה2[[#This Row],[Team]],[1]Table_1!$A$5:$B$96,2,1)</f>
        <v>84907</v>
      </c>
      <c r="G20" s="16">
        <f>VLOOKUP(טבלה2[[#This Row],[Team]],[1]Table_1!$A$5:$C$96,3,1)</f>
        <v>23</v>
      </c>
      <c r="H20" s="18">
        <f>טבלה2[[#This Row],[Arrests3]]/טבלה2[[#This Row],[Attendance2]]</f>
        <v>2.708846149316311E-4</v>
      </c>
      <c r="I20" s="16">
        <f>VLOOKUP(טבלה2[[#This Row],[Team]],[1]Table_2!$A$5:$D$96,3,1)</f>
        <v>88421</v>
      </c>
      <c r="J20" s="16">
        <f>VLOOKUP(טבלה2[[#This Row],[Team]],[1]Table_2!$A$5:$D$96,4,1)</f>
        <v>7</v>
      </c>
      <c r="K20" s="18">
        <f>טבלה2[[#This Row],[Arrests6]]/טבלה2[[#This Row],[Attendance5]]</f>
        <v>7.9166713789710587E-5</v>
      </c>
      <c r="L20" s="16">
        <f>VLOOKUP(טבלה2[[#This Row],[Team]],[1]Table_3!$A$5:$D$96,3,1)</f>
        <v>80667</v>
      </c>
      <c r="M20" s="16">
        <f>VLOOKUP(טבלה2[[#This Row],[Team]],[1]Table_3!$A$5:$D$96,4,1)</f>
        <v>12</v>
      </c>
      <c r="N20" s="18">
        <f>טבלה2[[#This Row],[Arrests9]]/טבלה2[[#This Row],[Attendance8]]</f>
        <v>1.487597158689427E-4</v>
      </c>
      <c r="O20" s="16">
        <v>68971</v>
      </c>
      <c r="P20" s="16">
        <v>9</v>
      </c>
      <c r="Q20" s="18">
        <f>טבלה2[[#This Row],[Arrests12]]/טבלה2[[#This Row],[Attendance11]]</f>
        <v>1.3048962607472707E-4</v>
      </c>
      <c r="R20" s="16">
        <v>69319</v>
      </c>
      <c r="S20">
        <v>6</v>
      </c>
      <c r="T20" s="18">
        <f>טבלה2[[#This Row],[Arrests15]]/טבלה2[[#This Row],[Attendance14]]</f>
        <v>8.6556355400395273E-5</v>
      </c>
      <c r="U20" s="16">
        <v>66110</v>
      </c>
      <c r="V20">
        <v>10</v>
      </c>
      <c r="W20" s="18">
        <f>טבלה2[[#This Row],[Arrests18]]/טבלה2[[#This Row],[Attendance17]]</f>
        <v>1.5126304643775526E-4</v>
      </c>
    </row>
    <row r="21" spans="1:23" x14ac:dyDescent="0.3">
      <c r="A21" s="19" t="s">
        <v>50</v>
      </c>
      <c r="B21" s="19" t="s">
        <v>85</v>
      </c>
      <c r="C21" s="16">
        <v>76541</v>
      </c>
      <c r="D21" s="16">
        <v>66</v>
      </c>
      <c r="E21" s="18">
        <f>טבלה2[[#This Row],[Arrests]]/טבלה2[[#This Row],[Attendance]]</f>
        <v>8.62282959459636E-4</v>
      </c>
      <c r="F21" s="16">
        <f>VLOOKUP(טבלה2[[#This Row],[Team]],[1]Table_1!$A$5:$B$96,2,1)</f>
        <v>98949</v>
      </c>
      <c r="G21" s="16">
        <f>VLOOKUP(טבלה2[[#This Row],[Team]],[1]Table_1!$A$5:$C$96,3,1)</f>
        <v>79</v>
      </c>
      <c r="H21" s="18">
        <f>טבלה2[[#This Row],[Arrests3]]/טבלה2[[#This Row],[Attendance2]]</f>
        <v>7.9839109035968021E-4</v>
      </c>
      <c r="I21" s="16">
        <f>VLOOKUP(טבלה2[[#This Row],[Team]],[1]Table_2!$A$5:$D$96,3,1)</f>
        <v>137623</v>
      </c>
      <c r="J21" s="16">
        <f>VLOOKUP(טבלה2[[#This Row],[Team]],[1]Table_2!$A$5:$D$96,4,1)</f>
        <v>49</v>
      </c>
      <c r="K21" s="18">
        <f>טבלה2[[#This Row],[Arrests6]]/טבלה2[[#This Row],[Attendance5]]</f>
        <v>3.5604513780400078E-4</v>
      </c>
      <c r="L21" s="16">
        <f>VLOOKUP(טבלה2[[#This Row],[Team]],[1]Table_3!$A$5:$D$96,3,1)</f>
        <v>154447</v>
      </c>
      <c r="M21" s="16">
        <f>VLOOKUP(טבלה2[[#This Row],[Team]],[1]Table_3!$A$5:$D$96,4,1)</f>
        <v>39</v>
      </c>
      <c r="N21" s="18">
        <f>טבלה2[[#This Row],[Arrests9]]/טבלה2[[#This Row],[Attendance8]]</f>
        <v>2.5251380732549031E-4</v>
      </c>
      <c r="O21" s="16">
        <v>159167</v>
      </c>
      <c r="P21" s="16">
        <v>36</v>
      </c>
      <c r="Q21" s="18">
        <f>טבלה2[[#This Row],[Arrests12]]/טבלה2[[#This Row],[Attendance11]]</f>
        <v>2.2617753680097006E-4</v>
      </c>
      <c r="R21" s="16">
        <v>140014</v>
      </c>
      <c r="S21">
        <v>31</v>
      </c>
      <c r="T21" s="18">
        <f>טבלה2[[#This Row],[Arrests15]]/טבלה2[[#This Row],[Attendance14]]</f>
        <v>2.2140643078549289E-4</v>
      </c>
      <c r="U21" s="16">
        <v>143747</v>
      </c>
      <c r="V21">
        <v>28</v>
      </c>
      <c r="W21" s="18">
        <f>טבלה2[[#This Row],[Arrests18]]/טבלה2[[#This Row],[Attendance17]]</f>
        <v>1.947866738088447E-4</v>
      </c>
    </row>
    <row r="22" spans="1:23" x14ac:dyDescent="0.3">
      <c r="A22" s="19" t="s">
        <v>51</v>
      </c>
      <c r="B22" s="19" t="s">
        <v>86</v>
      </c>
      <c r="C22" s="16">
        <v>39358</v>
      </c>
      <c r="D22" s="16">
        <v>38</v>
      </c>
      <c r="E22" s="18">
        <f>טבלה2[[#This Row],[Arrests]]/טבלה2[[#This Row],[Attendance]]</f>
        <v>9.6549621423852843E-4</v>
      </c>
      <c r="F22" s="16">
        <f>VLOOKUP(טבלה2[[#This Row],[Team]],[1]Table_1!$A$5:$B$96,2,1)</f>
        <v>43577</v>
      </c>
      <c r="G22" s="16">
        <f>VLOOKUP(טבלה2[[#This Row],[Team]],[1]Table_1!$A$5:$C$96,3,1)</f>
        <v>62</v>
      </c>
      <c r="H22" s="18">
        <f>טבלה2[[#This Row],[Arrests3]]/טבלה2[[#This Row],[Attendance2]]</f>
        <v>1.4227688918466163E-3</v>
      </c>
      <c r="I22" s="16">
        <f>VLOOKUP(טבלה2[[#This Row],[Team]],[1]Table_2!$A$5:$D$96,3,1)</f>
        <v>38637</v>
      </c>
      <c r="J22" s="16">
        <f>VLOOKUP(טבלה2[[#This Row],[Team]],[1]Table_2!$A$5:$D$96,4,1)</f>
        <v>47</v>
      </c>
      <c r="K22" s="18">
        <f>טבלה2[[#This Row],[Arrests6]]/טבלה2[[#This Row],[Attendance5]]</f>
        <v>1.2164505525791339E-3</v>
      </c>
      <c r="L22" s="16">
        <f>VLOOKUP(טבלה2[[#This Row],[Team]],[1]Table_3!$A$5:$D$96,3,1)</f>
        <v>29321</v>
      </c>
      <c r="M22" s="16">
        <f>VLOOKUP(טבלה2[[#This Row],[Team]],[1]Table_3!$A$5:$D$96,4,1)</f>
        <v>2</v>
      </c>
      <c r="N22" s="18">
        <f>טבלה2[[#This Row],[Arrests9]]/טבלה2[[#This Row],[Attendance8]]</f>
        <v>6.821049759557996E-5</v>
      </c>
      <c r="O22" s="16">
        <v>34298</v>
      </c>
      <c r="P22" s="16">
        <v>16</v>
      </c>
      <c r="Q22" s="18">
        <f>טבלה2[[#This Row],[Arrests12]]/טבלה2[[#This Row],[Attendance11]]</f>
        <v>4.6649950434427662E-4</v>
      </c>
      <c r="R22" s="16">
        <v>46858</v>
      </c>
      <c r="S22">
        <v>25</v>
      </c>
      <c r="T22" s="18">
        <f>טבלה2[[#This Row],[Arrests15]]/טבלה2[[#This Row],[Attendance14]]</f>
        <v>5.3352682572879761E-4</v>
      </c>
      <c r="U22" s="16"/>
      <c r="W22" s="18"/>
    </row>
    <row r="23" spans="1:23" x14ac:dyDescent="0.3">
      <c r="A23" s="19" t="s">
        <v>52</v>
      </c>
      <c r="B23" s="19" t="s">
        <v>87</v>
      </c>
      <c r="C23" s="16">
        <v>48972</v>
      </c>
      <c r="D23" s="16">
        <v>21</v>
      </c>
      <c r="E23" s="18">
        <f>טבלה2[[#This Row],[Arrests]]/טבלה2[[#This Row],[Attendance]]</f>
        <v>4.288164665523156E-4</v>
      </c>
      <c r="F23" s="16">
        <f>VLOOKUP(טבלה2[[#This Row],[Team]],[1]Table_1!$A$5:$B$96,2,1)</f>
        <v>46921</v>
      </c>
      <c r="G23" s="16">
        <f>VLOOKUP(טבלה2[[#This Row],[Team]],[1]Table_1!$A$5:$C$96,3,1)</f>
        <v>21</v>
      </c>
      <c r="H23" s="18">
        <f>טבלה2[[#This Row],[Arrests3]]/טבלה2[[#This Row],[Attendance2]]</f>
        <v>4.4756079367447413E-4</v>
      </c>
      <c r="I23" s="16">
        <f>VLOOKUP(טבלה2[[#This Row],[Team]],[1]Table_2!$A$5:$D$96,3,1)</f>
        <v>56988</v>
      </c>
      <c r="J23" s="16">
        <f>VLOOKUP(טבלה2[[#This Row],[Team]],[1]Table_2!$A$5:$D$96,4,1)</f>
        <v>16</v>
      </c>
      <c r="K23" s="18">
        <f>טבלה2[[#This Row],[Arrests6]]/טבלה2[[#This Row],[Attendance5]]</f>
        <v>2.8076086193584612E-4</v>
      </c>
      <c r="L23" s="16">
        <f>VLOOKUP(טבלה2[[#This Row],[Team]],[1]Table_3!$A$5:$D$96,3,1)</f>
        <v>66957</v>
      </c>
      <c r="M23" s="16">
        <f>VLOOKUP(טבלה2[[#This Row],[Team]],[1]Table_3!$A$5:$D$96,4,1)</f>
        <v>17</v>
      </c>
      <c r="N23" s="18">
        <f>טבלה2[[#This Row],[Arrests9]]/טבלה2[[#This Row],[Attendance8]]</f>
        <v>2.5389429036545841E-4</v>
      </c>
      <c r="O23" s="16">
        <v>73627</v>
      </c>
      <c r="P23" s="16">
        <v>39</v>
      </c>
      <c r="Q23" s="18">
        <f>טבלה2[[#This Row],[Arrests12]]/טבלה2[[#This Row],[Attendance11]]</f>
        <v>5.2969698615996854E-4</v>
      </c>
      <c r="R23" s="16">
        <v>72318</v>
      </c>
      <c r="S23">
        <v>22</v>
      </c>
      <c r="T23" s="18">
        <f>טבלה2[[#This Row],[Arrests15]]/טבלה2[[#This Row],[Attendance14]]</f>
        <v>3.0421195276418041E-4</v>
      </c>
      <c r="U23" s="16">
        <v>47742</v>
      </c>
      <c r="V23">
        <v>14</v>
      </c>
      <c r="W23" s="18">
        <f>טבלה2[[#This Row],[Arrests18]]/טבלה2[[#This Row],[Attendance17]]</f>
        <v>2.9324284696912573E-4</v>
      </c>
    </row>
    <row r="24" spans="1:23" x14ac:dyDescent="0.3">
      <c r="A24" s="19" t="s">
        <v>53</v>
      </c>
      <c r="B24" s="19" t="s">
        <v>88</v>
      </c>
      <c r="C24" s="16">
        <v>50712</v>
      </c>
      <c r="D24" s="16">
        <v>28</v>
      </c>
      <c r="E24" s="18">
        <f>טבלה2[[#This Row],[Arrests]]/טבלה2[[#This Row],[Attendance]]</f>
        <v>5.5213756112951564E-4</v>
      </c>
      <c r="F24" s="16">
        <f>VLOOKUP(טבלה2[[#This Row],[Team]],[1]Table_1!$A$5:$B$96,2,1)</f>
        <v>49619</v>
      </c>
      <c r="G24" s="16">
        <f>VLOOKUP(טבלה2[[#This Row],[Team]],[1]Table_1!$A$5:$C$96,3,1)</f>
        <v>28</v>
      </c>
      <c r="H24" s="18">
        <f>טבלה2[[#This Row],[Arrests3]]/טבלה2[[#This Row],[Attendance2]]</f>
        <v>5.6429996573893065E-4</v>
      </c>
      <c r="I24" s="16">
        <f>VLOOKUP(טבלה2[[#This Row],[Team]],[1]Table_2!$A$5:$D$96,3,1)</f>
        <v>61981</v>
      </c>
      <c r="J24" s="16">
        <f>VLOOKUP(טבלה2[[#This Row],[Team]],[1]Table_2!$A$5:$D$96,4,1)</f>
        <v>49</v>
      </c>
      <c r="K24" s="18">
        <f>טבלה2[[#This Row],[Arrests6]]/טבלה2[[#This Row],[Attendance5]]</f>
        <v>7.9056485051870733E-4</v>
      </c>
      <c r="L24" s="16">
        <f>VLOOKUP(טבלה2[[#This Row],[Team]],[1]Table_3!$A$5:$D$96,3,1)</f>
        <v>53298</v>
      </c>
      <c r="M24" s="16">
        <f>VLOOKUP(טבלה2[[#This Row],[Team]],[1]Table_3!$A$5:$D$96,4,1)</f>
        <v>12</v>
      </c>
      <c r="N24" s="18">
        <f>טבלה2[[#This Row],[Arrests9]]/טבלה2[[#This Row],[Attendance8]]</f>
        <v>2.2514916131937407E-4</v>
      </c>
      <c r="O24" s="16">
        <v>60176</v>
      </c>
      <c r="P24" s="16">
        <v>29</v>
      </c>
      <c r="Q24" s="18">
        <f>טבלה2[[#This Row],[Arrests12]]/טבלה2[[#This Row],[Attendance11]]</f>
        <v>4.8191970220685986E-4</v>
      </c>
      <c r="R24" s="16">
        <v>46428</v>
      </c>
      <c r="S24">
        <v>34</v>
      </c>
      <c r="T24" s="18">
        <f>טבלה2[[#This Row],[Arrests15]]/טבלה2[[#This Row],[Attendance14]]</f>
        <v>7.3231670543637457E-4</v>
      </c>
      <c r="U24" s="16">
        <v>47499</v>
      </c>
      <c r="V24">
        <v>1</v>
      </c>
      <c r="W24" s="18">
        <f>טבלה2[[#This Row],[Arrests18]]/טבלה2[[#This Row],[Attendance17]]</f>
        <v>2.1053074801574772E-5</v>
      </c>
    </row>
    <row r="25" spans="1:23" x14ac:dyDescent="0.3">
      <c r="A25" s="19" t="s">
        <v>54</v>
      </c>
      <c r="B25" s="19" t="s">
        <v>89</v>
      </c>
      <c r="C25" s="16">
        <v>150334</v>
      </c>
      <c r="D25" s="16">
        <v>126</v>
      </c>
      <c r="E25" s="18">
        <f>טבלה2[[#This Row],[Arrests]]/טבלה2[[#This Row],[Attendance]]</f>
        <v>8.3813375550441014E-4</v>
      </c>
      <c r="F25" s="16">
        <f>VLOOKUP(טבלה2[[#This Row],[Team]],[1]Table_1!$A$5:$B$96,2,1)</f>
        <v>133989</v>
      </c>
      <c r="G25" s="16">
        <f>VLOOKUP(טבלה2[[#This Row],[Team]],[1]Table_1!$A$5:$C$96,3,1)</f>
        <v>34</v>
      </c>
      <c r="H25" s="18">
        <f>טבלה2[[#This Row],[Arrests3]]/טבלה2[[#This Row],[Attendance2]]</f>
        <v>2.5375217368589959E-4</v>
      </c>
      <c r="I25" s="16">
        <f>VLOOKUP(טבלה2[[#This Row],[Team]],[1]Table_2!$A$5:$D$96,3,1)</f>
        <v>129549</v>
      </c>
      <c r="J25" s="16">
        <f>VLOOKUP(טבלה2[[#This Row],[Team]],[1]Table_2!$A$5:$D$96,4,1)</f>
        <v>25</v>
      </c>
      <c r="K25" s="18">
        <f>טבלה2[[#This Row],[Arrests6]]/טבלה2[[#This Row],[Attendance5]]</f>
        <v>1.9297717465978123E-4</v>
      </c>
      <c r="L25" s="16">
        <f>VLOOKUP(טבלה2[[#This Row],[Team]],[1]Table_3!$A$5:$D$96,3,1)</f>
        <v>109174</v>
      </c>
      <c r="M25" s="16">
        <f>VLOOKUP(טבלה2[[#This Row],[Team]],[1]Table_3!$A$5:$D$96,4,1)</f>
        <v>22</v>
      </c>
      <c r="N25" s="18">
        <f>טבלה2[[#This Row],[Arrests9]]/טבלה2[[#This Row],[Attendance8]]</f>
        <v>2.0151318079396192E-4</v>
      </c>
      <c r="O25" s="16">
        <v>173419</v>
      </c>
      <c r="P25" s="16">
        <v>26</v>
      </c>
      <c r="Q25" s="18">
        <f>טבלה2[[#This Row],[Arrests12]]/טבלה2[[#This Row],[Attendance11]]</f>
        <v>1.499259020061239E-4</v>
      </c>
      <c r="R25" s="16">
        <v>136122</v>
      </c>
      <c r="S25">
        <v>27</v>
      </c>
      <c r="T25" s="18">
        <f>טבלה2[[#This Row],[Arrests15]]/טבלה2[[#This Row],[Attendance14]]</f>
        <v>1.9835147882046989E-4</v>
      </c>
      <c r="U25" s="16">
        <v>146556</v>
      </c>
      <c r="V25">
        <v>42</v>
      </c>
      <c r="W25" s="18">
        <f>טבלה2[[#This Row],[Arrests18]]/טבלה2[[#This Row],[Attendance17]]</f>
        <v>2.8657987390485546E-4</v>
      </c>
    </row>
    <row r="26" spans="1:23" x14ac:dyDescent="0.3">
      <c r="A26" s="19" t="s">
        <v>55</v>
      </c>
      <c r="B26" s="19" t="s">
        <v>30</v>
      </c>
      <c r="C26" s="16">
        <v>90322</v>
      </c>
      <c r="D26" s="16">
        <v>8</v>
      </c>
      <c r="E26" s="18">
        <f>טבלה2[[#This Row],[Arrests]]/טבלה2[[#This Row],[Attendance]]</f>
        <v>8.8571997962844052E-5</v>
      </c>
      <c r="F26" s="16">
        <f>VLOOKUP(טבלה2[[#This Row],[Team]],[1]Table_1!$A$5:$B$96,2,1)</f>
        <v>87340</v>
      </c>
      <c r="G26" s="16">
        <f>VLOOKUP(טבלה2[[#This Row],[Team]],[1]Table_1!$A$5:$C$96,3,1)</f>
        <v>8</v>
      </c>
      <c r="H26" s="18">
        <f>טבלה2[[#This Row],[Arrests3]]/טבלה2[[#This Row],[Attendance2]]</f>
        <v>9.1596061369361113E-5</v>
      </c>
      <c r="I26" s="16">
        <f>VLOOKUP(טבלה2[[#This Row],[Team]],[1]Table_2!$A$5:$D$96,3,1)</f>
        <v>100385</v>
      </c>
      <c r="J26" s="16">
        <f>VLOOKUP(טבלה2[[#This Row],[Team]],[1]Table_2!$A$5:$D$96,4,1)</f>
        <v>20</v>
      </c>
      <c r="K26" s="18">
        <f>טבלה2[[#This Row],[Arrests6]]/טבלה2[[#This Row],[Attendance5]]</f>
        <v>1.9923295313044778E-4</v>
      </c>
      <c r="L26" s="16">
        <f>VLOOKUP(טבלה2[[#This Row],[Team]],[1]Table_3!$A$5:$D$96,3,1)</f>
        <v>83486</v>
      </c>
      <c r="M26" s="16">
        <f>VLOOKUP(טבלה2[[#This Row],[Team]],[1]Table_3!$A$5:$D$96,4,1)</f>
        <v>4</v>
      </c>
      <c r="N26" s="18">
        <f>טבלה2[[#This Row],[Arrests9]]/טבלה2[[#This Row],[Attendance8]]</f>
        <v>4.791222480415878E-5</v>
      </c>
      <c r="O26" s="16">
        <v>102573</v>
      </c>
      <c r="P26" s="16">
        <v>17</v>
      </c>
      <c r="Q26" s="18">
        <f>טבלה2[[#This Row],[Arrests12]]/טבלה2[[#This Row],[Attendance11]]</f>
        <v>1.6573562243475377E-4</v>
      </c>
      <c r="R26" s="16">
        <v>123676</v>
      </c>
      <c r="S26">
        <v>9</v>
      </c>
      <c r="T26" s="18">
        <f>טבלה2[[#This Row],[Arrests15]]/טבלה2[[#This Row],[Attendance14]]</f>
        <v>7.277078818849251E-5</v>
      </c>
      <c r="U26" s="16">
        <v>97442</v>
      </c>
      <c r="V26">
        <v>8</v>
      </c>
      <c r="W26" s="18">
        <f>טבלה2[[#This Row],[Arrests18]]/טבלה2[[#This Row],[Attendance17]]</f>
        <v>8.2100121097678614E-5</v>
      </c>
    </row>
    <row r="27" spans="1:23" x14ac:dyDescent="0.3">
      <c r="A27" s="19" t="s">
        <v>56</v>
      </c>
      <c r="B27" s="19" t="s">
        <v>90</v>
      </c>
      <c r="C27" s="16">
        <v>90894</v>
      </c>
      <c r="D27" s="16">
        <v>21</v>
      </c>
      <c r="E27" s="18">
        <f>טבלה2[[#This Row],[Arrests]]/טבלה2[[#This Row],[Attendance]]</f>
        <v>2.3103835236649284E-4</v>
      </c>
      <c r="F27" s="16">
        <f>VLOOKUP(טבלה2[[#This Row],[Team]],[1]Table_1!$A$5:$B$96,2,1)</f>
        <v>92033</v>
      </c>
      <c r="G27" s="16">
        <f>VLOOKUP(טבלה2[[#This Row],[Team]],[1]Table_1!$A$5:$C$96,3,1)</f>
        <v>40</v>
      </c>
      <c r="H27" s="18">
        <f>טבלה2[[#This Row],[Arrests3]]/טבלה2[[#This Row],[Attendance2]]</f>
        <v>4.3462670998446209E-4</v>
      </c>
      <c r="I27" s="16">
        <f>VLOOKUP(טבלה2[[#This Row],[Team]],[1]Table_2!$A$5:$D$96,3,1)</f>
        <v>71933</v>
      </c>
      <c r="J27" s="16">
        <f>VLOOKUP(טבלה2[[#This Row],[Team]],[1]Table_2!$A$5:$D$96,4,1)</f>
        <v>10</v>
      </c>
      <c r="K27" s="18">
        <f>טבלה2[[#This Row],[Arrests6]]/טבלה2[[#This Row],[Attendance5]]</f>
        <v>1.390182530966316E-4</v>
      </c>
      <c r="L27" s="16">
        <f>VLOOKUP(טבלה2[[#This Row],[Team]],[1]Table_3!$A$5:$D$96,3,1)</f>
        <v>50056</v>
      </c>
      <c r="M27" s="16">
        <f>VLOOKUP(טבלה2[[#This Row],[Team]],[1]Table_3!$A$5:$D$96,4,1)</f>
        <v>6</v>
      </c>
      <c r="N27" s="18">
        <f>טבלה2[[#This Row],[Arrests9]]/טבלה2[[#This Row],[Attendance8]]</f>
        <v>1.1986575035959726E-4</v>
      </c>
      <c r="O27" s="16">
        <v>83666</v>
      </c>
      <c r="P27" s="16">
        <v>48</v>
      </c>
      <c r="Q27" s="18">
        <f>טבלה2[[#This Row],[Arrests12]]/טבלה2[[#This Row],[Attendance11]]</f>
        <v>5.7370975067530419E-4</v>
      </c>
      <c r="R27" s="16">
        <v>85789</v>
      </c>
      <c r="S27">
        <v>45</v>
      </c>
      <c r="T27" s="18">
        <f>טבלה2[[#This Row],[Arrests15]]/טבלה2[[#This Row],[Attendance14]]</f>
        <v>5.2454277354905643E-4</v>
      </c>
      <c r="U27" s="16">
        <v>57082</v>
      </c>
      <c r="V27">
        <v>19</v>
      </c>
      <c r="W27" s="18">
        <f>טבלה2[[#This Row],[Arrests18]]/טבלה2[[#This Row],[Attendance17]]</f>
        <v>3.3285449003188393E-4</v>
      </c>
    </row>
    <row r="28" spans="1:23" x14ac:dyDescent="0.3">
      <c r="A28" s="19" t="s">
        <v>57</v>
      </c>
      <c r="B28" s="19" t="s">
        <v>91</v>
      </c>
      <c r="C28" s="16">
        <v>126578</v>
      </c>
      <c r="D28" s="16">
        <v>11</v>
      </c>
      <c r="E28" s="18">
        <f>טבלה2[[#This Row],[Arrests]]/טבלה2[[#This Row],[Attendance]]</f>
        <v>8.6902937319281398E-5</v>
      </c>
      <c r="F28" s="16">
        <f>VLOOKUP(טבלה2[[#This Row],[Team]],[1]Table_1!$A$5:$B$96,2,1)</f>
        <v>91030</v>
      </c>
      <c r="G28" s="16">
        <f>VLOOKUP(טבלה2[[#This Row],[Team]],[1]Table_1!$A$5:$C$96,3,1)</f>
        <v>3</v>
      </c>
      <c r="H28" s="18">
        <f>טבלה2[[#This Row],[Arrests3]]/טבלה2[[#This Row],[Attendance2]]</f>
        <v>3.29561682961661E-5</v>
      </c>
      <c r="I28" s="16">
        <f>VLOOKUP(טבלה2[[#This Row],[Team]],[1]Table_2!$A$5:$D$96,3,1)</f>
        <v>73564</v>
      </c>
      <c r="J28" s="16">
        <f>VLOOKUP(טבלה2[[#This Row],[Team]],[1]Table_2!$A$5:$D$96,4,1)</f>
        <v>1</v>
      </c>
      <c r="K28" s="18">
        <f>טבלה2[[#This Row],[Arrests6]]/טבלה2[[#This Row],[Attendance5]]</f>
        <v>1.3593605567940841E-5</v>
      </c>
      <c r="L28" s="16">
        <f>VLOOKUP(טבלה2[[#This Row],[Team]],[1]Table_3!$A$5:$D$96,3,1)</f>
        <v>76938</v>
      </c>
      <c r="M28" s="16">
        <f>VLOOKUP(טבלה2[[#This Row],[Team]],[1]Table_3!$A$5:$D$96,4,1)</f>
        <v>2</v>
      </c>
      <c r="N28" s="18">
        <f>טבלה2[[#This Row],[Arrests9]]/טבלה2[[#This Row],[Attendance8]]</f>
        <v>2.5994956978346202E-5</v>
      </c>
      <c r="O28" s="16">
        <v>61355</v>
      </c>
      <c r="P28" s="16">
        <v>2</v>
      </c>
      <c r="Q28" s="18">
        <f>טבלה2[[#This Row],[Arrests12]]/טבלה2[[#This Row],[Attendance11]]</f>
        <v>3.2597180343900254E-5</v>
      </c>
      <c r="R28" s="16">
        <v>65925</v>
      </c>
      <c r="S28">
        <v>6</v>
      </c>
      <c r="T28" s="18">
        <f>טבלה2[[#This Row],[Arrests15]]/טבלה2[[#This Row],[Attendance14]]</f>
        <v>9.1012514220705352E-5</v>
      </c>
      <c r="U28" s="16">
        <v>72534</v>
      </c>
      <c r="V28">
        <v>12</v>
      </c>
      <c r="W28" s="18">
        <f>טבלה2[[#This Row],[Arrests18]]/טבלה2[[#This Row],[Attendance17]]</f>
        <v>1.6543965588551577E-4</v>
      </c>
    </row>
    <row r="29" spans="1:23" x14ac:dyDescent="0.3">
      <c r="A29" s="19" t="s">
        <v>75</v>
      </c>
      <c r="B29" s="19" t="s">
        <v>92</v>
      </c>
      <c r="C29" s="16">
        <v>71881</v>
      </c>
      <c r="D29" s="16">
        <v>15</v>
      </c>
      <c r="E29" s="18">
        <f>טבלה2[[#This Row],[Arrests]]/טבלה2[[#This Row],[Attendance]]</f>
        <v>2.0867823207801784E-4</v>
      </c>
      <c r="F29" s="16">
        <f>VLOOKUP(טבלה2[[#This Row],[Team]],[1]Table_1!$A$5:$B$96,2,1)</f>
        <v>74469</v>
      </c>
      <c r="G29" s="16">
        <f>VLOOKUP(טבלה2[[#This Row],[Team]],[1]Table_1!$A$5:$C$96,3,1)</f>
        <v>14</v>
      </c>
      <c r="H29" s="18">
        <f>טבלה2[[#This Row],[Arrests3]]/טבלה2[[#This Row],[Attendance2]]</f>
        <v>1.8799769031409042E-4</v>
      </c>
      <c r="I29" s="16">
        <f>VLOOKUP(טבלה2[[#This Row],[Team]],[1]Table_2!$A$5:$D$96,3,1)</f>
        <v>110777</v>
      </c>
      <c r="J29" s="16">
        <f>VLOOKUP(טבלה2[[#This Row],[Team]],[1]Table_2!$A$5:$D$96,4,1)</f>
        <v>12</v>
      </c>
      <c r="K29" s="18">
        <f>טבלה2[[#This Row],[Arrests6]]/טבלה2[[#This Row],[Attendance5]]</f>
        <v>1.0832573548660823E-4</v>
      </c>
      <c r="L29" s="16">
        <f>VLOOKUP(טבלה2[[#This Row],[Team]],[1]Table_3!$A$5:$D$96,3,1)</f>
        <v>111124</v>
      </c>
      <c r="M29" s="16">
        <f>VLOOKUP(טבלה2[[#This Row],[Team]],[1]Table_3!$A$5:$D$96,4,1)</f>
        <v>11</v>
      </c>
      <c r="N29" s="18">
        <f>טבלה2[[#This Row],[Arrests9]]/טבלה2[[#This Row],[Attendance8]]</f>
        <v>9.8988517331989484E-5</v>
      </c>
      <c r="O29" s="16">
        <v>144425</v>
      </c>
      <c r="P29" s="16">
        <v>51</v>
      </c>
      <c r="Q29" s="18">
        <f>טבלה2[[#This Row],[Arrests12]]/טבלה2[[#This Row],[Attendance11]]</f>
        <v>3.5312445906179678E-4</v>
      </c>
      <c r="R29" s="16">
        <v>185480</v>
      </c>
      <c r="S29">
        <v>91</v>
      </c>
      <c r="T29" s="18">
        <f>טבלה2[[#This Row],[Arrests15]]/טבלה2[[#This Row],[Attendance14]]</f>
        <v>4.9061893465602755E-4</v>
      </c>
      <c r="U29" s="16">
        <v>170477</v>
      </c>
      <c r="V29">
        <v>57</v>
      </c>
      <c r="W29" s="18">
        <f>טבלה2[[#This Row],[Arrests18]]/טבלה2[[#This Row],[Attendance17]]</f>
        <v>3.3435595417563661E-4</v>
      </c>
    </row>
    <row r="30" spans="1:23" x14ac:dyDescent="0.3">
      <c r="A30" s="19" t="s">
        <v>58</v>
      </c>
      <c r="B30" s="19" t="s">
        <v>103</v>
      </c>
      <c r="C30" s="16">
        <v>88126</v>
      </c>
      <c r="D30" s="16">
        <v>22</v>
      </c>
      <c r="E30" s="18">
        <f>טבלה2[[#This Row],[Arrests]]/טבלה2[[#This Row],[Attendance]]</f>
        <v>2.4964255724757735E-4</v>
      </c>
      <c r="F30" s="16">
        <f>VLOOKUP(טבלה2[[#This Row],[Team]],[1]Table_1!$A$5:$B$96,2,1)</f>
        <v>154426</v>
      </c>
      <c r="G30" s="16">
        <f>VLOOKUP(טבלה2[[#This Row],[Team]],[1]Table_1!$A$5:$C$96,3,1)</f>
        <v>79</v>
      </c>
      <c r="H30" s="18">
        <f>טבלה2[[#This Row],[Arrests3]]/טבלה2[[#This Row],[Attendance2]]</f>
        <v>5.1157188556331186E-4</v>
      </c>
      <c r="I30" s="16">
        <f>VLOOKUP(טבלה2[[#This Row],[Team]],[1]Table_2!$A$5:$D$96,3,1)</f>
        <v>206485</v>
      </c>
      <c r="J30" s="16">
        <f>VLOOKUP(טבלה2[[#This Row],[Team]],[1]Table_2!$A$5:$D$96,4,1)</f>
        <v>96</v>
      </c>
      <c r="K30" s="18">
        <f>טבלה2[[#This Row],[Arrests6]]/טבלה2[[#This Row],[Attendance5]]</f>
        <v>4.6492481294040729E-4</v>
      </c>
      <c r="L30" s="16">
        <f>VLOOKUP(טבלה2[[#This Row],[Team]],[1]Table_3!$A$5:$D$96,3,1)</f>
        <v>185714</v>
      </c>
      <c r="M30" s="16">
        <f>VLOOKUP(טבלה2[[#This Row],[Team]],[1]Table_3!$A$5:$D$96,4,1)</f>
        <v>60</v>
      </c>
      <c r="N30" s="18">
        <f>טבלה2[[#This Row],[Arrests9]]/טבלה2[[#This Row],[Attendance8]]</f>
        <v>3.2307742011910786E-4</v>
      </c>
      <c r="O30" s="16">
        <v>169787</v>
      </c>
      <c r="P30" s="16">
        <v>45</v>
      </c>
      <c r="Q30" s="18">
        <f>טבלה2[[#This Row],[Arrests12]]/טבלה2[[#This Row],[Attendance11]]</f>
        <v>2.6503795932550784E-4</v>
      </c>
      <c r="R30" s="16">
        <v>186112</v>
      </c>
      <c r="S30">
        <v>40</v>
      </c>
      <c r="T30" s="18">
        <f>טבלה2[[#This Row],[Arrests15]]/טבלה2[[#This Row],[Attendance14]]</f>
        <v>2.1492434662998623E-4</v>
      </c>
      <c r="U30" s="16">
        <v>191435</v>
      </c>
      <c r="V30">
        <v>38</v>
      </c>
      <c r="W30" s="18">
        <f>טבלה2[[#This Row],[Arrests18]]/טבלה2[[#This Row],[Attendance17]]</f>
        <v>1.9850079661503904E-4</v>
      </c>
    </row>
    <row r="31" spans="1:23" x14ac:dyDescent="0.3">
      <c r="A31" s="19" t="s">
        <v>59</v>
      </c>
      <c r="B31" s="19" t="s">
        <v>93</v>
      </c>
      <c r="C31" s="16">
        <v>139998</v>
      </c>
      <c r="D31" s="16">
        <v>20</v>
      </c>
      <c r="E31" s="18">
        <f>טבלה2[[#This Row],[Arrests]]/טבלה2[[#This Row],[Attendance]]</f>
        <v>1.4285918370262433E-4</v>
      </c>
      <c r="F31" s="16">
        <f>VLOOKUP(טבלה2[[#This Row],[Team]],[1]Table_1!$A$5:$B$96,2,1)</f>
        <v>163703</v>
      </c>
      <c r="G31" s="16">
        <f>VLOOKUP(טבלה2[[#This Row],[Team]],[1]Table_1!$A$5:$C$96,3,1)</f>
        <v>51</v>
      </c>
      <c r="H31" s="18">
        <f>טבלה2[[#This Row],[Arrests3]]/טבלה2[[#This Row],[Attendance2]]</f>
        <v>3.1153980073669998E-4</v>
      </c>
      <c r="I31" s="16">
        <f>VLOOKUP(טבלה2[[#This Row],[Team]],[1]Table_2!$A$5:$D$96,3,1)</f>
        <v>145189</v>
      </c>
      <c r="J31" s="16">
        <f>VLOOKUP(טבלה2[[#This Row],[Team]],[1]Table_2!$A$5:$D$96,4,1)</f>
        <v>114</v>
      </c>
      <c r="K31" s="18">
        <f>טבלה2[[#This Row],[Arrests6]]/טבלה2[[#This Row],[Attendance5]]</f>
        <v>7.851834505368864E-4</v>
      </c>
      <c r="L31" s="16">
        <f>VLOOKUP(טבלה2[[#This Row],[Team]],[1]Table_3!$A$5:$D$96,3,1)</f>
        <v>104121</v>
      </c>
      <c r="M31" s="16">
        <f>VLOOKUP(טבלה2[[#This Row],[Team]],[1]Table_3!$A$5:$D$96,4,1)</f>
        <v>25</v>
      </c>
      <c r="N31" s="18">
        <f>טבלה2[[#This Row],[Arrests9]]/טבלה2[[#This Row],[Attendance8]]</f>
        <v>2.4010526214692521E-4</v>
      </c>
      <c r="O31" s="16">
        <v>108612</v>
      </c>
      <c r="P31" s="16">
        <v>223</v>
      </c>
      <c r="Q31" s="18">
        <f>טבלה2[[#This Row],[Arrests12]]/טבלה2[[#This Row],[Attendance11]]</f>
        <v>2.053180127426067E-3</v>
      </c>
      <c r="R31" s="16">
        <v>130836</v>
      </c>
      <c r="S31">
        <v>84</v>
      </c>
      <c r="T31" s="18">
        <f>טבלה2[[#This Row],[Arrests15]]/טבלה2[[#This Row],[Attendance14]]</f>
        <v>6.4202513069797301E-4</v>
      </c>
      <c r="U31" s="16">
        <v>154918</v>
      </c>
      <c r="V31">
        <v>56</v>
      </c>
      <c r="W31" s="18">
        <f>טבלה2[[#This Row],[Arrests18]]/טבלה2[[#This Row],[Attendance17]]</f>
        <v>3.6148155798551492E-4</v>
      </c>
    </row>
    <row r="32" spans="1:23" x14ac:dyDescent="0.3">
      <c r="A32" s="19" t="s">
        <v>60</v>
      </c>
      <c r="B32" s="19" t="s">
        <v>76</v>
      </c>
      <c r="C32" s="16">
        <v>150352</v>
      </c>
      <c r="D32" s="16">
        <v>20</v>
      </c>
      <c r="E32" s="18">
        <f>טבלה2[[#This Row],[Arrests]]/טבלה2[[#This Row],[Attendance]]</f>
        <v>1.3302117697137385E-4</v>
      </c>
      <c r="F32" s="16">
        <f>VLOOKUP(טבלה2[[#This Row],[Team]],[1]Table_1!$A$5:$B$96,2,1)</f>
        <v>117613</v>
      </c>
      <c r="G32" s="16">
        <f>VLOOKUP(טבלה2[[#This Row],[Team]],[1]Table_1!$A$5:$C$96,3,1)</f>
        <v>25</v>
      </c>
      <c r="H32" s="18">
        <f>טבלה2[[#This Row],[Arrests3]]/טבלה2[[#This Row],[Attendance2]]</f>
        <v>2.1256153656483553E-4</v>
      </c>
      <c r="I32" s="16">
        <f>VLOOKUP(טבלה2[[#This Row],[Team]],[1]Table_2!$A$5:$D$96,3,1)</f>
        <v>93974</v>
      </c>
      <c r="J32" s="16">
        <f>VLOOKUP(טבלה2[[#This Row],[Team]],[1]Table_2!$A$5:$D$96,4,1)</f>
        <v>21</v>
      </c>
      <c r="K32" s="18">
        <f>טבלה2[[#This Row],[Arrests6]]/טבלה2[[#This Row],[Attendance5]]</f>
        <v>2.2346606508183114E-4</v>
      </c>
      <c r="L32" s="16">
        <f>VLOOKUP(טבלה2[[#This Row],[Team]],[1]Table_3!$A$5:$D$96,3,1)</f>
        <v>94181</v>
      </c>
      <c r="M32" s="16">
        <f>VLOOKUP(טבלה2[[#This Row],[Team]],[1]Table_3!$A$5:$D$96,4,1)</f>
        <v>17</v>
      </c>
      <c r="N32" s="18">
        <f>טבלה2[[#This Row],[Arrests9]]/טבלה2[[#This Row],[Attendance8]]</f>
        <v>1.8050349858251665E-4</v>
      </c>
      <c r="O32" s="16">
        <v>88350</v>
      </c>
      <c r="P32" s="16">
        <v>13</v>
      </c>
      <c r="Q32" s="18">
        <f>טבלה2[[#This Row],[Arrests12]]/טבלה2[[#This Row],[Attendance11]]</f>
        <v>1.4714204867006227E-4</v>
      </c>
      <c r="R32" s="16">
        <v>109983</v>
      </c>
      <c r="S32">
        <v>63</v>
      </c>
      <c r="T32" s="18">
        <f>טבלה2[[#This Row],[Arrests15]]/טבלה2[[#This Row],[Attendance14]]</f>
        <v>5.7281579880526993E-4</v>
      </c>
      <c r="U32" s="16">
        <v>158437</v>
      </c>
      <c r="V32">
        <v>117</v>
      </c>
      <c r="W32" s="18">
        <f>טבלה2[[#This Row],[Arrests18]]/טבלה2[[#This Row],[Attendance17]]</f>
        <v>7.3846386891950739E-4</v>
      </c>
    </row>
    <row r="33" spans="1:23" x14ac:dyDescent="0.3">
      <c r="A33" s="19" t="s">
        <v>61</v>
      </c>
      <c r="B33" s="19" t="s">
        <v>61</v>
      </c>
      <c r="C33" s="16">
        <v>44903</v>
      </c>
      <c r="D33" s="16">
        <v>32</v>
      </c>
      <c r="E33" s="18">
        <f>טבלה2[[#This Row],[Arrests]]/טבלה2[[#This Row],[Attendance]]</f>
        <v>7.1264726187559853E-4</v>
      </c>
      <c r="F33" s="16">
        <f>VLOOKUP(טבלה2[[#This Row],[Team]],[1]Table_1!$A$5:$B$96,2,1)</f>
        <v>45127</v>
      </c>
      <c r="G33" s="16">
        <f>VLOOKUP(טבלה2[[#This Row],[Team]],[1]Table_1!$A$5:$C$96,3,1)</f>
        <v>47</v>
      </c>
      <c r="H33" s="18">
        <f>טבלה2[[#This Row],[Arrests3]]/טבלה2[[#This Row],[Attendance2]]</f>
        <v>1.0415050856471735E-3</v>
      </c>
      <c r="I33" s="16">
        <f>VLOOKUP(טבלה2[[#This Row],[Team]],[1]Table_2!$A$5:$D$96,3,1)</f>
        <v>47510</v>
      </c>
      <c r="J33" s="16">
        <f>VLOOKUP(טבלה2[[#This Row],[Team]],[1]Table_2!$A$5:$D$96,4,1)</f>
        <v>28</v>
      </c>
      <c r="K33" s="18">
        <f>טבלה2[[#This Row],[Arrests6]]/טבלה2[[#This Row],[Attendance5]]</f>
        <v>5.8934961060829296E-4</v>
      </c>
      <c r="L33" s="16">
        <f>VLOOKUP(טבלה2[[#This Row],[Team]],[1]Table_3!$A$5:$D$96,3,1)</f>
        <v>39900</v>
      </c>
      <c r="M33" s="16">
        <f>VLOOKUP(טבלה2[[#This Row],[Team]],[1]Table_3!$A$5:$D$96,4,1)</f>
        <v>5</v>
      </c>
      <c r="N33" s="18">
        <f>טבלה2[[#This Row],[Arrests9]]/טבלה2[[#This Row],[Attendance8]]</f>
        <v>1.2531328320802005E-4</v>
      </c>
      <c r="O33" s="16">
        <v>58464</v>
      </c>
      <c r="P33" s="16">
        <v>37</v>
      </c>
      <c r="Q33" s="18">
        <f>טבלה2[[#This Row],[Arrests12]]/טבלה2[[#This Row],[Attendance11]]</f>
        <v>6.3286808976464144E-4</v>
      </c>
      <c r="R33" s="16">
        <v>48561</v>
      </c>
      <c r="S33">
        <v>48</v>
      </c>
      <c r="T33" s="18">
        <f>טבלה2[[#This Row],[Arrests15]]/טבלה2[[#This Row],[Attendance14]]</f>
        <v>9.8844751961450544E-4</v>
      </c>
      <c r="U33" s="16">
        <v>55788</v>
      </c>
      <c r="V33">
        <v>7</v>
      </c>
      <c r="W33" s="18">
        <f>טבלה2[[#This Row],[Arrests18]]/טבלה2[[#This Row],[Attendance17]]</f>
        <v>1.2547501254750126E-4</v>
      </c>
    </row>
    <row r="34" spans="1:23" x14ac:dyDescent="0.3">
      <c r="A34" s="19" t="s">
        <v>62</v>
      </c>
      <c r="B34" s="19" t="s">
        <v>94</v>
      </c>
      <c r="C34" s="16">
        <v>84107</v>
      </c>
      <c r="D34" s="16">
        <v>47</v>
      </c>
      <c r="E34" s="18">
        <f>טבלה2[[#This Row],[Arrests]]/טבלה2[[#This Row],[Attendance]]</f>
        <v>5.588119894895788E-4</v>
      </c>
      <c r="F34" s="16">
        <f>VLOOKUP(טבלה2[[#This Row],[Team]],[1]Table_1!$A$5:$B$96,2,1)</f>
        <v>116279</v>
      </c>
      <c r="G34" s="16">
        <f>VLOOKUP(טבלה2[[#This Row],[Team]],[1]Table_1!$A$5:$C$96,3,1)</f>
        <v>31</v>
      </c>
      <c r="H34" s="18">
        <f>טבלה2[[#This Row],[Arrests3]]/טבלה2[[#This Row],[Attendance2]]</f>
        <v>2.6660015996009598E-4</v>
      </c>
      <c r="I34" s="16">
        <f>VLOOKUP(טבלה2[[#This Row],[Team]],[1]Table_2!$A$5:$D$96,3,1)</f>
        <v>127692</v>
      </c>
      <c r="J34" s="16">
        <f>VLOOKUP(טבלה2[[#This Row],[Team]],[1]Table_2!$A$5:$D$96,4,1)</f>
        <v>48</v>
      </c>
      <c r="K34" s="18">
        <f>טבלה2[[#This Row],[Arrests6]]/טבלה2[[#This Row],[Attendance5]]</f>
        <v>3.7590452025185601E-4</v>
      </c>
      <c r="L34" s="16">
        <f>VLOOKUP(טבלה2[[#This Row],[Team]],[1]Table_3!$A$5:$D$96,3,1)</f>
        <v>84539</v>
      </c>
      <c r="M34" s="16">
        <f>VLOOKUP(טבלה2[[#This Row],[Team]],[1]Table_3!$A$5:$D$96,4,1)</f>
        <v>31</v>
      </c>
      <c r="N34" s="18">
        <f>טבלה2[[#This Row],[Arrests9]]/טבלה2[[#This Row],[Attendance8]]</f>
        <v>3.6669466163545821E-4</v>
      </c>
      <c r="O34" s="16">
        <v>104492</v>
      </c>
      <c r="P34" s="16">
        <v>70</v>
      </c>
      <c r="Q34" s="18">
        <f>טבלה2[[#This Row],[Arrests12]]/טבלה2[[#This Row],[Attendance11]]</f>
        <v>6.6990774413352213E-4</v>
      </c>
      <c r="R34" s="16">
        <v>109681</v>
      </c>
      <c r="S34">
        <v>37</v>
      </c>
      <c r="T34" s="18">
        <f>טבלה2[[#This Row],[Arrests15]]/טבלה2[[#This Row],[Attendance14]]</f>
        <v>3.37341927954705E-4</v>
      </c>
      <c r="U34" s="16">
        <v>85438</v>
      </c>
      <c r="V34">
        <v>29</v>
      </c>
      <c r="W34" s="18">
        <f>טבלה2[[#This Row],[Arrests18]]/טבלה2[[#This Row],[Attendance17]]</f>
        <v>3.394274210538636E-4</v>
      </c>
    </row>
    <row r="35" spans="1:23" x14ac:dyDescent="0.3">
      <c r="A35" s="19" t="s">
        <v>63</v>
      </c>
      <c r="B35" s="19" t="s">
        <v>63</v>
      </c>
      <c r="C35" s="16">
        <v>70504</v>
      </c>
      <c r="D35" s="16">
        <v>146</v>
      </c>
      <c r="E35" s="18">
        <f>טבלה2[[#This Row],[Arrests]]/טבלה2[[#This Row],[Attendance]]</f>
        <v>2.0708044933620789E-3</v>
      </c>
      <c r="F35" s="16">
        <f>VLOOKUP(טבלה2[[#This Row],[Team]],[1]Table_1!$A$5:$B$96,2,1)</f>
        <v>66895</v>
      </c>
      <c r="G35" s="16">
        <f>VLOOKUP(טבלה2[[#This Row],[Team]],[1]Table_1!$A$5:$C$96,3,1)</f>
        <v>51</v>
      </c>
      <c r="H35" s="18">
        <f>טבלה2[[#This Row],[Arrests3]]/טבלה2[[#This Row],[Attendance2]]</f>
        <v>7.6238881829733161E-4</v>
      </c>
      <c r="I35" s="16">
        <f>VLOOKUP(טבלה2[[#This Row],[Team]],[1]Table_2!$A$5:$D$96,3,1)</f>
        <v>53204</v>
      </c>
      <c r="J35" s="16">
        <f>VLOOKUP(טבלה2[[#This Row],[Team]],[1]Table_2!$A$5:$D$96,4,1)</f>
        <v>31</v>
      </c>
      <c r="K35" s="18">
        <f>טבלה2[[#This Row],[Arrests6]]/טבלה2[[#This Row],[Attendance5]]</f>
        <v>5.8266295767235544E-4</v>
      </c>
      <c r="L35" s="16">
        <f>VLOOKUP(טבלה2[[#This Row],[Team]],[1]Table_3!$A$5:$D$96,3,1)</f>
        <v>31161</v>
      </c>
      <c r="M35" s="16">
        <f>VLOOKUP(טבלה2[[#This Row],[Team]],[1]Table_3!$A$5:$D$96,4,1)</f>
        <v>0</v>
      </c>
      <c r="N35" s="18">
        <f>טבלה2[[#This Row],[Arrests9]]/טבלה2[[#This Row],[Attendance8]]</f>
        <v>0</v>
      </c>
      <c r="O35" s="16">
        <v>36885</v>
      </c>
      <c r="P35" s="16">
        <v>7</v>
      </c>
      <c r="Q35" s="18">
        <f>טבלה2[[#This Row],[Arrests12]]/טבלה2[[#This Row],[Attendance11]]</f>
        <v>1.897790429713976E-4</v>
      </c>
      <c r="R35" s="16">
        <v>40503</v>
      </c>
      <c r="S35">
        <v>26</v>
      </c>
      <c r="T35" s="18">
        <f>טבלה2[[#This Row],[Arrests15]]/טבלה2[[#This Row],[Attendance14]]</f>
        <v>6.419277584376466E-4</v>
      </c>
      <c r="U35" s="16">
        <v>35302</v>
      </c>
      <c r="V35">
        <v>20</v>
      </c>
      <c r="W35" s="18">
        <f>טבלה2[[#This Row],[Arrests18]]/טבלה2[[#This Row],[Attendance17]]</f>
        <v>5.6654013936887433E-4</v>
      </c>
    </row>
    <row r="36" spans="1:23" x14ac:dyDescent="0.3">
      <c r="A36" s="19" t="s">
        <v>64</v>
      </c>
      <c r="B36" s="19" t="s">
        <v>95</v>
      </c>
      <c r="C36" s="16">
        <v>74405</v>
      </c>
      <c r="D36" s="16">
        <v>46</v>
      </c>
      <c r="E36" s="18">
        <f>טבלה2[[#This Row],[Arrests]]/טבלה2[[#This Row],[Attendance]]</f>
        <v>6.1823802163833079E-4</v>
      </c>
      <c r="F36" s="16">
        <f>VLOOKUP(טבלה2[[#This Row],[Team]],[1]Table_1!$A$5:$B$96,2,1)</f>
        <v>104588</v>
      </c>
      <c r="G36" s="16">
        <f>VLOOKUP(טבלה2[[#This Row],[Team]],[1]Table_1!$A$5:$C$96,3,1)</f>
        <v>55</v>
      </c>
      <c r="H36" s="18">
        <f>טבלה2[[#This Row],[Arrests3]]/טבלה2[[#This Row],[Attendance2]]</f>
        <v>5.2587294909549852E-4</v>
      </c>
      <c r="I36" s="16">
        <f>VLOOKUP(טבלה2[[#This Row],[Team]],[1]Table_2!$A$5:$D$96,3,1)</f>
        <v>81007</v>
      </c>
      <c r="J36" s="16">
        <f>VLOOKUP(טבלה2[[#This Row],[Team]],[1]Table_2!$A$5:$D$96,4,1)</f>
        <v>15</v>
      </c>
      <c r="K36" s="18">
        <f>טבלה2[[#This Row],[Arrests6]]/טבלה2[[#This Row],[Attendance5]]</f>
        <v>1.8516918291011888E-4</v>
      </c>
      <c r="L36" s="16">
        <f>VLOOKUP(טבלה2[[#This Row],[Team]],[1]Table_3!$A$5:$D$96,3,1)</f>
        <v>62458</v>
      </c>
      <c r="M36" s="16">
        <f>VLOOKUP(טבלה2[[#This Row],[Team]],[1]Table_3!$A$5:$D$96,4,1)</f>
        <v>6</v>
      </c>
      <c r="N36" s="18">
        <f>טבלה2[[#This Row],[Arrests9]]/טבלה2[[#This Row],[Attendance8]]</f>
        <v>9.6064555381216175E-5</v>
      </c>
      <c r="O36" s="16">
        <v>70168</v>
      </c>
      <c r="P36" s="16">
        <v>3</v>
      </c>
      <c r="Q36" s="18">
        <f>טבלה2[[#This Row],[Arrests12]]/טבלה2[[#This Row],[Attendance11]]</f>
        <v>4.275453198038992E-5</v>
      </c>
      <c r="R36" s="16">
        <v>66077</v>
      </c>
      <c r="S36">
        <v>13</v>
      </c>
      <c r="T36" s="18">
        <f>טבלה2[[#This Row],[Arrests15]]/טבלה2[[#This Row],[Attendance14]]</f>
        <v>1.9674016677512598E-4</v>
      </c>
      <c r="U36" s="16">
        <v>66816</v>
      </c>
      <c r="V36">
        <v>5</v>
      </c>
      <c r="W36" s="18">
        <f>טבלה2[[#This Row],[Arrests18]]/טבלה2[[#This Row],[Attendance17]]</f>
        <v>7.4832375478927198E-5</v>
      </c>
    </row>
    <row r="37" spans="1:23" x14ac:dyDescent="0.3">
      <c r="A37" s="19" t="s">
        <v>65</v>
      </c>
      <c r="B37" s="19" t="s">
        <v>96</v>
      </c>
      <c r="C37" s="16">
        <v>108202</v>
      </c>
      <c r="D37" s="16">
        <v>68</v>
      </c>
      <c r="E37" s="18">
        <f>טבלה2[[#This Row],[Arrests]]/טבלה2[[#This Row],[Attendance]]</f>
        <v>6.2845418753812313E-4</v>
      </c>
      <c r="F37" s="16">
        <f>VLOOKUP(טבלה2[[#This Row],[Team]],[1]Table_1!$A$5:$B$96,2,1)</f>
        <v>108100</v>
      </c>
      <c r="G37" s="16">
        <f>VLOOKUP(טבלה2[[#This Row],[Team]],[1]Table_1!$A$5:$C$96,3,1)</f>
        <v>37</v>
      </c>
      <c r="H37" s="18">
        <f>טבלה2[[#This Row],[Arrests3]]/טבלה2[[#This Row],[Attendance2]]</f>
        <v>3.4227567067530063E-4</v>
      </c>
      <c r="I37" s="16">
        <f>VLOOKUP(טבלה2[[#This Row],[Team]],[1]Table_2!$A$5:$D$96,3,1)</f>
        <v>81283</v>
      </c>
      <c r="J37" s="16">
        <f>VLOOKUP(טבלה2[[#This Row],[Team]],[1]Table_2!$A$5:$D$96,4,1)</f>
        <v>18</v>
      </c>
      <c r="K37" s="18">
        <f>טבלה2[[#This Row],[Arrests6]]/טבלה2[[#This Row],[Attendance5]]</f>
        <v>2.214485193705941E-4</v>
      </c>
      <c r="L37" s="16">
        <f>VLOOKUP(טבלה2[[#This Row],[Team]],[1]Table_3!$A$5:$D$96,3,1)</f>
        <v>61695</v>
      </c>
      <c r="M37" s="16">
        <f>VLOOKUP(טבלה2[[#This Row],[Team]],[1]Table_3!$A$5:$D$96,4,1)</f>
        <v>23</v>
      </c>
      <c r="N37" s="18">
        <f>טבלה2[[#This Row],[Arrests9]]/טבלה2[[#This Row],[Attendance8]]</f>
        <v>3.7280168571197019E-4</v>
      </c>
      <c r="O37" s="16">
        <v>79483</v>
      </c>
      <c r="P37" s="16">
        <v>38</v>
      </c>
      <c r="Q37" s="18">
        <f>טבלה2[[#This Row],[Arrests12]]/טבלה2[[#This Row],[Attendance11]]</f>
        <v>4.7808965439150508E-4</v>
      </c>
      <c r="R37" s="16">
        <v>71641</v>
      </c>
      <c r="S37">
        <v>74</v>
      </c>
      <c r="T37" s="18">
        <f>טבלה2[[#This Row],[Arrests15]]/טבלה2[[#This Row],[Attendance14]]</f>
        <v>1.0329280719141274E-3</v>
      </c>
      <c r="U37" s="16">
        <v>92435</v>
      </c>
      <c r="V37">
        <v>162</v>
      </c>
      <c r="W37" s="18">
        <f>טבלה2[[#This Row],[Arrests18]]/טבלה2[[#This Row],[Attendance17]]</f>
        <v>1.7525828960891438E-3</v>
      </c>
    </row>
    <row r="38" spans="1:23" x14ac:dyDescent="0.3">
      <c r="A38" s="19" t="s">
        <v>66</v>
      </c>
      <c r="B38" s="19" t="s">
        <v>104</v>
      </c>
      <c r="C38" s="16">
        <v>79320</v>
      </c>
      <c r="D38" s="16">
        <v>3</v>
      </c>
      <c r="E38" s="18">
        <f>טבלה2[[#This Row],[Arrests]]/טבלה2[[#This Row],[Attendance]]</f>
        <v>3.7821482602118E-5</v>
      </c>
      <c r="F38" s="16">
        <f>VLOOKUP(טבלה2[[#This Row],[Team]],[1]Table_1!$A$5:$B$96,2,1)</f>
        <v>84479</v>
      </c>
      <c r="G38" s="16">
        <f>VLOOKUP(טבלה2[[#This Row],[Team]],[1]Table_1!$A$5:$C$96,3,1)</f>
        <v>30</v>
      </c>
      <c r="H38" s="18">
        <f>טבלה2[[#This Row],[Arrests3]]/טבלה2[[#This Row],[Attendance2]]</f>
        <v>3.5511783993655229E-4</v>
      </c>
      <c r="I38" s="16">
        <f>VLOOKUP(טבלה2[[#This Row],[Team]],[1]Table_2!$A$5:$D$96,3,1)</f>
        <v>83880</v>
      </c>
      <c r="J38" s="16">
        <f>VLOOKUP(טבלה2[[#This Row],[Team]],[1]Table_2!$A$5:$D$96,4,1)</f>
        <v>10</v>
      </c>
      <c r="K38" s="18">
        <f>טבלה2[[#This Row],[Arrests6]]/טבלה2[[#This Row],[Attendance5]]</f>
        <v>1.1921793037672866E-4</v>
      </c>
      <c r="L38" s="16">
        <f>VLOOKUP(טבלה2[[#This Row],[Team]],[1]Table_3!$A$5:$D$96,3,1)</f>
        <v>131608</v>
      </c>
      <c r="M38" s="16">
        <f>VLOOKUP(טבלה2[[#This Row],[Team]],[1]Table_3!$A$5:$D$96,4,1)</f>
        <v>15</v>
      </c>
      <c r="N38" s="18">
        <f>טבלה2[[#This Row],[Arrests9]]/טבלה2[[#This Row],[Attendance8]]</f>
        <v>1.1397483435657407E-4</v>
      </c>
      <c r="O38" s="16">
        <v>154868</v>
      </c>
      <c r="P38" s="16">
        <v>52</v>
      </c>
      <c r="Q38" s="18">
        <f>טבלה2[[#This Row],[Arrests12]]/טבלה2[[#This Row],[Attendance11]]</f>
        <v>3.3576981687630757E-4</v>
      </c>
      <c r="R38" s="16">
        <v>124118</v>
      </c>
      <c r="S38">
        <v>44</v>
      </c>
      <c r="T38" s="18">
        <f>טבלה2[[#This Row],[Arrests15]]/טבלה2[[#This Row],[Attendance14]]</f>
        <v>3.5450136160750253E-4</v>
      </c>
      <c r="U38" s="16">
        <v>140404</v>
      </c>
      <c r="V38">
        <v>24</v>
      </c>
      <c r="W38" s="18">
        <f>טבלה2[[#This Row],[Arrests18]]/טבלה2[[#This Row],[Attendance17]]</f>
        <v>1.7093530098857582E-4</v>
      </c>
    </row>
    <row r="39" spans="1:23" x14ac:dyDescent="0.3">
      <c r="A39" s="19" t="s">
        <v>67</v>
      </c>
      <c r="B39" s="19" t="s">
        <v>97</v>
      </c>
      <c r="C39" s="16">
        <v>52154</v>
      </c>
      <c r="D39" s="16">
        <v>17</v>
      </c>
      <c r="E39" s="18">
        <f>טבלה2[[#This Row],[Arrests]]/טבלה2[[#This Row],[Attendance]]</f>
        <v>3.2595774053763852E-4</v>
      </c>
      <c r="F39" s="16">
        <f>VLOOKUP(טבלה2[[#This Row],[Team]],[1]Table_1!$A$5:$B$96,2,1)</f>
        <v>64061</v>
      </c>
      <c r="G39" s="16">
        <f>VLOOKUP(טבלה2[[#This Row],[Team]],[1]Table_1!$A$5:$C$96,3,1)</f>
        <v>53</v>
      </c>
      <c r="H39" s="18">
        <f>טבלה2[[#This Row],[Arrests3]]/טבלה2[[#This Row],[Attendance2]]</f>
        <v>8.2733644495090622E-4</v>
      </c>
      <c r="I39" s="16">
        <f>VLOOKUP(טבלה2[[#This Row],[Team]],[1]Table_2!$A$5:$D$96,3,1)</f>
        <v>89758</v>
      </c>
      <c r="J39" s="16">
        <f>VLOOKUP(טבלה2[[#This Row],[Team]],[1]Table_2!$A$5:$D$96,4,1)</f>
        <v>25</v>
      </c>
      <c r="K39" s="18">
        <f>טבלה2[[#This Row],[Arrests6]]/טבלה2[[#This Row],[Attendance5]]</f>
        <v>2.7852670514048888E-4</v>
      </c>
      <c r="L39" s="16">
        <f>VLOOKUP(טבלה2[[#This Row],[Team]],[1]Table_3!$A$5:$D$96,3,1)</f>
        <v>74898</v>
      </c>
      <c r="M39" s="16">
        <f>VLOOKUP(טבלה2[[#This Row],[Team]],[1]Table_3!$A$5:$D$96,4,1)</f>
        <v>14</v>
      </c>
      <c r="N39" s="18">
        <f>טבלה2[[#This Row],[Arrests9]]/טבלה2[[#This Row],[Attendance8]]</f>
        <v>1.8692087906219124E-4</v>
      </c>
      <c r="O39" s="16">
        <v>112599</v>
      </c>
      <c r="P39" s="16">
        <v>59</v>
      </c>
      <c r="Q39" s="18">
        <f>טבלה2[[#This Row],[Arrests12]]/טבלה2[[#This Row],[Attendance11]]</f>
        <v>5.2398333910603113E-4</v>
      </c>
      <c r="R39" s="16">
        <v>126585</v>
      </c>
      <c r="S39">
        <v>85</v>
      </c>
      <c r="T39" s="18">
        <f>טבלה2[[#This Row],[Arrests15]]/טבלה2[[#This Row],[Attendance14]]</f>
        <v>6.7148556306039419E-4</v>
      </c>
      <c r="U39" s="16">
        <v>117081</v>
      </c>
      <c r="V39">
        <v>13</v>
      </c>
      <c r="W39" s="18">
        <f>טבלה2[[#This Row],[Arrests18]]/טבלה2[[#This Row],[Attendance17]]</f>
        <v>1.1103424125178295E-4</v>
      </c>
    </row>
    <row r="40" spans="1:23" x14ac:dyDescent="0.3">
      <c r="A40" s="19" t="s">
        <v>68</v>
      </c>
      <c r="B40" s="19" t="s">
        <v>98</v>
      </c>
      <c r="C40" s="16">
        <v>100957</v>
      </c>
      <c r="D40" s="16">
        <v>10</v>
      </c>
      <c r="E40" s="18">
        <f>טבלה2[[#This Row],[Arrests]]/טבלה2[[#This Row],[Attendance]]</f>
        <v>9.9052071674079066E-5</v>
      </c>
      <c r="F40" s="16">
        <f>VLOOKUP(טבלה2[[#This Row],[Team]],[1]Table_1!$A$5:$B$96,2,1)</f>
        <v>112895</v>
      </c>
      <c r="G40" s="16">
        <f>VLOOKUP(טבלה2[[#This Row],[Team]],[1]Table_1!$A$5:$C$96,3,1)</f>
        <v>51</v>
      </c>
      <c r="H40" s="18">
        <f>טבלה2[[#This Row],[Arrests3]]/טבלה2[[#This Row],[Attendance2]]</f>
        <v>4.5174719872447851E-4</v>
      </c>
      <c r="I40" s="16">
        <f>VLOOKUP(טבלה2[[#This Row],[Team]],[1]Table_2!$A$5:$D$96,3,1)</f>
        <v>88396</v>
      </c>
      <c r="J40" s="16">
        <f>VLOOKUP(טבלה2[[#This Row],[Team]],[1]Table_2!$A$5:$D$96,4,1)</f>
        <v>48</v>
      </c>
      <c r="K40" s="18">
        <f>טבלה2[[#This Row],[Arrests6]]/טבלה2[[#This Row],[Attendance5]]</f>
        <v>5.430109959726684E-4</v>
      </c>
      <c r="L40" s="16">
        <f>VLOOKUP(טבלה2[[#This Row],[Team]],[1]Table_3!$A$5:$D$96,3,1)</f>
        <v>77836</v>
      </c>
      <c r="M40" s="16">
        <f>VLOOKUP(טבלה2[[#This Row],[Team]],[1]Table_3!$A$5:$D$96,4,1)</f>
        <v>17</v>
      </c>
      <c r="N40" s="18">
        <f>טבלה2[[#This Row],[Arrests9]]/טבלה2[[#This Row],[Attendance8]]</f>
        <v>2.1840793463178993E-4</v>
      </c>
      <c r="O40" s="16">
        <v>77452</v>
      </c>
      <c r="P40" s="16">
        <v>24</v>
      </c>
      <c r="Q40" s="18">
        <f>טבלה2[[#This Row],[Arrests12]]/טבלה2[[#This Row],[Attendance11]]</f>
        <v>3.0986933842896248E-4</v>
      </c>
      <c r="R40" s="16">
        <v>119575</v>
      </c>
      <c r="S40">
        <v>23</v>
      </c>
      <c r="T40" s="18">
        <f>טבלה2[[#This Row],[Arrests15]]/טבלה2[[#This Row],[Attendance14]]</f>
        <v>1.9234789880827932E-4</v>
      </c>
      <c r="U40" s="16">
        <v>81281</v>
      </c>
      <c r="V40">
        <v>9</v>
      </c>
      <c r="W40" s="18">
        <f>טבלה2[[#This Row],[Arrests18]]/טבלה2[[#This Row],[Attendance17]]</f>
        <v>1.1072698416604126E-4</v>
      </c>
    </row>
    <row r="41" spans="1:23" x14ac:dyDescent="0.3">
      <c r="A41" s="19" t="s">
        <v>69</v>
      </c>
      <c r="B41" s="19" t="s">
        <v>99</v>
      </c>
      <c r="C41" s="16">
        <v>67434</v>
      </c>
      <c r="D41" s="16">
        <v>21</v>
      </c>
      <c r="E41" s="18">
        <f>טבלה2[[#This Row],[Arrests]]/טבלה2[[#This Row],[Attendance]]</f>
        <v>3.1141560637067356E-4</v>
      </c>
      <c r="F41" s="16">
        <f>VLOOKUP(טבלה2[[#This Row],[Team]],[1]Table_1!$A$5:$B$96,2,1)</f>
        <v>53852</v>
      </c>
      <c r="G41" s="16">
        <f>VLOOKUP(טבלה2[[#This Row],[Team]],[1]Table_1!$A$5:$C$96,3,1)</f>
        <v>16</v>
      </c>
      <c r="H41" s="18">
        <f>טבלה2[[#This Row],[Arrests3]]/טבלה2[[#This Row],[Attendance2]]</f>
        <v>2.9711059942063434E-4</v>
      </c>
      <c r="I41" s="16">
        <f>VLOOKUP(טבלה2[[#This Row],[Team]],[1]Table_2!$A$5:$D$96,3,1)</f>
        <v>49484</v>
      </c>
      <c r="J41" s="16">
        <f>VLOOKUP(טבלה2[[#This Row],[Team]],[1]Table_2!$A$5:$D$96,4,1)</f>
        <v>27</v>
      </c>
      <c r="K41" s="18">
        <f>טבלה2[[#This Row],[Arrests6]]/טבלה2[[#This Row],[Attendance5]]</f>
        <v>5.4563091100153589E-4</v>
      </c>
      <c r="L41" s="16">
        <f>VLOOKUP(טבלה2[[#This Row],[Team]],[1]Table_3!$A$5:$D$96,3,1)</f>
        <v>65038</v>
      </c>
      <c r="M41" s="16">
        <f>VLOOKUP(טבלה2[[#This Row],[Team]],[1]Table_3!$A$5:$D$96,4,1)</f>
        <v>3</v>
      </c>
      <c r="N41" s="18">
        <f>טבלה2[[#This Row],[Arrests9]]/טבלה2[[#This Row],[Attendance8]]</f>
        <v>4.6126879670346567E-5</v>
      </c>
      <c r="O41" s="16">
        <v>62886</v>
      </c>
      <c r="P41" s="16">
        <v>49</v>
      </c>
      <c r="Q41" s="18">
        <f>טבלה2[[#This Row],[Arrests12]]/טבלה2[[#This Row],[Attendance11]]</f>
        <v>7.7918773653913435E-4</v>
      </c>
      <c r="R41" s="16">
        <v>56605</v>
      </c>
      <c r="S41">
        <v>66</v>
      </c>
      <c r="T41" s="18">
        <f>טבלה2[[#This Row],[Arrests15]]/טבלה2[[#This Row],[Attendance14]]</f>
        <v>1.165974737214027E-3</v>
      </c>
      <c r="U41" s="16">
        <v>72167</v>
      </c>
      <c r="V41">
        <v>2</v>
      </c>
      <c r="W41" s="18">
        <f>טבלה2[[#This Row],[Arrests18]]/טבלה2[[#This Row],[Attendance17]]</f>
        <v>2.7713497859132291E-5</v>
      </c>
    </row>
    <row r="42" spans="1:23" x14ac:dyDescent="0.3">
      <c r="A42" s="19" t="s">
        <v>70</v>
      </c>
      <c r="B42" s="19" t="s">
        <v>100</v>
      </c>
      <c r="C42" s="16">
        <v>76847</v>
      </c>
      <c r="D42" s="16">
        <v>53</v>
      </c>
      <c r="E42" s="18">
        <f>טבלה2[[#This Row],[Arrests]]/טבלה2[[#This Row],[Attendance]]</f>
        <v>6.8968209559254099E-4</v>
      </c>
      <c r="F42" s="16">
        <f>VLOOKUP(טבלה2[[#This Row],[Team]],[1]Table_1!$A$5:$B$96,2,1)</f>
        <v>121830</v>
      </c>
      <c r="G42" s="16">
        <f>VLOOKUP(טבלה2[[#This Row],[Team]],[1]Table_1!$A$5:$C$96,3,1)</f>
        <v>20</v>
      </c>
      <c r="H42" s="18">
        <f>טבלה2[[#This Row],[Arrests3]]/טבלה2[[#This Row],[Attendance2]]</f>
        <v>1.6416317819912992E-4</v>
      </c>
      <c r="I42" s="16">
        <f>VLOOKUP(טבלה2[[#This Row],[Team]],[1]Table_2!$A$5:$D$96,3,1)</f>
        <v>171200</v>
      </c>
      <c r="J42" s="16">
        <f>VLOOKUP(טבלה2[[#This Row],[Team]],[1]Table_2!$A$5:$D$96,4,1)</f>
        <v>27</v>
      </c>
      <c r="K42" s="18">
        <f>טבלה2[[#This Row],[Arrests6]]/טבלה2[[#This Row],[Attendance5]]</f>
        <v>1.5771028037383177E-4</v>
      </c>
      <c r="L42" s="16">
        <f>VLOOKUP(טבלה2[[#This Row],[Team]],[1]Table_3!$A$5:$D$96,3,1)</f>
        <v>141898</v>
      </c>
      <c r="M42" s="16">
        <f>VLOOKUP(טבלה2[[#This Row],[Team]],[1]Table_3!$A$5:$D$96,4,1)</f>
        <v>13</v>
      </c>
      <c r="N42" s="18">
        <f>טבלה2[[#This Row],[Arrests9]]/טבלה2[[#This Row],[Attendance8]]</f>
        <v>9.1615103806959932E-5</v>
      </c>
      <c r="O42" s="16">
        <v>203445</v>
      </c>
      <c r="P42" s="16">
        <v>80</v>
      </c>
      <c r="Q42" s="18">
        <f>טבלה2[[#This Row],[Arrests12]]/טבלה2[[#This Row],[Attendance11]]</f>
        <v>3.9322667059893336E-4</v>
      </c>
      <c r="R42" s="16">
        <v>185644</v>
      </c>
      <c r="S42">
        <v>45</v>
      </c>
      <c r="T42" s="18">
        <f>טבלה2[[#This Row],[Arrests15]]/טבלה2[[#This Row],[Attendance14]]</f>
        <v>2.4239943116933485E-4</v>
      </c>
      <c r="U42" s="16">
        <v>186278</v>
      </c>
      <c r="V42">
        <v>94</v>
      </c>
      <c r="W42" s="18">
        <f>טבלה2[[#This Row],[Arrests18]]/טבלה2[[#This Row],[Attendance17]]</f>
        <v>5.0462212392230962E-4</v>
      </c>
    </row>
    <row r="43" spans="1:23" x14ac:dyDescent="0.3">
      <c r="A43" s="19" t="s">
        <v>71</v>
      </c>
      <c r="B43" s="19" t="s">
        <v>71</v>
      </c>
      <c r="C43" s="16">
        <v>128153</v>
      </c>
      <c r="D43" s="16">
        <v>47</v>
      </c>
      <c r="E43" s="18">
        <f>טבלה2[[#This Row],[Arrests]]/טבלה2[[#This Row],[Attendance]]</f>
        <v>3.6674912019227018E-4</v>
      </c>
      <c r="F43" s="16">
        <f>VLOOKUP(טבלה2[[#This Row],[Team]],[1]Table_1!$A$5:$B$96,2,1)</f>
        <v>140495</v>
      </c>
      <c r="G43" s="16">
        <f>VLOOKUP(טבלה2[[#This Row],[Team]],[1]Table_1!$A$5:$C$96,3,1)</f>
        <v>148</v>
      </c>
      <c r="H43" s="18">
        <f>טבלה2[[#This Row],[Arrests3]]/טבלה2[[#This Row],[Attendance2]]</f>
        <v>1.0534182711128509E-3</v>
      </c>
      <c r="I43" s="16">
        <f>VLOOKUP(טבלה2[[#This Row],[Team]],[1]Table_2!$A$5:$D$96,3,1)</f>
        <v>93765</v>
      </c>
      <c r="J43" s="16">
        <f>VLOOKUP(טבלה2[[#This Row],[Team]],[1]Table_2!$A$5:$D$96,4,1)</f>
        <v>55</v>
      </c>
      <c r="K43" s="18">
        <f>טבלה2[[#This Row],[Arrests6]]/טבלה2[[#This Row],[Attendance5]]</f>
        <v>5.8657281501626405E-4</v>
      </c>
      <c r="L43" s="16">
        <f>VLOOKUP(טבלה2[[#This Row],[Team]],[1]Table_3!$A$5:$D$96,3,1)</f>
        <v>95188</v>
      </c>
      <c r="M43" s="16">
        <f>VLOOKUP(טבלה2[[#This Row],[Team]],[1]Table_3!$A$5:$D$96,4,1)</f>
        <v>35</v>
      </c>
      <c r="N43" s="18">
        <f>טבלה2[[#This Row],[Arrests9]]/טבלה2[[#This Row],[Attendance8]]</f>
        <v>3.6769340673194098E-4</v>
      </c>
      <c r="O43" s="16">
        <v>74075</v>
      </c>
      <c r="P43" s="16">
        <v>40</v>
      </c>
      <c r="Q43" s="18">
        <f>טבלה2[[#This Row],[Arrests12]]/טבלה2[[#This Row],[Attendance11]]</f>
        <v>5.399932500843739E-4</v>
      </c>
      <c r="R43" s="16">
        <v>76191</v>
      </c>
      <c r="S43">
        <v>17</v>
      </c>
      <c r="T43" s="18">
        <f>טבלה2[[#This Row],[Arrests15]]/טבלה2[[#This Row],[Attendance14]]</f>
        <v>2.2312346602617106E-4</v>
      </c>
      <c r="U43" s="16">
        <v>88977</v>
      </c>
      <c r="V43">
        <v>10</v>
      </c>
      <c r="W43" s="18">
        <f>טבלה2[[#This Row],[Arrests18]]/טבלה2[[#This Row],[Attendance17]]</f>
        <v>1.1238859480539914E-4</v>
      </c>
    </row>
    <row r="44" spans="1:23" x14ac:dyDescent="0.3">
      <c r="A44" s="19" t="s">
        <v>72</v>
      </c>
      <c r="B44" s="19" t="s">
        <v>101</v>
      </c>
      <c r="C44" s="16">
        <v>86776</v>
      </c>
      <c r="D44" s="16">
        <v>4</v>
      </c>
      <c r="E44" s="18">
        <f>טבלה2[[#This Row],[Arrests]]/טבלה2[[#This Row],[Attendance]]</f>
        <v>4.6095694662118557E-5</v>
      </c>
      <c r="F44" s="16">
        <f>VLOOKUP(טבלה2[[#This Row],[Team]],[1]Table_1!$A$5:$B$96,2,1)</f>
        <v>72263</v>
      </c>
      <c r="G44" s="16">
        <f>VLOOKUP(טבלה2[[#This Row],[Team]],[1]Table_1!$A$5:$C$96,3,1)</f>
        <v>4</v>
      </c>
      <c r="H44" s="18">
        <f>טבלה2[[#This Row],[Arrests3]]/טבלה2[[#This Row],[Attendance2]]</f>
        <v>5.535336202482598E-5</v>
      </c>
      <c r="I44" s="16">
        <f>VLOOKUP(טבלה2[[#This Row],[Team]],[1]Table_2!$A$5:$D$96,3,1)</f>
        <v>63486</v>
      </c>
      <c r="J44" s="16">
        <f>VLOOKUP(טבלה2[[#This Row],[Team]],[1]Table_2!$A$5:$D$96,4,1)</f>
        <v>14</v>
      </c>
      <c r="K44" s="18">
        <f>טבלה2[[#This Row],[Arrests6]]/טבלה2[[#This Row],[Attendance5]]</f>
        <v>2.2052105976120718E-4</v>
      </c>
      <c r="L44" s="16">
        <f>VLOOKUP(טבלה2[[#This Row],[Team]],[1]Table_3!$A$5:$D$96,3,1)</f>
        <v>52337</v>
      </c>
      <c r="M44" s="16">
        <f>VLOOKUP(טבלה2[[#This Row],[Team]],[1]Table_3!$A$5:$D$96,4,1)</f>
        <v>8</v>
      </c>
      <c r="N44" s="18">
        <f>טבלה2[[#This Row],[Arrests9]]/טבלה2[[#This Row],[Attendance8]]</f>
        <v>1.5285553241492635E-4</v>
      </c>
      <c r="O44" s="16">
        <v>65817</v>
      </c>
      <c r="P44" s="16">
        <v>14</v>
      </c>
      <c r="Q44" s="18">
        <f>טבלה2[[#This Row],[Arrests12]]/טבלה2[[#This Row],[Attendance11]]</f>
        <v>2.1271100171688166E-4</v>
      </c>
      <c r="R44" s="16">
        <v>59757</v>
      </c>
      <c r="S44">
        <v>17</v>
      </c>
      <c r="T44" s="18">
        <f>טבלה2[[#This Row],[Arrests15]]/טבלה2[[#This Row],[Attendance14]]</f>
        <v>2.8448549960674065E-4</v>
      </c>
      <c r="U44" s="16">
        <v>39844</v>
      </c>
      <c r="V44">
        <v>17</v>
      </c>
      <c r="W44" s="18">
        <f>טבלה2[[#This Row],[Arrests18]]/טבלה2[[#This Row],[Attendance17]]</f>
        <v>4.2666398955928117E-4</v>
      </c>
    </row>
    <row r="45" spans="1:23" x14ac:dyDescent="0.3">
      <c r="A45" s="19" t="s">
        <v>73</v>
      </c>
      <c r="B45" s="19" t="s">
        <v>77</v>
      </c>
      <c r="C45" s="16">
        <v>51539</v>
      </c>
      <c r="D45" s="16">
        <v>17</v>
      </c>
      <c r="E45" s="18">
        <f>טבלה2[[#This Row],[Arrests]]/טבלה2[[#This Row],[Attendance]]</f>
        <v>3.2984730010283476E-4</v>
      </c>
      <c r="F45" s="16">
        <f>VLOOKUP(טבלה2[[#This Row],[Team]],[1]Table_1!$A$5:$B$96,2,1)</f>
        <v>61051</v>
      </c>
      <c r="G45" s="16">
        <f>VLOOKUP(טבלה2[[#This Row],[Team]],[1]Table_1!$A$5:$C$96,3,1)</f>
        <v>12</v>
      </c>
      <c r="H45" s="18">
        <f>טבלה2[[#This Row],[Arrests3]]/טבלה2[[#This Row],[Attendance2]]</f>
        <v>1.9655697695369445E-4</v>
      </c>
      <c r="I45" s="16">
        <f>VLOOKUP(טבלה2[[#This Row],[Team]],[1]Table_2!$A$5:$D$96,3,1)</f>
        <v>54974</v>
      </c>
      <c r="J45" s="16">
        <f>VLOOKUP(טבלה2[[#This Row],[Team]],[1]Table_2!$A$5:$D$96,4,1)</f>
        <v>3</v>
      </c>
      <c r="K45" s="18">
        <f>טבלה2[[#This Row],[Arrests6]]/טבלה2[[#This Row],[Attendance5]]</f>
        <v>5.457125186451777E-5</v>
      </c>
      <c r="L45" s="16">
        <f>VLOOKUP(טבלה2[[#This Row],[Team]],[1]Table_3!$A$5:$D$96,3,1)</f>
        <v>36204</v>
      </c>
      <c r="M45" s="16">
        <f>VLOOKUP(טבלה2[[#This Row],[Team]],[1]Table_3!$A$5:$D$96,4,1)</f>
        <v>2</v>
      </c>
      <c r="N45" s="18">
        <f>טבלה2[[#This Row],[Arrests9]]/טבלה2[[#This Row],[Attendance8]]</f>
        <v>5.524251463926638E-5</v>
      </c>
      <c r="O45" s="16">
        <v>57371</v>
      </c>
      <c r="P45" s="16">
        <v>4</v>
      </c>
      <c r="Q45" s="18">
        <f>טבלה2[[#This Row],[Arrests12]]/טבלה2[[#This Row],[Attendance11]]</f>
        <v>6.9721636366805529E-5</v>
      </c>
      <c r="R45" s="16">
        <v>104722</v>
      </c>
      <c r="S45">
        <v>35</v>
      </c>
      <c r="T45" s="18">
        <f>טבלה2[[#This Row],[Arrests15]]/טבלה2[[#This Row],[Attendance14]]</f>
        <v>3.3421821584767291E-4</v>
      </c>
      <c r="U45" s="16">
        <v>91098</v>
      </c>
      <c r="V45">
        <v>48</v>
      </c>
      <c r="W45" s="18">
        <f>טבלה2[[#This Row],[Arrests18]]/טבלה2[[#This Row],[Attendance17]]</f>
        <v>5.2690509122044389E-4</v>
      </c>
    </row>
    <row r="46" spans="1:23" x14ac:dyDescent="0.3">
      <c r="A46" s="19" t="s">
        <v>74</v>
      </c>
      <c r="B46" s="19" t="s">
        <v>102</v>
      </c>
      <c r="C46" s="16">
        <v>62902</v>
      </c>
      <c r="D46" s="16">
        <v>62</v>
      </c>
      <c r="E46" s="18">
        <f>טבלה2[[#This Row],[Arrests]]/טבלה2[[#This Row],[Attendance]]</f>
        <v>9.8566023337890688E-4</v>
      </c>
      <c r="F46" s="16">
        <f>VLOOKUP(טבלה2[[#This Row],[Team]],[1]Table_1!$A$5:$B$96,2,1)</f>
        <v>59119</v>
      </c>
      <c r="G46" s="16">
        <f>VLOOKUP(טבלה2[[#This Row],[Team]],[1]Table_1!$A$5:$C$96,3,1)</f>
        <v>132</v>
      </c>
      <c r="H46" s="18">
        <f>טבלה2[[#This Row],[Arrests3]]/טבלה2[[#This Row],[Attendance2]]</f>
        <v>2.2327847223396879E-3</v>
      </c>
      <c r="I46" s="16">
        <f>VLOOKUP(טבלה2[[#This Row],[Team]],[1]Table_2!$A$5:$D$96,3,1)</f>
        <v>59395</v>
      </c>
      <c r="J46" s="16">
        <f>VLOOKUP(טבלה2[[#This Row],[Team]],[1]Table_2!$A$5:$D$96,4,1)</f>
        <v>39</v>
      </c>
      <c r="K46" s="18">
        <f>טבלה2[[#This Row],[Arrests6]]/טבלה2[[#This Row],[Attendance5]]</f>
        <v>6.5662092768751579E-4</v>
      </c>
      <c r="L46" s="16">
        <f>VLOOKUP(טבלה2[[#This Row],[Team]],[1]Table_3!$A$5:$D$96,3,1)</f>
        <v>57543</v>
      </c>
      <c r="M46" s="16">
        <f>VLOOKUP(טבלה2[[#This Row],[Team]],[1]Table_3!$A$5:$D$96,4,1)</f>
        <v>16</v>
      </c>
      <c r="N46" s="18">
        <f>טבלה2[[#This Row],[Arrests9]]/טבלה2[[#This Row],[Attendance8]]</f>
        <v>2.7805293432737256E-4</v>
      </c>
      <c r="O46" s="16">
        <v>55139</v>
      </c>
      <c r="P46" s="16">
        <v>11</v>
      </c>
      <c r="Q46" s="18">
        <f>טבלה2[[#This Row],[Arrests12]]/טבלה2[[#This Row],[Attendance11]]</f>
        <v>1.9949581965577904E-4</v>
      </c>
      <c r="R46" s="16">
        <v>82859</v>
      </c>
      <c r="S46">
        <v>23</v>
      </c>
      <c r="T46" s="18">
        <f>טבלה2[[#This Row],[Arrests15]]/טבלה2[[#This Row],[Attendance14]]</f>
        <v>2.7757998527619209E-4</v>
      </c>
      <c r="U46" s="16">
        <v>106160</v>
      </c>
      <c r="V46">
        <v>55</v>
      </c>
      <c r="W46" s="18">
        <f>טבלה2[[#This Row],[Arrests18]]/טבלה2[[#This Row],[Attendance17]]</f>
        <v>5.1808590806330071E-4</v>
      </c>
    </row>
    <row r="47" spans="1:23" x14ac:dyDescent="0.3">
      <c r="A47" t="s">
        <v>31</v>
      </c>
      <c r="C47" s="16">
        <f>SUBTOTAL(109,טבלה2[Attendance])</f>
        <v>3809836</v>
      </c>
      <c r="D47" s="16">
        <f>SUBTOTAL(109,טבלה2[Arrests])</f>
        <v>1800</v>
      </c>
      <c r="E47" s="21">
        <f>טבלה2[[#Totals],[Arrests]]/טבלה2[[#Totals],[Attendance]]</f>
        <v>4.7246128179795663E-4</v>
      </c>
      <c r="F47" s="16">
        <f>SUBTOTAL(109,טבלה2[Attendance2])</f>
        <v>4082137</v>
      </c>
      <c r="G47" s="16">
        <f>SUBTOTAL(109,טבלה2[Arrests3])</f>
        <v>1804</v>
      </c>
      <c r="H47" s="17">
        <f>טבלה2[[#Totals],[Arrests3]]/טבלה2[[#Totals],[Attendance2]]</f>
        <v>4.4192539348875354E-4</v>
      </c>
      <c r="I47" s="16">
        <f>SUBTOTAL(109,טבלה2[Attendance5])</f>
        <v>4431133</v>
      </c>
      <c r="J47" s="16">
        <f>SUBTOTAL(109,טבלה2[Arrests6])</f>
        <v>1592</v>
      </c>
      <c r="K47" s="17">
        <f>טבלה2[[#Totals],[Arrests6]]/טבלה2[[#Totals],[Attendance5]]</f>
        <v>3.5927605874163559E-4</v>
      </c>
      <c r="L47" s="16">
        <f>SUBTOTAL(109,טבלה2[Attendance8])</f>
        <v>3748456</v>
      </c>
      <c r="M47" s="16">
        <f>SUBTOTAL(109,טבלה2[Arrests9])</f>
        <v>607</v>
      </c>
      <c r="N47" s="17">
        <f>טבלה2[[#Totals],[Arrests9]]/טבלה2[[#Totals],[Attendance8]]</f>
        <v>1.6193334002053111E-4</v>
      </c>
      <c r="O47" s="16">
        <f>SUBTOTAL(109,טבלה2[Attendance11])</f>
        <v>4273753</v>
      </c>
      <c r="P47" s="16">
        <f>SUBTOTAL(109,טבלה2[Arrests12])</f>
        <v>1443</v>
      </c>
      <c r="Q47" s="17">
        <f>טבלה2[[#Totals],[Arrests12]]/טבלה2[[#Totals],[Attendance11]]</f>
        <v>3.3764234854003026E-4</v>
      </c>
      <c r="R47" s="16">
        <f>SUBTOTAL(109,טבלה2[Attendance14])</f>
        <v>4598331</v>
      </c>
      <c r="S47" s="16">
        <f>SUBTOTAL(109,טבלה2[Arrests15])</f>
        <v>1573</v>
      </c>
      <c r="T47" s="17">
        <f>טבלה2[[#Totals],[Arrests15]]/טבלה2[[#Totals],[Attendance14]]</f>
        <v>3.4208063751826477E-4</v>
      </c>
      <c r="U47" s="16">
        <f>SUBTOTAL(109,טבלה2[Attendance17])</f>
        <v>4455074</v>
      </c>
      <c r="V47" s="16">
        <f>SUBTOTAL(109,טבלה2[Arrests18])</f>
        <v>1356</v>
      </c>
      <c r="W47" s="17">
        <f>טבלה2[[#Totals],[Arrests18]]/טבלה2[[#Totals],[Attendance17]]</f>
        <v>3.0437204858998974E-4</v>
      </c>
    </row>
  </sheetData>
  <sortState xmlns:xlrd2="http://schemas.microsoft.com/office/spreadsheetml/2017/richdata2" ref="Y3:Y44">
    <sortCondition descending="1" ref="Y44"/>
  </sortState>
  <mergeCells count="8">
    <mergeCell ref="R1:T1"/>
    <mergeCell ref="U1:W1"/>
    <mergeCell ref="A1:B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7DCF-5937-49AF-8FA0-2F86A0F7C227}">
  <dimension ref="A1:V46"/>
  <sheetViews>
    <sheetView tabSelected="1" topLeftCell="A28" zoomScale="54" workbookViewId="0">
      <selection activeCell="W22" sqref="W22"/>
    </sheetView>
  </sheetViews>
  <sheetFormatPr defaultRowHeight="14" x14ac:dyDescent="0.3"/>
  <cols>
    <col min="1" max="1" width="13.75" customWidth="1"/>
    <col min="2" max="2" width="11.1640625" bestFit="1" customWidth="1"/>
    <col min="5" max="5" width="12.08203125" bestFit="1" customWidth="1"/>
    <col min="6" max="6" width="8.75" bestFit="1" customWidth="1"/>
    <col min="7" max="7" width="10.58203125" bestFit="1" customWidth="1"/>
    <col min="8" max="8" width="12.08203125" bestFit="1" customWidth="1"/>
    <col min="9" max="9" width="8.75" bestFit="1" customWidth="1"/>
    <col min="10" max="10" width="10.58203125" bestFit="1" customWidth="1"/>
    <col min="11" max="11" width="12.08203125" bestFit="1" customWidth="1"/>
    <col min="12" max="12" width="8.75" bestFit="1" customWidth="1"/>
    <col min="13" max="13" width="11.6640625" bestFit="1" customWidth="1"/>
    <col min="14" max="14" width="13.1640625" bestFit="1" customWidth="1"/>
    <col min="15" max="15" width="9.83203125" bestFit="1" customWidth="1"/>
    <col min="16" max="16" width="11.6640625" bestFit="1" customWidth="1"/>
    <col min="17" max="17" width="13.1640625" bestFit="1" customWidth="1"/>
    <col min="18" max="18" width="9.83203125" bestFit="1" customWidth="1"/>
    <col min="19" max="19" width="11.6640625" bestFit="1" customWidth="1"/>
    <col min="20" max="20" width="13.1640625" bestFit="1" customWidth="1"/>
    <col min="21" max="21" width="9.83203125" bestFit="1" customWidth="1"/>
    <col min="22" max="22" width="11.6640625" bestFit="1" customWidth="1"/>
  </cols>
  <sheetData>
    <row r="1" spans="1:22" x14ac:dyDescent="0.3">
      <c r="A1" s="20"/>
      <c r="B1" s="2" t="s">
        <v>0</v>
      </c>
      <c r="C1" s="2"/>
      <c r="D1" s="2"/>
      <c r="E1" s="3" t="s">
        <v>1</v>
      </c>
      <c r="F1" s="3"/>
      <c r="G1" s="3"/>
      <c r="H1" s="4" t="s">
        <v>2</v>
      </c>
      <c r="I1" s="4"/>
      <c r="J1" s="4"/>
      <c r="K1" s="5" t="s">
        <v>3</v>
      </c>
      <c r="L1" s="5"/>
      <c r="M1" s="5"/>
      <c r="N1" s="6" t="s">
        <v>4</v>
      </c>
      <c r="O1" s="6"/>
      <c r="P1" s="6"/>
      <c r="Q1" s="7" t="s">
        <v>5</v>
      </c>
      <c r="R1" s="7"/>
      <c r="S1" s="7"/>
      <c r="T1" s="8" t="s">
        <v>6</v>
      </c>
      <c r="U1" s="8"/>
      <c r="V1" s="8"/>
    </row>
    <row r="2" spans="1:22" x14ac:dyDescent="0.3">
      <c r="A2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10" t="s">
        <v>13</v>
      </c>
      <c r="G2" s="10" t="s">
        <v>14</v>
      </c>
      <c r="H2" s="11" t="s">
        <v>15</v>
      </c>
      <c r="I2" s="11" t="s">
        <v>16</v>
      </c>
      <c r="J2" s="11" t="s">
        <v>17</v>
      </c>
      <c r="K2" s="12" t="s">
        <v>18</v>
      </c>
      <c r="L2" s="12" t="s">
        <v>19</v>
      </c>
      <c r="M2" s="12" t="s">
        <v>20</v>
      </c>
      <c r="N2" s="13" t="s">
        <v>21</v>
      </c>
      <c r="O2" s="13" t="s">
        <v>22</v>
      </c>
      <c r="P2" s="13" t="s">
        <v>23</v>
      </c>
      <c r="Q2" s="14" t="s">
        <v>24</v>
      </c>
      <c r="R2" s="14" t="s">
        <v>25</v>
      </c>
      <c r="S2" s="14" t="s">
        <v>26</v>
      </c>
      <c r="T2" s="15" t="s">
        <v>27</v>
      </c>
      <c r="U2" s="15" t="s">
        <v>28</v>
      </c>
      <c r="V2" s="15" t="s">
        <v>29</v>
      </c>
    </row>
    <row r="3" spans="1:22" x14ac:dyDescent="0.3">
      <c r="A3" s="19" t="s">
        <v>32</v>
      </c>
      <c r="B3" s="16">
        <f>SUMIF(טבלה2[City],טבלה23[[#This Row],[City]],טבלה2[Attendance])</f>
        <v>96935</v>
      </c>
      <c r="C3" s="16">
        <f>SUMIF(טבלה2[City],טבלה23[[#This Row],[City]],טבלה2[Arrests])</f>
        <v>36</v>
      </c>
      <c r="D3" s="18">
        <f>טבלה23[[#This Row],[Arrests]]/טבלה23[[#This Row],[Attendance]]</f>
        <v>3.7138288543869601E-4</v>
      </c>
      <c r="E3" s="16">
        <f>SUMIF(טבלה2[City],טבלה23[[#This Row],[City]],טבלה2[Attendance2])</f>
        <v>88701</v>
      </c>
      <c r="F3" s="16">
        <f>SUMIF(טבלה2[City],טבלה23[[#This Row],[City]],טבלה2[Arrests3])</f>
        <v>66</v>
      </c>
      <c r="G3" s="18">
        <f>טבלה23[[#This Row],[Arrests3]]/טבלה23[[#This Row],[Attendance2]]</f>
        <v>7.4407278384685627E-4</v>
      </c>
      <c r="H3" s="16">
        <f>SUMIF(טבלה2[City],טבלה23[[#This Row],[City]],טבלה2[Attendance5])</f>
        <v>93527</v>
      </c>
      <c r="I3" s="16">
        <f>SUMIF(טבלה2[City],טבלה23[[#This Row],[City]],טבלה2[Arrests6])</f>
        <v>107</v>
      </c>
      <c r="J3" s="18">
        <f>טבלה23[[#This Row],[Arrests6]]/טבלה23[[#This Row],[Attendance5]]</f>
        <v>1.1440546580131941E-3</v>
      </c>
      <c r="K3" s="16">
        <f>SUMIF(טבלה2[City],טבלה23[[#This Row],[City]],טבלה2[Attendance8])</f>
        <v>81340</v>
      </c>
      <c r="L3" s="16">
        <f>SUMIF(טבלה2[City],טבלה23[[#This Row],[City]],טבלה2[Arrests9])</f>
        <v>12</v>
      </c>
      <c r="M3" s="18">
        <f>טבלה23[[#This Row],[Arrests9]]/טבלה23[[#This Row],[Attendance8]]</f>
        <v>1.475288910745021E-4</v>
      </c>
      <c r="N3" s="16">
        <f>SUMIF(טבלה2[City],טבלה23[[#This Row],[City]],טבלה2[Attendance11])</f>
        <v>95359</v>
      </c>
      <c r="O3" s="16">
        <f>SUMIF(טבלה2[City],טבלה23[[#This Row],[City]],טבלה2[Arrests12])</f>
        <v>62</v>
      </c>
      <c r="P3" s="18">
        <f>טבלה23[[#This Row],[Arrests12]]/טבלה23[[#This Row],[Attendance11]]</f>
        <v>6.5017460334105854E-4</v>
      </c>
      <c r="Q3" s="16">
        <f>SUMIF(טבלה2[City],טבלה23[[#This Row],[City]],טבלה2[Attendance14])</f>
        <v>126523</v>
      </c>
      <c r="R3" s="16">
        <f>SUMIF(טבלה2[City],טבלה23[[#This Row],[City]],טבלה2[Arrests15])</f>
        <v>114</v>
      </c>
      <c r="S3" s="18">
        <f>טבלה23[[#This Row],[Arrests15]]/טבלה23[[#This Row],[Attendance14]]</f>
        <v>9.0102194857851934E-4</v>
      </c>
      <c r="T3" s="16">
        <f>SUMIF(טבלה2[City],טבלה23[[#This Row],[City]],טבלה2[Attendance17])</f>
        <v>109403</v>
      </c>
      <c r="U3" s="16">
        <f>SUMIF(טבלה2[City],טבלה23[[#This Row],[City]],טבלה2[Arrests18])</f>
        <v>129</v>
      </c>
      <c r="V3" s="18">
        <f>טבלה23[[#This Row],[Arrests18]]/טבלה23[[#This Row],[Attendance17]]</f>
        <v>1.1791267149895341E-3</v>
      </c>
    </row>
    <row r="4" spans="1:22" x14ac:dyDescent="0.3">
      <c r="A4" s="19" t="s">
        <v>78</v>
      </c>
      <c r="B4" s="16">
        <f>SUMIF(טבלה2[City],טבלה23[[#This Row],[City]],טבלה2[Attendance])</f>
        <v>114778</v>
      </c>
      <c r="C4" s="16">
        <f>SUMIF(טבלה2[City],טבלה23[[#This Row],[City]],טבלה2[Arrests])</f>
        <v>21</v>
      </c>
      <c r="D4" s="18">
        <f>טבלה23[[#This Row],[Arrests]]/טבלה23[[#This Row],[Attendance]]</f>
        <v>1.8296189165171027E-4</v>
      </c>
      <c r="E4" s="16">
        <f>SUMIF(טבלה2[City],טבלה23[[#This Row],[City]],טבלה2[Attendance2])</f>
        <v>124626</v>
      </c>
      <c r="F4" s="16">
        <f>SUMIF(טבלה2[City],טבלה23[[#This Row],[City]],טבלה2[Arrests3])</f>
        <v>40</v>
      </c>
      <c r="G4" s="18">
        <f>טבלה23[[#This Row],[Arrests3]]/טבלה23[[#This Row],[Attendance2]]</f>
        <v>3.2096031325726574E-4</v>
      </c>
      <c r="H4" s="16">
        <f>SUMIF(טבלה2[City],טבלה23[[#This Row],[City]],טבלה2[Attendance5])</f>
        <v>167770</v>
      </c>
      <c r="I4" s="16">
        <f>SUMIF(טבלה2[City],טבלה23[[#This Row],[City]],טבלה2[Arrests6])</f>
        <v>73</v>
      </c>
      <c r="J4" s="18">
        <f>טבלה23[[#This Row],[Arrests6]]/טבלה23[[#This Row],[Attendance5]]</f>
        <v>4.351195088514037E-4</v>
      </c>
      <c r="K4" s="16">
        <f>SUMIF(טבלה2[City],טבלה23[[#This Row],[City]],טבלה2[Attendance8])</f>
        <v>148689</v>
      </c>
      <c r="L4" s="16">
        <f>SUMIF(טבלה2[City],טבלה23[[#This Row],[City]],טבלה2[Arrests9])</f>
        <v>12</v>
      </c>
      <c r="M4" s="18">
        <f>טבלה23[[#This Row],[Arrests9]]/טבלה23[[#This Row],[Attendance8]]</f>
        <v>8.0705364889131003E-5</v>
      </c>
      <c r="N4" s="16">
        <f>SUMIF(טבלה2[City],טבלה23[[#This Row],[City]],טבלה2[Attendance11])</f>
        <v>138683</v>
      </c>
      <c r="O4" s="16">
        <f>SUMIF(טבלה2[City],טבלה23[[#This Row],[City]],טבלה2[Arrests12])</f>
        <v>49</v>
      </c>
      <c r="P4" s="18">
        <f>טבלה23[[#This Row],[Arrests12]]/טבלה23[[#This Row],[Attendance11]]</f>
        <v>3.5332376715242677E-4</v>
      </c>
      <c r="Q4" s="16">
        <f>SUMIF(טבלה2[City],טבלה23[[#This Row],[City]],טבלה2[Attendance14])</f>
        <v>208429</v>
      </c>
      <c r="R4" s="16">
        <f>SUMIF(טבלה2[City],טבלה23[[#This Row],[City]],טבלה2[Arrests15])</f>
        <v>65</v>
      </c>
      <c r="S4" s="18">
        <f>טבלה23[[#This Row],[Arrests15]]/טבלה23[[#This Row],[Attendance14]]</f>
        <v>3.1185679535957091E-4</v>
      </c>
      <c r="T4" s="16">
        <f>SUMIF(טבלה2[City],טבלה23[[#This Row],[City]],טבלה2[Attendance17])</f>
        <v>241462</v>
      </c>
      <c r="U4" s="16">
        <f>SUMIF(טבלה2[City],טבלה23[[#This Row],[City]],טבלה2[Arrests18])</f>
        <v>50</v>
      </c>
      <c r="V4" s="18">
        <f>טבלה23[[#This Row],[Arrests18]]/טבלה23[[#This Row],[Attendance17]]</f>
        <v>2.0707192021933058E-4</v>
      </c>
    </row>
    <row r="5" spans="1:22" x14ac:dyDescent="0.3">
      <c r="A5" s="19" t="s">
        <v>79</v>
      </c>
      <c r="B5" s="16">
        <f>SUMIF(טבלה2[City],טבלה23[[#This Row],[City]],טבלה2[Attendance])</f>
        <v>285509</v>
      </c>
      <c r="C5" s="16">
        <f>SUMIF(טבלה2[City],טבלה23[[#This Row],[City]],טבלה2[Arrests])</f>
        <v>197</v>
      </c>
      <c r="D5" s="18">
        <f>טבלה23[[#This Row],[Arrests]]/טבלה23[[#This Row],[Attendance]]</f>
        <v>6.8999576195496461E-4</v>
      </c>
      <c r="E5" s="16">
        <f>SUMIF(טבלה2[City],טבלה23[[#This Row],[City]],טבלה2[Attendance2])</f>
        <v>242007</v>
      </c>
      <c r="F5" s="16">
        <f>SUMIF(טבלה2[City],טבלה23[[#This Row],[City]],טבלה2[Arrests3])</f>
        <v>85</v>
      </c>
      <c r="G5" s="18">
        <f>טבלה23[[#This Row],[Arrests3]]/טבלה23[[#This Row],[Attendance2]]</f>
        <v>3.512295098902098E-4</v>
      </c>
      <c r="H5" s="16">
        <f>SUMIF(טבלה2[City],טבלה23[[#This Row],[City]],טבלה2[Attendance5])</f>
        <v>199041</v>
      </c>
      <c r="I5" s="16">
        <f>SUMIF(טבלה2[City],טבלה23[[#This Row],[City]],טבלה2[Arrests6])</f>
        <v>69</v>
      </c>
      <c r="J5" s="18">
        <f>טבלה23[[#This Row],[Arrests6]]/טבלה23[[#This Row],[Attendance5]]</f>
        <v>3.4666224546701436E-4</v>
      </c>
      <c r="K5" s="16">
        <f>SUMIF(טבלה2[City],טבלה23[[#This Row],[City]],טבלה2[Attendance8])</f>
        <v>138757</v>
      </c>
      <c r="L5" s="16">
        <f>SUMIF(טבלה2[City],טבלה23[[#This Row],[City]],טבלה2[Arrests9])</f>
        <v>9</v>
      </c>
      <c r="M5" s="18">
        <f>טבלה23[[#This Row],[Arrests9]]/טבלה23[[#This Row],[Attendance8]]</f>
        <v>6.4861592568302858E-5</v>
      </c>
      <c r="N5" s="16">
        <f>SUMIF(טבלה2[City],טבלה23[[#This Row],[City]],טבלה2[Attendance11])</f>
        <v>140653</v>
      </c>
      <c r="O5" s="16">
        <f>SUMIF(טבלה2[City],טבלה23[[#This Row],[City]],טבלה2[Arrests12])</f>
        <v>25</v>
      </c>
      <c r="P5" s="18">
        <f>טבלה23[[#This Row],[Arrests12]]/טבלה23[[#This Row],[Attendance11]]</f>
        <v>1.7774238729355223E-4</v>
      </c>
      <c r="Q5" s="16">
        <f>SUMIF(טבלה2[City],טבלה23[[#This Row],[City]],טבלה2[Attendance14])</f>
        <v>151374</v>
      </c>
      <c r="R5" s="16">
        <f>SUMIF(טבלה2[City],טבלה23[[#This Row],[City]],טבלה2[Arrests15])</f>
        <v>20</v>
      </c>
      <c r="S5" s="18">
        <f>טבלה23[[#This Row],[Arrests15]]/טבלה23[[#This Row],[Attendance14]]</f>
        <v>1.3212308586679352E-4</v>
      </c>
      <c r="T5" s="16">
        <f>SUMIF(טבלה2[City],טבלה23[[#This Row],[City]],טבלה2[Attendance17])</f>
        <v>147095</v>
      </c>
      <c r="U5" s="16">
        <f>SUMIF(טבלה2[City],טבלה23[[#This Row],[City]],טבלה2[Arrests18])</f>
        <v>33</v>
      </c>
      <c r="V5" s="18">
        <f>טבלה23[[#This Row],[Arrests18]]/טבלה23[[#This Row],[Attendance17]]</f>
        <v>2.243448111764506E-4</v>
      </c>
    </row>
    <row r="6" spans="1:22" x14ac:dyDescent="0.3">
      <c r="A6" s="19" t="s">
        <v>30</v>
      </c>
      <c r="B6" s="16">
        <f>SUMIF(טבלה2[City],טבלה23[[#This Row],[City]],טבלה2[Attendance])</f>
        <v>312206</v>
      </c>
      <c r="C6" s="16">
        <f>SUMIF(טבלה2[City],טבלה23[[#This Row],[City]],טבלה2[Arrests])</f>
        <v>179</v>
      </c>
      <c r="D6" s="18">
        <f>טבלה23[[#This Row],[Arrests]]/טבלה23[[#This Row],[Attendance]]</f>
        <v>5.7333939770536123E-4</v>
      </c>
      <c r="E6" s="16">
        <f>SUMIF(טבלה2[City],טבלה23[[#This Row],[City]],טבלה2[Attendance2])</f>
        <v>330216</v>
      </c>
      <c r="F6" s="16">
        <f>SUMIF(טבלה2[City],טבלה23[[#This Row],[City]],טבלה2[Arrests3])</f>
        <v>184</v>
      </c>
      <c r="G6" s="18">
        <f>טבלה23[[#This Row],[Arrests3]]/טבלה23[[#This Row],[Attendance2]]</f>
        <v>5.572110376238583E-4</v>
      </c>
      <c r="H6" s="16">
        <f>SUMIF(טבלה2[City],טבלה23[[#This Row],[City]],טבלה2[Attendance5])</f>
        <v>333895</v>
      </c>
      <c r="I6" s="16">
        <f>SUMIF(טבלה2[City],טבלה23[[#This Row],[City]],טבלה2[Arrests6])</f>
        <v>112</v>
      </c>
      <c r="J6" s="18">
        <f>טבלה23[[#This Row],[Arrests6]]/טבלה23[[#This Row],[Attendance5]]</f>
        <v>3.3543479237484837E-4</v>
      </c>
      <c r="K6" s="16">
        <f>SUMIF(טבלה2[City],טבלה23[[#This Row],[City]],טבלה2[Attendance8])</f>
        <v>300456</v>
      </c>
      <c r="L6" s="16">
        <f>SUMIF(טבלה2[City],טבלה23[[#This Row],[City]],טבלה2[Arrests9])</f>
        <v>32</v>
      </c>
      <c r="M6" s="18">
        <f>טבלה23[[#This Row],[Arrests9]]/טבלה23[[#This Row],[Attendance8]]</f>
        <v>1.0650477940197567E-4</v>
      </c>
      <c r="N6" s="16">
        <f>SUMIF(טבלה2[City],טבלה23[[#This Row],[City]],טבלה2[Attendance11])</f>
        <v>370476</v>
      </c>
      <c r="O6" s="16">
        <f>SUMIF(טבלה2[City],טבלה23[[#This Row],[City]],טבלה2[Arrests12])</f>
        <v>78</v>
      </c>
      <c r="P6" s="18">
        <f>טבלה23[[#This Row],[Arrests12]]/טבלה23[[#This Row],[Attendance11]]</f>
        <v>2.1053995400511775E-4</v>
      </c>
      <c r="Q6" s="16">
        <f>SUMIF(טבלה2[City],טבלה23[[#This Row],[City]],טבלה2[Attendance14])</f>
        <v>427537</v>
      </c>
      <c r="R6" s="16">
        <f>SUMIF(טבלה2[City],טבלה23[[#This Row],[City]],טבלה2[Arrests15])</f>
        <v>71</v>
      </c>
      <c r="S6" s="18">
        <f>טבלה23[[#This Row],[Arrests15]]/טבלה23[[#This Row],[Attendance14]]</f>
        <v>1.660674982516133E-4</v>
      </c>
      <c r="T6" s="16">
        <f>SUMIF(טבלה2[City],טבלה23[[#This Row],[City]],טבלה2[Attendance17])</f>
        <v>333553</v>
      </c>
      <c r="U6" s="16">
        <f>SUMIF(טבלה2[City],טבלה23[[#This Row],[City]],טבלה2[Arrests18])</f>
        <v>73</v>
      </c>
      <c r="V6" s="18">
        <f>טבלה23[[#This Row],[Arrests18]]/טבלה23[[#This Row],[Attendance17]]</f>
        <v>2.188557740449044E-4</v>
      </c>
    </row>
    <row r="7" spans="1:22" x14ac:dyDescent="0.3">
      <c r="A7" s="19" t="s">
        <v>36</v>
      </c>
      <c r="B7" s="16">
        <f>SUMIF(טבלה2[City],טבלה23[[#This Row],[City]],טבלה2[Attendance])</f>
        <v>144770</v>
      </c>
      <c r="C7" s="16">
        <f>SUMIF(טבלה2[City],טבלה23[[#This Row],[City]],טבלה2[Arrests])</f>
        <v>90</v>
      </c>
      <c r="D7" s="18">
        <f>טבלה23[[#This Row],[Arrests]]/טבלה23[[#This Row],[Attendance]]</f>
        <v>6.2167576155280793E-4</v>
      </c>
      <c r="E7" s="16">
        <f>SUMIF(טבלה2[City],טבלה23[[#This Row],[City]],טבלה2[Attendance2])</f>
        <v>162583</v>
      </c>
      <c r="F7" s="16">
        <f>SUMIF(טבלה2[City],טבלה23[[#This Row],[City]],טבלה2[Arrests3])</f>
        <v>47</v>
      </c>
      <c r="G7" s="18">
        <f>טבלה23[[#This Row],[Arrests3]]/טבלה23[[#This Row],[Attendance2]]</f>
        <v>2.890831144707626E-4</v>
      </c>
      <c r="H7" s="16">
        <f>SUMIF(טבלה2[City],טבלה23[[#This Row],[City]],טבלה2[Attendance5])</f>
        <v>142967</v>
      </c>
      <c r="I7" s="16">
        <f>SUMIF(טבלה2[City],טבלה23[[#This Row],[City]],טבלה2[Arrests6])</f>
        <v>47</v>
      </c>
      <c r="J7" s="18">
        <f>טבלה23[[#This Row],[Arrests6]]/טבלה23[[#This Row],[Attendance5]]</f>
        <v>3.2874719340826906E-4</v>
      </c>
      <c r="K7" s="16">
        <f>SUMIF(טבלה2[City],טבלה23[[#This Row],[City]],טבלה2[Attendance8])</f>
        <v>169424</v>
      </c>
      <c r="L7" s="16">
        <f>SUMIF(טבלה2[City],טבלה23[[#This Row],[City]],טבלה2[Arrests9])</f>
        <v>22</v>
      </c>
      <c r="M7" s="18">
        <f>טבלה23[[#This Row],[Arrests9]]/טבלה23[[#This Row],[Attendance8]]</f>
        <v>1.2985173293039948E-4</v>
      </c>
      <c r="N7" s="16">
        <f>SUMIF(טבלה2[City],טבלה23[[#This Row],[City]],טבלה2[Attendance11])</f>
        <v>231466</v>
      </c>
      <c r="O7" s="16">
        <f>SUMIF(טבלה2[City],טבלה23[[#This Row],[City]],טבלה2[Arrests12])</f>
        <v>48</v>
      </c>
      <c r="P7" s="18">
        <f>טבלה23[[#This Row],[Arrests12]]/טבלה23[[#This Row],[Attendance11]]</f>
        <v>2.0737386916436972E-4</v>
      </c>
      <c r="Q7" s="16">
        <f>SUMIF(טבלה2[City],טבלה23[[#This Row],[City]],טבלה2[Attendance14])</f>
        <v>242347</v>
      </c>
      <c r="R7" s="16">
        <f>SUMIF(טבלה2[City],טבלה23[[#This Row],[City]],טבלה2[Arrests15])</f>
        <v>71</v>
      </c>
      <c r="S7" s="18">
        <f>טבלה23[[#This Row],[Arrests15]]/טבלה23[[#This Row],[Attendance14]]</f>
        <v>2.9296834703957547E-4</v>
      </c>
      <c r="T7" s="16">
        <f>SUMIF(טבלה2[City],טבלה23[[#This Row],[City]],טבלה2[Attendance17])</f>
        <v>259283</v>
      </c>
      <c r="U7" s="16">
        <f>SUMIF(טבלה2[City],טבלה23[[#This Row],[City]],טבלה2[Arrests18])</f>
        <v>23</v>
      </c>
      <c r="V7" s="18">
        <f>טבלה23[[#This Row],[Arrests18]]/טבלה23[[#This Row],[Attendance17]]</f>
        <v>8.87061627642383E-5</v>
      </c>
    </row>
    <row r="8" spans="1:22" x14ac:dyDescent="0.3">
      <c r="A8" s="19" t="s">
        <v>37</v>
      </c>
      <c r="B8" s="16">
        <f>SUMIF(טבלה2[City],טבלה23[[#This Row],[City]],טבלה2[Attendance])</f>
        <v>58997</v>
      </c>
      <c r="C8" s="16">
        <f>SUMIF(טבלה2[City],טבלה23[[#This Row],[City]],טבלה2[Arrests])</f>
        <v>5</v>
      </c>
      <c r="D8" s="18">
        <f>טבלה23[[#This Row],[Arrests]]/טבלה23[[#This Row],[Attendance]]</f>
        <v>8.4750072037561233E-5</v>
      </c>
      <c r="E8" s="16">
        <f>SUMIF(טבלה2[City],טבלה23[[#This Row],[City]],טבלה2[Attendance2])</f>
        <v>77346</v>
      </c>
      <c r="F8" s="16">
        <f>SUMIF(טבלה2[City],טבלה23[[#This Row],[City]],טבלה2[Arrests3])</f>
        <v>27</v>
      </c>
      <c r="G8" s="18">
        <f>טבלה23[[#This Row],[Arrests3]]/טבלה23[[#This Row],[Attendance2]]</f>
        <v>3.4908075401442868E-4</v>
      </c>
      <c r="H8" s="16">
        <f>SUMIF(טבלה2[City],טבלה23[[#This Row],[City]],טבלה2[Attendance5])</f>
        <v>79210</v>
      </c>
      <c r="I8" s="16">
        <f>SUMIF(טבלה2[City],טבלה23[[#This Row],[City]],טבלה2[Arrests6])</f>
        <v>27</v>
      </c>
      <c r="J8" s="18">
        <f>טבלה23[[#This Row],[Arrests6]]/טבלה23[[#This Row],[Attendance5]]</f>
        <v>3.40866052266128E-4</v>
      </c>
      <c r="K8" s="16">
        <f>SUMIF(טבלה2[City],טבלה23[[#This Row],[City]],טבלה2[Attendance8])</f>
        <v>61844</v>
      </c>
      <c r="L8" s="16">
        <f>SUMIF(טבלה2[City],טבלה23[[#This Row],[City]],טבלה2[Arrests9])</f>
        <v>11</v>
      </c>
      <c r="M8" s="18">
        <f>טבלה23[[#This Row],[Arrests9]]/טבלה23[[#This Row],[Attendance8]]</f>
        <v>1.7786689088674729E-4</v>
      </c>
      <c r="N8" s="16">
        <f>SUMIF(טבלה2[City],טבלה23[[#This Row],[City]],טבלה2[Attendance11])</f>
        <v>66734</v>
      </c>
      <c r="O8" s="16">
        <f>SUMIF(טבלה2[City],טבלה23[[#This Row],[City]],טבלה2[Arrests12])</f>
        <v>7</v>
      </c>
      <c r="P8" s="18">
        <f>טבלה23[[#This Row],[Arrests12]]/טבלה23[[#This Row],[Attendance11]]</f>
        <v>1.0489405700242755E-4</v>
      </c>
      <c r="Q8" s="16">
        <f>SUMIF(טבלה2[City],טבלה23[[#This Row],[City]],טבלה2[Attendance14])</f>
        <v>56067</v>
      </c>
      <c r="R8" s="16">
        <f>SUMIF(טבלה2[City],טבלה23[[#This Row],[City]],טבלה2[Arrests15])</f>
        <v>12</v>
      </c>
      <c r="S8" s="18">
        <f>טבלה23[[#This Row],[Arrests15]]/טבלה23[[#This Row],[Attendance14]]</f>
        <v>2.1402964310557012E-4</v>
      </c>
      <c r="T8" s="16">
        <f>SUMIF(טבלה2[City],טבלה23[[#This Row],[City]],טבלה2[Attendance17])</f>
        <v>54529</v>
      </c>
      <c r="U8" s="16">
        <f>SUMIF(טבלה2[City],טבלה23[[#This Row],[City]],טבלה2[Arrests18])</f>
        <v>4</v>
      </c>
      <c r="V8" s="18">
        <f>טבלה23[[#This Row],[Arrests18]]/טבלה23[[#This Row],[Attendance17]]</f>
        <v>7.3355462231106382E-5</v>
      </c>
    </row>
    <row r="9" spans="1:22" x14ac:dyDescent="0.3">
      <c r="A9" s="19" t="s">
        <v>80</v>
      </c>
      <c r="B9" s="16">
        <f>SUMIF(טבלה2[City],טבלה23[[#This Row],[City]],טבלה2[Attendance])</f>
        <v>52896</v>
      </c>
      <c r="C9" s="16">
        <f>SUMIF(טבלה2[City],טבלה23[[#This Row],[City]],טבלה2[Arrests])</f>
        <v>29</v>
      </c>
      <c r="D9" s="18">
        <f>טבלה23[[#This Row],[Arrests]]/טבלה23[[#This Row],[Attendance]]</f>
        <v>5.4824561403508769E-4</v>
      </c>
      <c r="E9" s="16">
        <f>SUMIF(טבלה2[City],טבלה23[[#This Row],[City]],טבלה2[Attendance2])</f>
        <v>59655</v>
      </c>
      <c r="F9" s="16">
        <f>SUMIF(טבלה2[City],טבלה23[[#This Row],[City]],טבלה2[Arrests3])</f>
        <v>17</v>
      </c>
      <c r="G9" s="18">
        <f>טבלה23[[#This Row],[Arrests3]]/טבלה23[[#This Row],[Attendance2]]</f>
        <v>2.8497192188416728E-4</v>
      </c>
      <c r="H9" s="16">
        <f>SUMIF(טבלה2[City],טבלה23[[#This Row],[City]],טבלה2[Attendance5])</f>
        <v>45349</v>
      </c>
      <c r="I9" s="16">
        <f>SUMIF(טבלה2[City],טבלה23[[#This Row],[City]],טבלה2[Arrests6])</f>
        <v>1</v>
      </c>
      <c r="J9" s="18">
        <f>טבלה23[[#This Row],[Arrests6]]/טבלה23[[#This Row],[Attendance5]]</f>
        <v>2.205120289311782E-5</v>
      </c>
      <c r="K9" s="16">
        <f>SUMIF(טבלה2[City],טבלה23[[#This Row],[City]],טבלה2[Attendance8])</f>
        <v>116542</v>
      </c>
      <c r="L9" s="16">
        <f>SUMIF(טבלה2[City],טבלה23[[#This Row],[City]],טבלה2[Arrests9])</f>
        <v>3</v>
      </c>
      <c r="M9" s="18">
        <f>טבלה23[[#This Row],[Arrests9]]/טבלה23[[#This Row],[Attendance8]]</f>
        <v>2.5741792658440732E-5</v>
      </c>
      <c r="N9" s="16">
        <f>SUMIF(טבלה2[City],טבלה23[[#This Row],[City]],טבלה2[Attendance11])</f>
        <v>162804</v>
      </c>
      <c r="O9" s="16">
        <f>SUMIF(טבלה2[City],טבלה23[[#This Row],[City]],טבלה2[Arrests12])</f>
        <v>9</v>
      </c>
      <c r="P9" s="18">
        <f>טבלה23[[#This Row],[Arrests12]]/טבלה23[[#This Row],[Attendance11]]</f>
        <v>5.5281197022186185E-5</v>
      </c>
      <c r="Q9" s="16">
        <f>SUMIF(טבלה2[City],טבלה23[[#This Row],[City]],טבלה2[Attendance14])</f>
        <v>127526</v>
      </c>
      <c r="R9" s="16">
        <f>SUMIF(טבלה2[City],טבלה23[[#This Row],[City]],טבלה2[Arrests15])</f>
        <v>26</v>
      </c>
      <c r="S9" s="18">
        <f>טבלה23[[#This Row],[Arrests15]]/טבלה23[[#This Row],[Attendance14]]</f>
        <v>2.0387999309944639E-4</v>
      </c>
      <c r="T9" s="16">
        <f>SUMIF(טבלה2[City],טבלה23[[#This Row],[City]],טבלה2[Attendance17])</f>
        <v>84773</v>
      </c>
      <c r="U9" s="16">
        <f>SUMIF(טבלה2[City],טבלה23[[#This Row],[City]],טבלה2[Arrests18])</f>
        <v>6</v>
      </c>
      <c r="V9" s="18">
        <f>טבלה23[[#This Row],[Arrests18]]/טבלה23[[#This Row],[Attendance17]]</f>
        <v>7.0777252191145764E-5</v>
      </c>
    </row>
    <row r="10" spans="1:22" x14ac:dyDescent="0.3">
      <c r="A10" s="19" t="s">
        <v>81</v>
      </c>
      <c r="B10" s="16">
        <f>SUMIF(טבלה2[City],טבלה23[[#This Row],[City]],טבלה2[Attendance])</f>
        <v>101752</v>
      </c>
      <c r="C10" s="16">
        <f>SUMIF(טבלה2[City],טבלה23[[#This Row],[City]],טבלה2[Arrests])</f>
        <v>43</v>
      </c>
      <c r="D10" s="18">
        <f>טבלה23[[#This Row],[Arrests]]/טבלה23[[#This Row],[Attendance]]</f>
        <v>4.2259611604685904E-4</v>
      </c>
      <c r="E10" s="16">
        <f>SUMIF(טבלה2[City],טבלה23[[#This Row],[City]],טבלה2[Attendance2])</f>
        <v>100643</v>
      </c>
      <c r="F10" s="16">
        <f>SUMIF(טבלה2[City],טבלה23[[#This Row],[City]],טבלה2[Arrests3])</f>
        <v>16</v>
      </c>
      <c r="G10" s="18">
        <f>טבלה23[[#This Row],[Arrests3]]/טבלה23[[#This Row],[Attendance2]]</f>
        <v>1.5897777292012361E-4</v>
      </c>
      <c r="H10" s="16">
        <f>SUMIF(טבלה2[City],טבלה23[[#This Row],[City]],טבלה2[Attendance5])</f>
        <v>84304</v>
      </c>
      <c r="I10" s="16">
        <f>SUMIF(טבלה2[City],טבלה23[[#This Row],[City]],טבלה2[Arrests6])</f>
        <v>32</v>
      </c>
      <c r="J10" s="18">
        <f>טבלה23[[#This Row],[Arrests6]]/טבלה23[[#This Row],[Attendance5]]</f>
        <v>3.7957866767887642E-4</v>
      </c>
      <c r="K10" s="16">
        <f>SUMIF(טבלה2[City],טבלה23[[#This Row],[City]],טבלה2[Attendance8])</f>
        <v>67989</v>
      </c>
      <c r="L10" s="16">
        <f>SUMIF(טבלה2[City],טבלה23[[#This Row],[City]],טבלה2[Arrests9])</f>
        <v>8</v>
      </c>
      <c r="M10" s="18">
        <f>טבלה23[[#This Row],[Arrests9]]/טבלה23[[#This Row],[Attendance8]]</f>
        <v>1.1766609304446308E-4</v>
      </c>
      <c r="N10" s="16">
        <f>SUMIF(טבלה2[City],טבלה23[[#This Row],[City]],טבלה2[Attendance11])</f>
        <v>136300</v>
      </c>
      <c r="O10" s="16">
        <f>SUMIF(טבלה2[City],טבלה23[[#This Row],[City]],טבלה2[Arrests12])</f>
        <v>8</v>
      </c>
      <c r="P10" s="18">
        <f>טבלה23[[#This Row],[Arrests12]]/טבלה23[[#This Row],[Attendance11]]</f>
        <v>5.8694057226705793E-5</v>
      </c>
      <c r="Q10" s="16">
        <f>SUMIF(טבלה2[City],טבלה23[[#This Row],[City]],טבלה2[Attendance14])</f>
        <v>179752</v>
      </c>
      <c r="R10" s="16">
        <f>SUMIF(טבלה2[City],טבלה23[[#This Row],[City]],טבלה2[Arrests15])</f>
        <v>14</v>
      </c>
      <c r="S10" s="18">
        <f>טבלה23[[#This Row],[Arrests15]]/טבלה23[[#This Row],[Attendance14]]</f>
        <v>7.7885086118652361E-5</v>
      </c>
      <c r="T10" s="16">
        <f>SUMIF(טבלה2[City],טבלה23[[#This Row],[City]],טבלה2[Attendance17])</f>
        <v>139150</v>
      </c>
      <c r="U10" s="16">
        <f>SUMIF(טבלה2[City],טבלה23[[#This Row],[City]],טבלה2[Arrests18])</f>
        <v>15</v>
      </c>
      <c r="V10" s="18">
        <f>טבלה23[[#This Row],[Arrests18]]/טבלה23[[#This Row],[Attendance17]]</f>
        <v>1.0779734099892202E-4</v>
      </c>
    </row>
    <row r="11" spans="1:22" x14ac:dyDescent="0.3">
      <c r="A11" s="19" t="s">
        <v>82</v>
      </c>
      <c r="B11" s="16">
        <f>SUMIF(טבלה2[City],טבלה23[[#This Row],[City]],טבלה2[Attendance])</f>
        <v>51282</v>
      </c>
      <c r="C11" s="16">
        <f>SUMIF(טבלה2[City],טבלה23[[#This Row],[City]],טבלה2[Arrests])</f>
        <v>27</v>
      </c>
      <c r="D11" s="18">
        <f>טבלה23[[#This Row],[Arrests]]/טבלה23[[#This Row],[Attendance]]</f>
        <v>5.265005265005265E-4</v>
      </c>
      <c r="E11" s="16">
        <f>SUMIF(טבלה2[City],טבלה23[[#This Row],[City]],טבלה2[Attendance2])</f>
        <v>73696</v>
      </c>
      <c r="F11" s="16">
        <f>SUMIF(טבלה2[City],טבלה23[[#This Row],[City]],טבלה2[Arrests3])</f>
        <v>17</v>
      </c>
      <c r="G11" s="18">
        <f>טבלה23[[#This Row],[Arrests3]]/טבלה23[[#This Row],[Attendance2]]</f>
        <v>2.3067737733391229E-4</v>
      </c>
      <c r="H11" s="16">
        <f>SUMIF(טבלה2[City],טבלה23[[#This Row],[City]],טבלה2[Attendance5])</f>
        <v>107959</v>
      </c>
      <c r="I11" s="16">
        <f>SUMIF(טבלה2[City],טבלה23[[#This Row],[City]],טבלה2[Arrests6])</f>
        <v>15</v>
      </c>
      <c r="J11" s="18">
        <f>טבלה23[[#This Row],[Arrests6]]/טבלה23[[#This Row],[Attendance5]]</f>
        <v>1.3894163525041915E-4</v>
      </c>
      <c r="K11" s="16">
        <f>SUMIF(טבלה2[City],טבלה23[[#This Row],[City]],טבלה2[Attendance8])</f>
        <v>64655</v>
      </c>
      <c r="L11" s="16">
        <f>SUMIF(טבלה2[City],טבלה23[[#This Row],[City]],טבלה2[Arrests9])</f>
        <v>14</v>
      </c>
      <c r="M11" s="18">
        <f>טבלה23[[#This Row],[Arrests9]]/טבלה23[[#This Row],[Attendance8]]</f>
        <v>2.1653391075709535E-4</v>
      </c>
      <c r="N11" s="16">
        <f>SUMIF(טבלה2[City],טבלה23[[#This Row],[City]],טבלה2[Attendance11])</f>
        <v>53568</v>
      </c>
      <c r="O11" s="16">
        <f>SUMIF(טבלה2[City],טבלה23[[#This Row],[City]],טבלה2[Arrests12])</f>
        <v>19</v>
      </c>
      <c r="P11" s="18">
        <f>טבלה23[[#This Row],[Arrests12]]/טבלה23[[#This Row],[Attendance11]]</f>
        <v>3.54689366786141E-4</v>
      </c>
      <c r="Q11" s="16">
        <f>SUMIF(טבלה2[City],טבלה23[[#This Row],[City]],טבלה2[Attendance14])</f>
        <v>75821</v>
      </c>
      <c r="R11" s="16">
        <f>SUMIF(טבלה2[City],טבלה23[[#This Row],[City]],טבלה2[Arrests15])</f>
        <v>12</v>
      </c>
      <c r="S11" s="18">
        <f>טבלה23[[#This Row],[Arrests15]]/טבלה23[[#This Row],[Attendance14]]</f>
        <v>1.5826749845029742E-4</v>
      </c>
      <c r="T11" s="16">
        <f>SUMIF(טבלה2[City],טבלה23[[#This Row],[City]],טבלה2[Attendance17])</f>
        <v>116244</v>
      </c>
      <c r="U11" s="16">
        <f>SUMIF(טבלה2[City],טבלה23[[#This Row],[City]],טבלה2[Arrests18])</f>
        <v>16</v>
      </c>
      <c r="V11" s="18">
        <f>טבלה23[[#This Row],[Arrests18]]/טבלה23[[#This Row],[Attendance17]]</f>
        <v>1.3764151268022434E-4</v>
      </c>
    </row>
    <row r="12" spans="1:22" x14ac:dyDescent="0.3">
      <c r="A12" s="19" t="s">
        <v>83</v>
      </c>
      <c r="B12" s="16">
        <f>SUMIF(טבלה2[City],טבלה23[[#This Row],[City]],טבלה2[Attendance])</f>
        <v>58967</v>
      </c>
      <c r="C12" s="16">
        <f>SUMIF(טבלה2[City],טבלה23[[#This Row],[City]],טבלה2[Arrests])</f>
        <v>22</v>
      </c>
      <c r="D12" s="18">
        <f>טבלה23[[#This Row],[Arrests]]/טבלה23[[#This Row],[Attendance]]</f>
        <v>3.7309003340851664E-4</v>
      </c>
      <c r="E12" s="16">
        <f>SUMIF(טבלה2[City],טבלה23[[#This Row],[City]],טבלה2[Attendance2])</f>
        <v>70119</v>
      </c>
      <c r="F12" s="16">
        <f>SUMIF(טבלה2[City],טבלה23[[#This Row],[City]],טבלה2[Arrests3])</f>
        <v>20</v>
      </c>
      <c r="G12" s="18">
        <f>טבלה23[[#This Row],[Arrests3]]/טבלה23[[#This Row],[Attendance2]]</f>
        <v>2.8522939574152512E-4</v>
      </c>
      <c r="H12" s="16">
        <f>SUMIF(טבלה2[City],טבלה23[[#This Row],[City]],טבלה2[Attendance5])</f>
        <v>55914</v>
      </c>
      <c r="I12" s="16">
        <f>SUMIF(טבלה2[City],טבלה23[[#This Row],[City]],טבלה2[Arrests6])</f>
        <v>46</v>
      </c>
      <c r="J12" s="18">
        <f>טבלה23[[#This Row],[Arrests6]]/טבלה23[[#This Row],[Attendance5]]</f>
        <v>8.2269199127231105E-4</v>
      </c>
      <c r="K12" s="16">
        <f>SUMIF(טבלה2[City],טבלה23[[#This Row],[City]],טבלה2[Attendance8])</f>
        <v>24040</v>
      </c>
      <c r="L12" s="16">
        <f>SUMIF(טבלה2[City],טבלה23[[#This Row],[City]],טבלה2[Arrests9])</f>
        <v>0</v>
      </c>
      <c r="M12" s="18">
        <f>טבלה23[[#This Row],[Arrests9]]/טבלה23[[#This Row],[Attendance8]]</f>
        <v>0</v>
      </c>
      <c r="N12" s="16">
        <f>SUMIF(טבלה2[City],טבלה23[[#This Row],[City]],טבלה2[Attendance11])</f>
        <v>42711</v>
      </c>
      <c r="O12" s="16">
        <f>SUMIF(טבלה2[City],טבלה23[[#This Row],[City]],טבלה2[Arrests12])</f>
        <v>11</v>
      </c>
      <c r="P12" s="18">
        <f>טבלה23[[#This Row],[Arrests12]]/טבלה23[[#This Row],[Attendance11]]</f>
        <v>2.5754489475779071E-4</v>
      </c>
      <c r="Q12" s="16">
        <f>SUMIF(טבלה2[City],טבלה23[[#This Row],[City]],טבלה2[Attendance14])</f>
        <v>68806</v>
      </c>
      <c r="R12" s="16">
        <f>SUMIF(טבלה2[City],טבלה23[[#This Row],[City]],טבלה2[Arrests15])</f>
        <v>29</v>
      </c>
      <c r="S12" s="18">
        <f>טבלה23[[#This Row],[Arrests15]]/טבלה23[[#This Row],[Attendance14]]</f>
        <v>4.2147487137749617E-4</v>
      </c>
      <c r="T12" s="16">
        <f>SUMIF(טבלה2[City],טבלה23[[#This Row],[City]],טבלה2[Attendance17])</f>
        <v>67008</v>
      </c>
      <c r="U12" s="16">
        <f>SUMIF(טבלה2[City],טבלה23[[#This Row],[City]],טבלה2[Arrests18])</f>
        <v>30</v>
      </c>
      <c r="V12" s="18">
        <f>טבלה23[[#This Row],[Arrests18]]/טבלה23[[#This Row],[Attendance17]]</f>
        <v>4.4770773638968484E-4</v>
      </c>
    </row>
    <row r="13" spans="1:22" x14ac:dyDescent="0.3">
      <c r="A13" s="19" t="s">
        <v>42</v>
      </c>
      <c r="B13" s="16">
        <f>SUMIF(טבלה2[City],טבלה23[[#This Row],[City]],טבלה2[Attendance])</f>
        <v>61239</v>
      </c>
      <c r="C13" s="16">
        <f>SUMIF(טבלה2[City],טבלה23[[#This Row],[City]],טבלה2[Arrests])</f>
        <v>21</v>
      </c>
      <c r="D13" s="18">
        <f>טבלה23[[#This Row],[Arrests]]/טבלה23[[#This Row],[Attendance]]</f>
        <v>3.4291872826140203E-4</v>
      </c>
      <c r="E13" s="16">
        <f>SUMIF(טבלה2[City],טבלה23[[#This Row],[City]],טבלה2[Attendance2])</f>
        <v>86746</v>
      </c>
      <c r="F13" s="16">
        <f>SUMIF(טבלה2[City],טבלה23[[#This Row],[City]],טבלה2[Arrests3])</f>
        <v>44</v>
      </c>
      <c r="G13" s="18">
        <f>טבלה23[[#This Row],[Arrests3]]/טבלה23[[#This Row],[Attendance2]]</f>
        <v>5.0722799898554399E-4</v>
      </c>
      <c r="H13" s="16">
        <f>SUMIF(טבלה2[City],טבלה23[[#This Row],[City]],טבלה2[Attendance5])</f>
        <v>98265</v>
      </c>
      <c r="I13" s="16">
        <f>SUMIF(טבלה2[City],טבלה23[[#This Row],[City]],טבלה2[Arrests6])</f>
        <v>54</v>
      </c>
      <c r="J13" s="18">
        <f>טבלה23[[#This Row],[Arrests6]]/טבלה23[[#This Row],[Attendance5]]</f>
        <v>5.4953442222561446E-4</v>
      </c>
      <c r="K13" s="16">
        <f>SUMIF(טבלה2[City],טבלה23[[#This Row],[City]],טבלה2[Attendance8])</f>
        <v>72805</v>
      </c>
      <c r="L13" s="16">
        <f>SUMIF(טבלה2[City],טבלה23[[#This Row],[City]],טבלה2[Arrests9])</f>
        <v>9</v>
      </c>
      <c r="M13" s="18">
        <f>טבלה23[[#This Row],[Arrests9]]/טבלה23[[#This Row],[Attendance8]]</f>
        <v>1.2361788338713001E-4</v>
      </c>
      <c r="N13" s="16">
        <f>SUMIF(טבלה2[City],טבלה23[[#This Row],[City]],טבלה2[Attendance11])</f>
        <v>75664</v>
      </c>
      <c r="O13" s="16">
        <f>SUMIF(טבלה2[City],טבלה23[[#This Row],[City]],טבלה2[Arrests12])</f>
        <v>12</v>
      </c>
      <c r="P13" s="18">
        <f>טבלה23[[#This Row],[Arrests12]]/טבלה23[[#This Row],[Attendance11]]</f>
        <v>1.585958976527807E-4</v>
      </c>
      <c r="Q13" s="16">
        <f>SUMIF(טבלה2[City],טבלה23[[#This Row],[City]],טבלה2[Attendance14])</f>
        <v>67468</v>
      </c>
      <c r="R13" s="16">
        <f>SUMIF(טבלה2[City],טבלה23[[#This Row],[City]],טבלה2[Arrests15])</f>
        <v>23</v>
      </c>
      <c r="S13" s="18">
        <f>טבלה23[[#This Row],[Arrests15]]/טבלה23[[#This Row],[Attendance14]]</f>
        <v>3.4090235370842472E-4</v>
      </c>
      <c r="T13" s="16">
        <f>SUMIF(טבלה2[City],טבלה23[[#This Row],[City]],טבלה2[Attendance17])</f>
        <v>66958</v>
      </c>
      <c r="U13" s="16">
        <f>SUMIF(טבלה2[City],טבלה23[[#This Row],[City]],טבלה2[Arrests18])</f>
        <v>33</v>
      </c>
      <c r="V13" s="18">
        <f>טבלה23[[#This Row],[Arrests18]]/טבלה23[[#This Row],[Attendance17]]</f>
        <v>4.9284626183577769E-4</v>
      </c>
    </row>
    <row r="14" spans="1:22" x14ac:dyDescent="0.3">
      <c r="A14" s="19" t="s">
        <v>43</v>
      </c>
      <c r="B14" s="16">
        <f>SUMIF(טבלה2[City],טבלה23[[#This Row],[City]],טבלה2[Attendance])</f>
        <v>40607</v>
      </c>
      <c r="C14" s="16">
        <f>SUMIF(טבלה2[City],טבלה23[[#This Row],[City]],טבלה2[Arrests])</f>
        <v>0</v>
      </c>
      <c r="D14" s="18">
        <f>טבלה23[[#This Row],[Arrests]]/טבלה23[[#This Row],[Attendance]]</f>
        <v>0</v>
      </c>
      <c r="E14" s="16">
        <f>SUMIF(טבלה2[City],טבלה23[[#This Row],[City]],טבלה2[Attendance2])</f>
        <v>66421</v>
      </c>
      <c r="F14" s="16">
        <f>SUMIF(טבלה2[City],טבלה23[[#This Row],[City]],טבלה2[Arrests3])</f>
        <v>7</v>
      </c>
      <c r="G14" s="18">
        <f>טבלה23[[#This Row],[Arrests3]]/טבלה23[[#This Row],[Attendance2]]</f>
        <v>1.0538835609219975E-4</v>
      </c>
      <c r="H14" s="16">
        <f>SUMIF(טבלה2[City],טבלה23[[#This Row],[City]],טבלה2[Attendance5])</f>
        <v>70940</v>
      </c>
      <c r="I14" s="16">
        <f>SUMIF(טבלה2[City],טבלה23[[#This Row],[City]],טבלה2[Arrests6])</f>
        <v>17</v>
      </c>
      <c r="J14" s="18">
        <f>טבלה23[[#This Row],[Arrests6]]/טבלה23[[#This Row],[Attendance5]]</f>
        <v>2.3963913166055823E-4</v>
      </c>
      <c r="K14" s="16">
        <f>SUMIF(טבלה2[City],טבלה23[[#This Row],[City]],טבלה2[Attendance8])</f>
        <v>72805</v>
      </c>
      <c r="L14" s="16">
        <f>SUMIF(טבלה2[City],טבלה23[[#This Row],[City]],טבלה2[Arrests9])</f>
        <v>9</v>
      </c>
      <c r="M14" s="18">
        <f>טבלה23[[#This Row],[Arrests9]]/טבלה23[[#This Row],[Attendance8]]</f>
        <v>1.2361788338713001E-4</v>
      </c>
      <c r="N14" s="16">
        <f>SUMIF(טבלה2[City],טבלה23[[#This Row],[City]],טבלה2[Attendance11])</f>
        <v>42711</v>
      </c>
      <c r="O14" s="16">
        <f>SUMIF(טבלה2[City],טבלה23[[#This Row],[City]],טבלה2[Arrests12])</f>
        <v>11</v>
      </c>
      <c r="P14" s="18">
        <f>טבלה23[[#This Row],[Arrests12]]/טבלה23[[#This Row],[Attendance11]]</f>
        <v>2.5754489475779071E-4</v>
      </c>
      <c r="Q14" s="16">
        <f>SUMIF(טבלה2[City],טבלה23[[#This Row],[City]],טבלה2[Attendance14])</f>
        <v>79321</v>
      </c>
      <c r="R14" s="16">
        <f>SUMIF(טבלה2[City],טבלה23[[#This Row],[City]],טבלה2[Arrests15])</f>
        <v>14</v>
      </c>
      <c r="S14" s="18">
        <f>טבלה23[[#This Row],[Arrests15]]/טבלה23[[#This Row],[Attendance14]]</f>
        <v>1.7649802700419814E-4</v>
      </c>
      <c r="T14" s="16">
        <f>SUMIF(טבלה2[City],טבלה23[[#This Row],[City]],טבלה2[Attendance17])</f>
        <v>59998</v>
      </c>
      <c r="U14" s="16">
        <f>SUMIF(טבלה2[City],טבלה23[[#This Row],[City]],טבלה2[Arrests18])</f>
        <v>6</v>
      </c>
      <c r="V14" s="18">
        <f>טבלה23[[#This Row],[Arrests18]]/טבלה23[[#This Row],[Attendance17]]</f>
        <v>1.0000333344444814E-4</v>
      </c>
    </row>
    <row r="15" spans="1:22" x14ac:dyDescent="0.3">
      <c r="A15" s="19" t="s">
        <v>44</v>
      </c>
      <c r="B15" s="16">
        <f>SUMIF(טבלה2[City],טבלה23[[#This Row],[City]],טבלה2[Attendance])</f>
        <v>51828</v>
      </c>
      <c r="C15" s="16">
        <f>SUMIF(טבלה2[City],טבלה23[[#This Row],[City]],טבלה2[Arrests])</f>
        <v>21</v>
      </c>
      <c r="D15" s="18">
        <f>טבלה23[[#This Row],[Arrests]]/טבלה23[[#This Row],[Attendance]]</f>
        <v>4.051863857374392E-4</v>
      </c>
      <c r="E15" s="16">
        <f>SUMIF(טבלה2[City],טבלה23[[#This Row],[City]],טבלה2[Attendance2])</f>
        <v>74202</v>
      </c>
      <c r="F15" s="16">
        <f>SUMIF(טבלה2[City],טבלה23[[#This Row],[City]],טבלה2[Arrests3])</f>
        <v>30</v>
      </c>
      <c r="G15" s="18">
        <f>טבלה23[[#This Row],[Arrests3]]/טבלה23[[#This Row],[Attendance2]]</f>
        <v>4.0430177084175629E-4</v>
      </c>
      <c r="H15" s="16">
        <f>SUMIF(טבלה2[City],טבלה23[[#This Row],[City]],טבלה2[Attendance5])</f>
        <v>93156</v>
      </c>
      <c r="I15" s="16">
        <f>SUMIF(טבלה2[City],טבלה23[[#This Row],[City]],טבלה2[Arrests6])</f>
        <v>11</v>
      </c>
      <c r="J15" s="18">
        <f>טבלה23[[#This Row],[Arrests6]]/טבלה23[[#This Row],[Attendance5]]</f>
        <v>1.1808149770277813E-4</v>
      </c>
      <c r="K15" s="16">
        <f>SUMIF(טבלה2[City],טבלה23[[#This Row],[City]],טבלה2[Attendance8])</f>
        <v>68991</v>
      </c>
      <c r="L15" s="16">
        <f>SUMIF(טבלה2[City],טבלה23[[#This Row],[City]],טבלה2[Arrests9])</f>
        <v>1</v>
      </c>
      <c r="M15" s="18">
        <f>טבלה23[[#This Row],[Arrests9]]/טבלה23[[#This Row],[Attendance8]]</f>
        <v>1.4494644228957401E-5</v>
      </c>
      <c r="N15" s="16">
        <f>SUMIF(טבלה2[City],טבלה23[[#This Row],[City]],טבלה2[Attendance11])</f>
        <v>82129</v>
      </c>
      <c r="O15" s="16">
        <f>SUMIF(טבלה2[City],טבלה23[[#This Row],[City]],טבלה2[Arrests12])</f>
        <v>9</v>
      </c>
      <c r="P15" s="18">
        <f>טבלה23[[#This Row],[Arrests12]]/טבלה23[[#This Row],[Attendance11]]</f>
        <v>1.0958370368566524E-4</v>
      </c>
      <c r="Q15" s="16">
        <f>SUMIF(טבלה2[City],טבלה23[[#This Row],[City]],טבלה2[Attendance14])</f>
        <v>72545</v>
      </c>
      <c r="R15" s="16">
        <f>SUMIF(טבלה2[City],טבלה23[[#This Row],[City]],טבלה2[Arrests15])</f>
        <v>15</v>
      </c>
      <c r="S15" s="18">
        <f>טבלה23[[#This Row],[Arrests15]]/טבלה23[[#This Row],[Attendance14]]</f>
        <v>2.0676821283341373E-4</v>
      </c>
      <c r="T15" s="16">
        <f>SUMIF(טבלה2[City],טבלה23[[#This Row],[City]],טבלה2[Attendance17])</f>
        <v>83809</v>
      </c>
      <c r="U15" s="16">
        <f>SUMIF(טבלה2[City],טבלה23[[#This Row],[City]],טבלה2[Arrests18])</f>
        <v>13</v>
      </c>
      <c r="V15" s="18">
        <f>טבלה23[[#This Row],[Arrests18]]/טבלה23[[#This Row],[Attendance17]]</f>
        <v>1.551146058299228E-4</v>
      </c>
    </row>
    <row r="16" spans="1:22" x14ac:dyDescent="0.3">
      <c r="A16" s="19" t="s">
        <v>45</v>
      </c>
      <c r="B16" s="16">
        <f>SUMIF(טבלה2[City],טבלה23[[#This Row],[City]],טבלה2[Attendance])</f>
        <v>50374</v>
      </c>
      <c r="C16" s="16">
        <f>SUMIF(טבלה2[City],טבלה23[[#This Row],[City]],טבלה2[Arrests])</f>
        <v>5</v>
      </c>
      <c r="D16" s="18">
        <f>טבלה23[[#This Row],[Arrests]]/טבלה23[[#This Row],[Attendance]]</f>
        <v>9.9257553499821336E-5</v>
      </c>
      <c r="E16" s="16">
        <f>SUMIF(טבלה2[City],טבלה23[[#This Row],[City]],טבלה2[Attendance2])</f>
        <v>53278</v>
      </c>
      <c r="F16" s="16">
        <f>SUMIF(טבלה2[City],טבלה23[[#This Row],[City]],טבלה2[Arrests3])</f>
        <v>26</v>
      </c>
      <c r="G16" s="18">
        <f>טבלה23[[#This Row],[Arrests3]]/טבלה23[[#This Row],[Attendance2]]</f>
        <v>4.8800630654303838E-4</v>
      </c>
      <c r="H16" s="16">
        <f>SUMIF(טבלה2[City],טבלה23[[#This Row],[City]],טבלה2[Attendance5])</f>
        <v>323792</v>
      </c>
      <c r="I16" s="16">
        <f>SUMIF(טבלה2[City],טבלה23[[#This Row],[City]],טבלה2[Arrests6])</f>
        <v>76</v>
      </c>
      <c r="J16" s="18">
        <f>טבלה23[[#This Row],[Arrests6]]/טבלה23[[#This Row],[Attendance5]]</f>
        <v>2.3471858477046992E-4</v>
      </c>
      <c r="K16" s="16">
        <f>SUMIF(טבלה2[City],טבלה23[[#This Row],[City]],טבלה2[Attendance8])</f>
        <v>86486</v>
      </c>
      <c r="L16" s="16">
        <f>SUMIF(טבלה2[City],טבלה23[[#This Row],[City]],טבלה2[Arrests9])</f>
        <v>7</v>
      </c>
      <c r="M16" s="18">
        <f>טבלה23[[#This Row],[Arrests9]]/טבלה23[[#This Row],[Attendance8]]</f>
        <v>8.0937955275998429E-5</v>
      </c>
      <c r="N16" s="16">
        <f>SUMIF(טבלה2[City],טבלה23[[#This Row],[City]],טבלה2[Attendance11])</f>
        <v>66802</v>
      </c>
      <c r="O16" s="16">
        <f>SUMIF(טבלה2[City],טבלה23[[#This Row],[City]],טבלה2[Arrests12])</f>
        <v>25</v>
      </c>
      <c r="P16" s="18">
        <f>טבלה23[[#This Row],[Arrests12]]/טבלה23[[#This Row],[Attendance11]]</f>
        <v>3.7424029220682018E-4</v>
      </c>
      <c r="Q16" s="16">
        <f>SUMIF(טבלה2[City],טבלה23[[#This Row],[City]],טבלה2[Attendance14])</f>
        <v>41166</v>
      </c>
      <c r="R16" s="16">
        <f>SUMIF(טבלה2[City],טבלה23[[#This Row],[City]],טבלה2[Arrests15])</f>
        <v>13</v>
      </c>
      <c r="S16" s="18">
        <f>טבלה23[[#This Row],[Arrests15]]/טבלה23[[#This Row],[Attendance14]]</f>
        <v>3.157945877666035E-4</v>
      </c>
      <c r="T16" s="16">
        <f>SUMIF(טבלה2[City],טבלה23[[#This Row],[City]],טבלה2[Attendance17])</f>
        <v>47796</v>
      </c>
      <c r="U16" s="16">
        <f>SUMIF(טבלה2[City],טבלה23[[#This Row],[City]],טבלה2[Arrests18])</f>
        <v>8</v>
      </c>
      <c r="V16" s="18">
        <f>טבלה23[[#This Row],[Arrests18]]/טבלה23[[#This Row],[Attendance17]]</f>
        <v>1.6737802326554523E-4</v>
      </c>
    </row>
    <row r="17" spans="1:22" x14ac:dyDescent="0.3">
      <c r="A17" s="19" t="s">
        <v>84</v>
      </c>
      <c r="B17" s="16">
        <f>SUMIF(טבלה2[City],טבלה23[[#This Row],[City]],טבלה2[Attendance])</f>
        <v>43223</v>
      </c>
      <c r="C17" s="16">
        <f>SUMIF(טבלה2[City],טבלה23[[#This Row],[City]],טבלה2[Arrests])</f>
        <v>28</v>
      </c>
      <c r="D17" s="18">
        <f>טבלה23[[#This Row],[Arrests]]/טבלה23[[#This Row],[Attendance]]</f>
        <v>6.4780325289776281E-4</v>
      </c>
      <c r="E17" s="16">
        <f>SUMIF(טבלה2[City],טבלה23[[#This Row],[City]],טבלה2[Attendance2])</f>
        <v>49796</v>
      </c>
      <c r="F17" s="16">
        <f>SUMIF(טבלה2[City],טבלה23[[#This Row],[City]],טבלה2[Arrests3])</f>
        <v>20</v>
      </c>
      <c r="G17" s="18">
        <f>טבלה23[[#This Row],[Arrests3]]/טבלה23[[#This Row],[Attendance2]]</f>
        <v>4.0163868583821993E-4</v>
      </c>
      <c r="H17" s="16">
        <f>SUMIF(טבלה2[City],טבלה23[[#This Row],[City]],טבלה2[Attendance5])</f>
        <v>62255</v>
      </c>
      <c r="I17" s="16">
        <f>SUMIF(טבלה2[City],טבלה23[[#This Row],[City]],טבלה2[Arrests6])</f>
        <v>51</v>
      </c>
      <c r="J17" s="18">
        <f>טבלה23[[#This Row],[Arrests6]]/טבלה23[[#This Row],[Attendance5]]</f>
        <v>8.1921130832864834E-4</v>
      </c>
      <c r="K17" s="16">
        <f>SUMIF(טבלה2[City],טבלה23[[#This Row],[City]],טבלה2[Attendance8])</f>
        <v>55316</v>
      </c>
      <c r="L17" s="16">
        <f>SUMIF(טבלה2[City],טבלה23[[#This Row],[City]],טבלה2[Arrests9])</f>
        <v>15</v>
      </c>
      <c r="M17" s="18">
        <f>טבלה23[[#This Row],[Arrests9]]/טבלה23[[#This Row],[Attendance8]]</f>
        <v>2.7116928194374139E-4</v>
      </c>
      <c r="N17" s="16">
        <f>SUMIF(טבלה2[City],טבלה23[[#This Row],[City]],טבלה2[Attendance11])</f>
        <v>45270</v>
      </c>
      <c r="O17" s="16">
        <f>SUMIF(טבלה2[City],טבלה23[[#This Row],[City]],טבלה2[Arrests12])</f>
        <v>32</v>
      </c>
      <c r="P17" s="18">
        <f>טבלה23[[#This Row],[Arrests12]]/טבלה23[[#This Row],[Attendance11]]</f>
        <v>7.0686989176054784E-4</v>
      </c>
      <c r="Q17" s="16">
        <f>SUMIF(טבלה2[City],טבלה23[[#This Row],[City]],טבלה2[Attendance14])</f>
        <v>50632</v>
      </c>
      <c r="R17" s="16">
        <f>SUMIF(טבלה2[City],טבלה23[[#This Row],[City]],טבלה2[Arrests15])</f>
        <v>24</v>
      </c>
      <c r="S17" s="18">
        <f>טבלה23[[#This Row],[Arrests15]]/טבלה23[[#This Row],[Attendance14]]</f>
        <v>4.7400853215357879E-4</v>
      </c>
      <c r="T17" s="16">
        <f>SUMIF(טבלה2[City],טבלה23[[#This Row],[City]],טבלה2[Attendance17])</f>
        <v>52041</v>
      </c>
      <c r="U17" s="16">
        <f>SUMIF(טבלה2[City],טבלה23[[#This Row],[City]],טבלה2[Arrests18])</f>
        <v>8</v>
      </c>
      <c r="V17" s="18">
        <f>טבלה23[[#This Row],[Arrests18]]/טבלה23[[#This Row],[Attendance17]]</f>
        <v>1.537249476374397E-4</v>
      </c>
    </row>
    <row r="18" spans="1:22" x14ac:dyDescent="0.3">
      <c r="A18" s="19" t="s">
        <v>47</v>
      </c>
      <c r="B18" s="16">
        <f>SUMIF(טבלה2[City],טבלה23[[#This Row],[City]],טבלה2[Attendance])</f>
        <v>56264</v>
      </c>
      <c r="C18" s="16">
        <f>SUMIF(טבלה2[City],טבלה23[[#This Row],[City]],טבלה2[Arrests])</f>
        <v>83</v>
      </c>
      <c r="D18" s="18">
        <f>טבלה23[[#This Row],[Arrests]]/טבלה23[[#This Row],[Attendance]]</f>
        <v>1.4751883975543864E-3</v>
      </c>
      <c r="E18" s="16">
        <f>SUMIF(טבלה2[City],טבלה23[[#This Row],[City]],טבלה2[Attendance2])</f>
        <v>59832</v>
      </c>
      <c r="F18" s="16">
        <f>SUMIF(טבלה2[City],טבלה23[[#This Row],[City]],טבלה2[Arrests3])</f>
        <v>12</v>
      </c>
      <c r="G18" s="18">
        <f>טבלה23[[#This Row],[Arrests3]]/טבלה23[[#This Row],[Attendance2]]</f>
        <v>2.0056157240272763E-4</v>
      </c>
      <c r="H18" s="16">
        <f>SUMIF(טבלה2[City],טבלה23[[#This Row],[City]],טבלה2[Attendance5])</f>
        <v>112634</v>
      </c>
      <c r="I18" s="16">
        <f>SUMIF(טבלה2[City],טבלה23[[#This Row],[City]],טבלה2[Arrests6])</f>
        <v>19</v>
      </c>
      <c r="J18" s="18">
        <f>טבלה23[[#This Row],[Arrests6]]/טבלה23[[#This Row],[Attendance5]]</f>
        <v>1.6868796278210843E-4</v>
      </c>
      <c r="K18" s="16">
        <f>SUMIF(טבלה2[City],טבלה23[[#This Row],[City]],טבלה2[Attendance8])</f>
        <v>90016</v>
      </c>
      <c r="L18" s="16">
        <f>SUMIF(טבלה2[City],טבלה23[[#This Row],[City]],טבלה2[Arrests9])</f>
        <v>30</v>
      </c>
      <c r="M18" s="18">
        <f>טבלה23[[#This Row],[Arrests9]]/טבלה23[[#This Row],[Attendance8]]</f>
        <v>3.3327408460718096E-4</v>
      </c>
      <c r="N18" s="16">
        <f>SUMIF(טבלה2[City],טבלה23[[#This Row],[City]],טבלה2[Attendance11])</f>
        <v>83426</v>
      </c>
      <c r="O18" s="16">
        <f>SUMIF(טבלה2[City],טבלה23[[#This Row],[City]],טבלה2[Arrests12])</f>
        <v>13</v>
      </c>
      <c r="P18" s="18">
        <f>טבלה23[[#This Row],[Arrests12]]/טבלה23[[#This Row],[Attendance11]]</f>
        <v>1.558267206865965E-4</v>
      </c>
      <c r="Q18" s="16">
        <f>SUMIF(טבלה2[City],טבלה23[[#This Row],[City]],טבלה2[Attendance14])</f>
        <v>75314</v>
      </c>
      <c r="R18" s="16">
        <f>SUMIF(טבלה2[City],טבלה23[[#This Row],[City]],טבלה2[Arrests15])</f>
        <v>23</v>
      </c>
      <c r="S18" s="18">
        <f>טבלה23[[#This Row],[Arrests15]]/טבלה23[[#This Row],[Attendance14]]</f>
        <v>3.0538810845261172E-4</v>
      </c>
      <c r="T18" s="16">
        <f>SUMIF(טבלה2[City],טבלה23[[#This Row],[City]],טבלה2[Attendance17])</f>
        <v>76366</v>
      </c>
      <c r="U18" s="16">
        <f>SUMIF(טבלה2[City],טבלה23[[#This Row],[City]],טבלה2[Arrests18])</f>
        <v>20</v>
      </c>
      <c r="V18" s="18">
        <f>טבלה23[[#This Row],[Arrests18]]/טבלה23[[#This Row],[Attendance17]]</f>
        <v>2.6189665557970826E-4</v>
      </c>
    </row>
    <row r="19" spans="1:22" x14ac:dyDescent="0.3">
      <c r="A19" s="19" t="s">
        <v>49</v>
      </c>
      <c r="B19" s="16">
        <f>SUMIF(טבלה2[City],טבלה23[[#This Row],[City]],טבלה2[Attendance])</f>
        <v>106260</v>
      </c>
      <c r="C19" s="16">
        <f>SUMIF(טבלה2[City],טבלה23[[#This Row],[City]],טבלה2[Arrests])</f>
        <v>32</v>
      </c>
      <c r="D19" s="18">
        <f>טבלה23[[#This Row],[Arrests]]/טבלה23[[#This Row],[Attendance]]</f>
        <v>3.0114812723508374E-4</v>
      </c>
      <c r="E19" s="16">
        <f>SUMIF(טבלה2[City],טבלה23[[#This Row],[City]],טבלה2[Attendance2])</f>
        <v>84907</v>
      </c>
      <c r="F19" s="16">
        <f>SUMIF(טבלה2[City],טבלה23[[#This Row],[City]],טבלה2[Arrests3])</f>
        <v>23</v>
      </c>
      <c r="G19" s="18">
        <f>טבלה23[[#This Row],[Arrests3]]/טבלה23[[#This Row],[Attendance2]]</f>
        <v>2.708846149316311E-4</v>
      </c>
      <c r="H19" s="16">
        <f>SUMIF(טבלה2[City],טבלה23[[#This Row],[City]],טבלה2[Attendance5])</f>
        <v>88421</v>
      </c>
      <c r="I19" s="16">
        <f>SUMIF(טבלה2[City],טבלה23[[#This Row],[City]],טבלה2[Arrests6])</f>
        <v>7</v>
      </c>
      <c r="J19" s="18">
        <f>טבלה23[[#This Row],[Arrests6]]/טבלה23[[#This Row],[Attendance5]]</f>
        <v>7.9166713789710587E-5</v>
      </c>
      <c r="K19" s="16">
        <f>SUMIF(טבלה2[City],טבלה23[[#This Row],[City]],טבלה2[Attendance8])</f>
        <v>80667</v>
      </c>
      <c r="L19" s="16">
        <f>SUMIF(טבלה2[City],טבלה23[[#This Row],[City]],טבלה2[Arrests9])</f>
        <v>12</v>
      </c>
      <c r="M19" s="18">
        <f>טבלה23[[#This Row],[Arrests9]]/טבלה23[[#This Row],[Attendance8]]</f>
        <v>1.487597158689427E-4</v>
      </c>
      <c r="N19" s="16">
        <f>SUMIF(טבלה2[City],טבלה23[[#This Row],[City]],טבלה2[Attendance11])</f>
        <v>68971</v>
      </c>
      <c r="O19" s="16">
        <f>SUMIF(טבלה2[City],טבלה23[[#This Row],[City]],טבלה2[Arrests12])</f>
        <v>9</v>
      </c>
      <c r="P19" s="18">
        <f>טבלה23[[#This Row],[Arrests12]]/טבלה23[[#This Row],[Attendance11]]</f>
        <v>1.3048962607472707E-4</v>
      </c>
      <c r="Q19" s="16">
        <f>SUMIF(טבלה2[City],טבלה23[[#This Row],[City]],טבלה2[Attendance14])</f>
        <v>69319</v>
      </c>
      <c r="R19" s="16">
        <f>SUMIF(טבלה2[City],טבלה23[[#This Row],[City]],טבלה2[Arrests15])</f>
        <v>6</v>
      </c>
      <c r="S19" s="18">
        <f>טבלה23[[#This Row],[Arrests15]]/טבלה23[[#This Row],[Attendance14]]</f>
        <v>8.6556355400395273E-5</v>
      </c>
      <c r="T19" s="16">
        <f>SUMIF(טבלה2[City],טבלה23[[#This Row],[City]],טבלה2[Attendance17])</f>
        <v>66110</v>
      </c>
      <c r="U19" s="16">
        <f>SUMIF(טבלה2[City],טבלה23[[#This Row],[City]],טבלה2[Arrests18])</f>
        <v>10</v>
      </c>
      <c r="V19" s="18">
        <f>טבלה23[[#This Row],[Arrests18]]/טבלה23[[#This Row],[Attendance17]]</f>
        <v>1.5126304643775526E-4</v>
      </c>
    </row>
    <row r="20" spans="1:22" x14ac:dyDescent="0.3">
      <c r="A20" s="19" t="s">
        <v>85</v>
      </c>
      <c r="B20" s="16">
        <f>SUMIF(טבלה2[City],טבלה23[[#This Row],[City]],טבלה2[Attendance])</f>
        <v>76541</v>
      </c>
      <c r="C20" s="16">
        <f>SUMIF(טבלה2[City],טבלה23[[#This Row],[City]],טבלה2[Arrests])</f>
        <v>66</v>
      </c>
      <c r="D20" s="18">
        <f>טבלה23[[#This Row],[Arrests]]/טבלה23[[#This Row],[Attendance]]</f>
        <v>8.62282959459636E-4</v>
      </c>
      <c r="E20" s="16">
        <f>SUMIF(טבלה2[City],טבלה23[[#This Row],[City]],טבלה2[Attendance2])</f>
        <v>98949</v>
      </c>
      <c r="F20" s="16">
        <f>SUMIF(טבלה2[City],טבלה23[[#This Row],[City]],טבלה2[Arrests3])</f>
        <v>79</v>
      </c>
      <c r="G20" s="18">
        <f>טבלה23[[#This Row],[Arrests3]]/טבלה23[[#This Row],[Attendance2]]</f>
        <v>7.9839109035968021E-4</v>
      </c>
      <c r="H20" s="16">
        <f>SUMIF(טבלה2[City],טבלה23[[#This Row],[City]],טבלה2[Attendance5])</f>
        <v>137623</v>
      </c>
      <c r="I20" s="16">
        <f>SUMIF(טבלה2[City],טבלה23[[#This Row],[City]],טבלה2[Arrests6])</f>
        <v>49</v>
      </c>
      <c r="J20" s="18">
        <f>טבלה23[[#This Row],[Arrests6]]/טבלה23[[#This Row],[Attendance5]]</f>
        <v>3.5604513780400078E-4</v>
      </c>
      <c r="K20" s="16">
        <f>SUMIF(טבלה2[City],טבלה23[[#This Row],[City]],טבלה2[Attendance8])</f>
        <v>154447</v>
      </c>
      <c r="L20" s="16">
        <f>SUMIF(טבלה2[City],טבלה23[[#This Row],[City]],טבלה2[Arrests9])</f>
        <v>39</v>
      </c>
      <c r="M20" s="18">
        <f>טבלה23[[#This Row],[Arrests9]]/טבלה23[[#This Row],[Attendance8]]</f>
        <v>2.5251380732549031E-4</v>
      </c>
      <c r="N20" s="16">
        <f>SUMIF(טבלה2[City],טבלה23[[#This Row],[City]],טבלה2[Attendance11])</f>
        <v>159167</v>
      </c>
      <c r="O20" s="16">
        <f>SUMIF(טבלה2[City],טבלה23[[#This Row],[City]],טבלה2[Arrests12])</f>
        <v>36</v>
      </c>
      <c r="P20" s="18">
        <f>טבלה23[[#This Row],[Arrests12]]/טבלה23[[#This Row],[Attendance11]]</f>
        <v>2.2617753680097006E-4</v>
      </c>
      <c r="Q20" s="16">
        <f>SUMIF(טבלה2[City],טבלה23[[#This Row],[City]],טבלה2[Attendance14])</f>
        <v>140014</v>
      </c>
      <c r="R20" s="16">
        <f>SUMIF(טבלה2[City],טבלה23[[#This Row],[City]],טבלה2[Arrests15])</f>
        <v>31</v>
      </c>
      <c r="S20" s="18">
        <f>טבלה23[[#This Row],[Arrests15]]/טבלה23[[#This Row],[Attendance14]]</f>
        <v>2.2140643078549289E-4</v>
      </c>
      <c r="T20" s="16">
        <f>SUMIF(טבלה2[City],טבלה23[[#This Row],[City]],טבלה2[Attendance17])</f>
        <v>143747</v>
      </c>
      <c r="U20" s="16">
        <f>SUMIF(טבלה2[City],טבלה23[[#This Row],[City]],טבלה2[Arrests18])</f>
        <v>28</v>
      </c>
      <c r="V20" s="18">
        <f>טבלה23[[#This Row],[Arrests18]]/טבלה23[[#This Row],[Attendance17]]</f>
        <v>1.947866738088447E-4</v>
      </c>
    </row>
    <row r="21" spans="1:22" x14ac:dyDescent="0.3">
      <c r="A21" s="19" t="s">
        <v>86</v>
      </c>
      <c r="B21" s="16">
        <f>SUMIF(טבלה2[City],טבלה23[[#This Row],[City]],טבלה2[Attendance])</f>
        <v>39358</v>
      </c>
      <c r="C21" s="16">
        <f>SUMIF(טבלה2[City],טבלה23[[#This Row],[City]],טבלה2[Arrests])</f>
        <v>38</v>
      </c>
      <c r="D21" s="18">
        <f>טבלה23[[#This Row],[Arrests]]/טבלה23[[#This Row],[Attendance]]</f>
        <v>9.6549621423852843E-4</v>
      </c>
      <c r="E21" s="16">
        <f>SUMIF(טבלה2[City],טבלה23[[#This Row],[City]],טבלה2[Attendance2])</f>
        <v>43577</v>
      </c>
      <c r="F21" s="16">
        <f>SUMIF(טבלה2[City],טבלה23[[#This Row],[City]],טבלה2[Arrests3])</f>
        <v>62</v>
      </c>
      <c r="G21" s="18">
        <f>טבלה23[[#This Row],[Arrests3]]/טבלה23[[#This Row],[Attendance2]]</f>
        <v>1.4227688918466163E-3</v>
      </c>
      <c r="H21" s="16">
        <f>SUMIF(טבלה2[City],טבלה23[[#This Row],[City]],טבלה2[Attendance5])</f>
        <v>38637</v>
      </c>
      <c r="I21" s="16">
        <f>SUMIF(טבלה2[City],טבלה23[[#This Row],[City]],טבלה2[Arrests6])</f>
        <v>47</v>
      </c>
      <c r="J21" s="18">
        <f>טבלה23[[#This Row],[Arrests6]]/טבלה23[[#This Row],[Attendance5]]</f>
        <v>1.2164505525791339E-3</v>
      </c>
      <c r="K21" s="16">
        <f>SUMIF(טבלה2[City],טבלה23[[#This Row],[City]],טבלה2[Attendance8])</f>
        <v>29321</v>
      </c>
      <c r="L21" s="16">
        <f>SUMIF(טבלה2[City],טבלה23[[#This Row],[City]],טבלה2[Arrests9])</f>
        <v>2</v>
      </c>
      <c r="M21" s="18">
        <f>טבלה23[[#This Row],[Arrests9]]/טבלה23[[#This Row],[Attendance8]]</f>
        <v>6.821049759557996E-5</v>
      </c>
      <c r="N21" s="16">
        <f>SUMIF(טבלה2[City],טבלה23[[#This Row],[City]],טבלה2[Attendance11])</f>
        <v>34298</v>
      </c>
      <c r="O21" s="16">
        <f>SUMIF(טבלה2[City],טבלה23[[#This Row],[City]],טבלה2[Arrests12])</f>
        <v>16</v>
      </c>
      <c r="P21" s="18">
        <f>טבלה23[[#This Row],[Arrests12]]/טבלה23[[#This Row],[Attendance11]]</f>
        <v>4.6649950434427662E-4</v>
      </c>
      <c r="Q21" s="16">
        <f>SUMIF(טבלה2[City],טבלה23[[#This Row],[City]],טבלה2[Attendance14])</f>
        <v>46858</v>
      </c>
      <c r="R21" s="16">
        <f>SUMIF(טבלה2[City],טבלה23[[#This Row],[City]],טבלה2[Arrests15])</f>
        <v>25</v>
      </c>
      <c r="S21" s="18">
        <f>טבלה23[[#This Row],[Arrests15]]/טבלה23[[#This Row],[Attendance14]]</f>
        <v>5.3352682572879761E-4</v>
      </c>
      <c r="T21" s="16">
        <f>SUMIF(טבלה2[City],טבלה23[[#This Row],[City]],טבלה2[Attendance17])</f>
        <v>0</v>
      </c>
      <c r="U21" s="16">
        <f>SUMIF(טבלה2[City],טבלה23[[#This Row],[City]],טבלה2[Arrests18])</f>
        <v>0</v>
      </c>
      <c r="V21" s="18">
        <v>0</v>
      </c>
    </row>
    <row r="22" spans="1:22" x14ac:dyDescent="0.3">
      <c r="A22" s="19" t="s">
        <v>87</v>
      </c>
      <c r="B22" s="16">
        <f>SUMIF(טבלה2[City],טבלה23[[#This Row],[City]],טבלה2[Attendance])</f>
        <v>48972</v>
      </c>
      <c r="C22" s="16">
        <f>SUMIF(טבלה2[City],טבלה23[[#This Row],[City]],טבלה2[Arrests])</f>
        <v>21</v>
      </c>
      <c r="D22" s="18">
        <f>טבלה23[[#This Row],[Arrests]]/טבלה23[[#This Row],[Attendance]]</f>
        <v>4.288164665523156E-4</v>
      </c>
      <c r="E22" s="16">
        <f>SUMIF(טבלה2[City],טבלה23[[#This Row],[City]],טבלה2[Attendance2])</f>
        <v>46921</v>
      </c>
      <c r="F22" s="16">
        <f>SUMIF(טבלה2[City],טבלה23[[#This Row],[City]],טבלה2[Arrests3])</f>
        <v>21</v>
      </c>
      <c r="G22" s="18">
        <f>טבלה23[[#This Row],[Arrests3]]/טבלה23[[#This Row],[Attendance2]]</f>
        <v>4.4756079367447413E-4</v>
      </c>
      <c r="H22" s="16">
        <f>SUMIF(טבלה2[City],טבלה23[[#This Row],[City]],טבלה2[Attendance5])</f>
        <v>56988</v>
      </c>
      <c r="I22" s="16">
        <f>SUMIF(טבלה2[City],טבלה23[[#This Row],[City]],טבלה2[Arrests6])</f>
        <v>16</v>
      </c>
      <c r="J22" s="18">
        <f>טבלה23[[#This Row],[Arrests6]]/טבלה23[[#This Row],[Attendance5]]</f>
        <v>2.8076086193584612E-4</v>
      </c>
      <c r="K22" s="16">
        <f>SUMIF(טבלה2[City],טבלה23[[#This Row],[City]],טבלה2[Attendance8])</f>
        <v>66957</v>
      </c>
      <c r="L22" s="16">
        <f>SUMIF(טבלה2[City],טבלה23[[#This Row],[City]],טבלה2[Arrests9])</f>
        <v>17</v>
      </c>
      <c r="M22" s="18">
        <f>טבלה23[[#This Row],[Arrests9]]/טבלה23[[#This Row],[Attendance8]]</f>
        <v>2.5389429036545841E-4</v>
      </c>
      <c r="N22" s="16">
        <f>SUMIF(טבלה2[City],טבלה23[[#This Row],[City]],טבלה2[Attendance11])</f>
        <v>73627</v>
      </c>
      <c r="O22" s="16">
        <f>SUMIF(טבלה2[City],טבלה23[[#This Row],[City]],טבלה2[Arrests12])</f>
        <v>39</v>
      </c>
      <c r="P22" s="18">
        <f>טבלה23[[#This Row],[Arrests12]]/טבלה23[[#This Row],[Attendance11]]</f>
        <v>5.2969698615996854E-4</v>
      </c>
      <c r="Q22" s="16">
        <f>SUMIF(טבלה2[City],טבלה23[[#This Row],[City]],טבלה2[Attendance14])</f>
        <v>72318</v>
      </c>
      <c r="R22" s="16">
        <f>SUMIF(טבלה2[City],טבלה23[[#This Row],[City]],טבלה2[Arrests15])</f>
        <v>22</v>
      </c>
      <c r="S22" s="18">
        <f>טבלה23[[#This Row],[Arrests15]]/טבלה23[[#This Row],[Attendance14]]</f>
        <v>3.0421195276418041E-4</v>
      </c>
      <c r="T22" s="16">
        <f>SUMIF(טבלה2[City],טבלה23[[#This Row],[City]],טבלה2[Attendance17])</f>
        <v>47742</v>
      </c>
      <c r="U22" s="16">
        <f>SUMIF(טבלה2[City],טבלה23[[#This Row],[City]],טבלה2[Arrests18])</f>
        <v>14</v>
      </c>
      <c r="V22" s="18">
        <f>טבלה23[[#This Row],[Arrests18]]/טבלה23[[#This Row],[Attendance17]]</f>
        <v>2.9324284696912573E-4</v>
      </c>
    </row>
    <row r="23" spans="1:22" x14ac:dyDescent="0.3">
      <c r="A23" s="19" t="s">
        <v>88</v>
      </c>
      <c r="B23" s="16">
        <f>SUMIF(טבלה2[City],טבלה23[[#This Row],[City]],טבלה2[Attendance])</f>
        <v>50712</v>
      </c>
      <c r="C23" s="16">
        <f>SUMIF(טבלה2[City],טבלה23[[#This Row],[City]],טבלה2[Arrests])</f>
        <v>28</v>
      </c>
      <c r="D23" s="18">
        <f>טבלה23[[#This Row],[Arrests]]/טבלה23[[#This Row],[Attendance]]</f>
        <v>5.5213756112951564E-4</v>
      </c>
      <c r="E23" s="16">
        <f>SUMIF(טבלה2[City],טבלה23[[#This Row],[City]],טבלה2[Attendance2])</f>
        <v>49619</v>
      </c>
      <c r="F23" s="16">
        <f>SUMIF(טבלה2[City],טבלה23[[#This Row],[City]],טבלה2[Arrests3])</f>
        <v>28</v>
      </c>
      <c r="G23" s="18">
        <f>טבלה23[[#This Row],[Arrests3]]/טבלה23[[#This Row],[Attendance2]]</f>
        <v>5.6429996573893065E-4</v>
      </c>
      <c r="H23" s="16">
        <f>SUMIF(טבלה2[City],טבלה23[[#This Row],[City]],טבלה2[Attendance5])</f>
        <v>61981</v>
      </c>
      <c r="I23" s="16">
        <f>SUMIF(טבלה2[City],טבלה23[[#This Row],[City]],טבלה2[Arrests6])</f>
        <v>49</v>
      </c>
      <c r="J23" s="18">
        <f>טבלה23[[#This Row],[Arrests6]]/טבלה23[[#This Row],[Attendance5]]</f>
        <v>7.9056485051870733E-4</v>
      </c>
      <c r="K23" s="16">
        <f>SUMIF(טבלה2[City],טבלה23[[#This Row],[City]],טבלה2[Attendance8])</f>
        <v>53298</v>
      </c>
      <c r="L23" s="16">
        <f>SUMIF(טבלה2[City],טבלה23[[#This Row],[City]],טבלה2[Arrests9])</f>
        <v>12</v>
      </c>
      <c r="M23" s="18">
        <f>טבלה23[[#This Row],[Arrests9]]/טבלה23[[#This Row],[Attendance8]]</f>
        <v>2.2514916131937407E-4</v>
      </c>
      <c r="N23" s="16">
        <f>SUMIF(טבלה2[City],טבלה23[[#This Row],[City]],טבלה2[Attendance11])</f>
        <v>60176</v>
      </c>
      <c r="O23" s="16">
        <f>SUMIF(טבלה2[City],טבלה23[[#This Row],[City]],טבלה2[Arrests12])</f>
        <v>29</v>
      </c>
      <c r="P23" s="18">
        <f>טבלה23[[#This Row],[Arrests12]]/טבלה23[[#This Row],[Attendance11]]</f>
        <v>4.8191970220685986E-4</v>
      </c>
      <c r="Q23" s="16">
        <f>SUMIF(טבלה2[City],טבלה23[[#This Row],[City]],טבלה2[Attendance14])</f>
        <v>46428</v>
      </c>
      <c r="R23" s="16">
        <f>SUMIF(טבלה2[City],טבלה23[[#This Row],[City]],טבלה2[Arrests15])</f>
        <v>34</v>
      </c>
      <c r="S23" s="18">
        <f>טבלה23[[#This Row],[Arrests15]]/טבלה23[[#This Row],[Attendance14]]</f>
        <v>7.3231670543637457E-4</v>
      </c>
      <c r="T23" s="16">
        <f>SUMIF(טבלה2[City],טבלה23[[#This Row],[City]],טבלה2[Attendance17])</f>
        <v>47499</v>
      </c>
      <c r="U23" s="16">
        <f>SUMIF(טבלה2[City],טבלה23[[#This Row],[City]],טבלה2[Arrests18])</f>
        <v>1</v>
      </c>
      <c r="V23" s="18">
        <f>טבלה23[[#This Row],[Arrests18]]/טבלה23[[#This Row],[Attendance17]]</f>
        <v>2.1053074801574772E-5</v>
      </c>
    </row>
    <row r="24" spans="1:22" x14ac:dyDescent="0.3">
      <c r="A24" s="19" t="s">
        <v>89</v>
      </c>
      <c r="B24" s="16">
        <f>SUMIF(טבלה2[City],טבלה23[[#This Row],[City]],טבלה2[Attendance])</f>
        <v>150334</v>
      </c>
      <c r="C24" s="16">
        <f>SUMIF(טבלה2[City],טבלה23[[#This Row],[City]],טבלה2[Arrests])</f>
        <v>126</v>
      </c>
      <c r="D24" s="18">
        <f>טבלה23[[#This Row],[Arrests]]/טבלה23[[#This Row],[Attendance]]</f>
        <v>8.3813375550441014E-4</v>
      </c>
      <c r="E24" s="16">
        <f>SUMIF(טבלה2[City],טבלה23[[#This Row],[City]],טבלה2[Attendance2])</f>
        <v>133989</v>
      </c>
      <c r="F24" s="16">
        <f>SUMIF(טבלה2[City],טבלה23[[#This Row],[City]],טבלה2[Arrests3])</f>
        <v>34</v>
      </c>
      <c r="G24" s="18">
        <f>טבלה23[[#This Row],[Arrests3]]/טבלה23[[#This Row],[Attendance2]]</f>
        <v>2.5375217368589959E-4</v>
      </c>
      <c r="H24" s="16">
        <f>SUMIF(טבלה2[City],טבלה23[[#This Row],[City]],טבלה2[Attendance5])</f>
        <v>129549</v>
      </c>
      <c r="I24" s="16">
        <f>SUMIF(טבלה2[City],טבלה23[[#This Row],[City]],טבלה2[Arrests6])</f>
        <v>25</v>
      </c>
      <c r="J24" s="18">
        <f>טבלה23[[#This Row],[Arrests6]]/טבלה23[[#This Row],[Attendance5]]</f>
        <v>1.9297717465978123E-4</v>
      </c>
      <c r="K24" s="16">
        <f>SUMIF(טבלה2[City],טבלה23[[#This Row],[City]],טבלה2[Attendance8])</f>
        <v>109174</v>
      </c>
      <c r="L24" s="16">
        <f>SUMIF(טבלה2[City],טבלה23[[#This Row],[City]],טבלה2[Arrests9])</f>
        <v>22</v>
      </c>
      <c r="M24" s="18">
        <f>טבלה23[[#This Row],[Arrests9]]/טבלה23[[#This Row],[Attendance8]]</f>
        <v>2.0151318079396192E-4</v>
      </c>
      <c r="N24" s="16">
        <f>SUMIF(טבלה2[City],טבלה23[[#This Row],[City]],טבלה2[Attendance11])</f>
        <v>173419</v>
      </c>
      <c r="O24" s="16">
        <f>SUMIF(טבלה2[City],טבלה23[[#This Row],[City]],טבלה2[Arrests12])</f>
        <v>26</v>
      </c>
      <c r="P24" s="18">
        <f>טבלה23[[#This Row],[Arrests12]]/טבלה23[[#This Row],[Attendance11]]</f>
        <v>1.499259020061239E-4</v>
      </c>
      <c r="Q24" s="16">
        <f>SUMIF(טבלה2[City],טבלה23[[#This Row],[City]],טבלה2[Attendance14])</f>
        <v>136122</v>
      </c>
      <c r="R24" s="16">
        <f>SUMIF(טבלה2[City],טבלה23[[#This Row],[City]],טבלה2[Arrests15])</f>
        <v>27</v>
      </c>
      <c r="S24" s="18">
        <f>טבלה23[[#This Row],[Arrests15]]/טבלה23[[#This Row],[Attendance14]]</f>
        <v>1.9835147882046989E-4</v>
      </c>
      <c r="T24" s="16">
        <f>SUMIF(טבלה2[City],טבלה23[[#This Row],[City]],טבלה2[Attendance17])</f>
        <v>146556</v>
      </c>
      <c r="U24" s="16">
        <f>SUMIF(טבלה2[City],טבלה23[[#This Row],[City]],טבלה2[Arrests18])</f>
        <v>42</v>
      </c>
      <c r="V24" s="18">
        <f>טבלה23[[#This Row],[Arrests18]]/טבלה23[[#This Row],[Attendance17]]</f>
        <v>2.8657987390485546E-4</v>
      </c>
    </row>
    <row r="25" spans="1:22" x14ac:dyDescent="0.3">
      <c r="A25" s="19" t="s">
        <v>90</v>
      </c>
      <c r="B25" s="16">
        <f>SUMIF(טבלה2[City],טבלה23[[#This Row],[City]],טבלה2[Attendance])</f>
        <v>90894</v>
      </c>
      <c r="C25" s="16">
        <f>SUMIF(טבלה2[City],טבלה23[[#This Row],[City]],טבלה2[Arrests])</f>
        <v>21</v>
      </c>
      <c r="D25" s="18">
        <f>טבלה23[[#This Row],[Arrests]]/טבלה23[[#This Row],[Attendance]]</f>
        <v>2.3103835236649284E-4</v>
      </c>
      <c r="E25" s="16">
        <f>SUMIF(טבלה2[City],טבלה23[[#This Row],[City]],טבלה2[Attendance2])</f>
        <v>92033</v>
      </c>
      <c r="F25" s="16">
        <f>SUMIF(טבלה2[City],טבלה23[[#This Row],[City]],טבלה2[Arrests3])</f>
        <v>40</v>
      </c>
      <c r="G25" s="18">
        <f>טבלה23[[#This Row],[Arrests3]]/טבלה23[[#This Row],[Attendance2]]</f>
        <v>4.3462670998446209E-4</v>
      </c>
      <c r="H25" s="16">
        <f>SUMIF(טבלה2[City],טבלה23[[#This Row],[City]],טבלה2[Attendance5])</f>
        <v>71933</v>
      </c>
      <c r="I25" s="16">
        <f>SUMIF(טבלה2[City],טבלה23[[#This Row],[City]],טבלה2[Arrests6])</f>
        <v>10</v>
      </c>
      <c r="J25" s="18">
        <f>טבלה23[[#This Row],[Arrests6]]/טבלה23[[#This Row],[Attendance5]]</f>
        <v>1.390182530966316E-4</v>
      </c>
      <c r="K25" s="16">
        <f>SUMIF(טבלה2[City],טבלה23[[#This Row],[City]],טבלה2[Attendance8])</f>
        <v>50056</v>
      </c>
      <c r="L25" s="16">
        <f>SUMIF(טבלה2[City],טבלה23[[#This Row],[City]],טבלה2[Arrests9])</f>
        <v>6</v>
      </c>
      <c r="M25" s="18">
        <f>טבלה23[[#This Row],[Arrests9]]/טבלה23[[#This Row],[Attendance8]]</f>
        <v>1.1986575035959726E-4</v>
      </c>
      <c r="N25" s="16">
        <f>SUMIF(טבלה2[City],טבלה23[[#This Row],[City]],טבלה2[Attendance11])</f>
        <v>83666</v>
      </c>
      <c r="O25" s="16">
        <f>SUMIF(טבלה2[City],טבלה23[[#This Row],[City]],טבלה2[Arrests12])</f>
        <v>48</v>
      </c>
      <c r="P25" s="18">
        <f>טבלה23[[#This Row],[Arrests12]]/טבלה23[[#This Row],[Attendance11]]</f>
        <v>5.7370975067530419E-4</v>
      </c>
      <c r="Q25" s="16">
        <f>SUMIF(טבלה2[City],טבלה23[[#This Row],[City]],טבלה2[Attendance14])</f>
        <v>85789</v>
      </c>
      <c r="R25" s="16">
        <f>SUMIF(טבלה2[City],טבלה23[[#This Row],[City]],טבלה2[Arrests15])</f>
        <v>45</v>
      </c>
      <c r="S25" s="18">
        <f>טבלה23[[#This Row],[Arrests15]]/טבלה23[[#This Row],[Attendance14]]</f>
        <v>5.2454277354905643E-4</v>
      </c>
      <c r="T25" s="16">
        <f>SUMIF(טבלה2[City],טבלה23[[#This Row],[City]],טבלה2[Attendance17])</f>
        <v>57082</v>
      </c>
      <c r="U25" s="16">
        <f>SUMIF(טבלה2[City],טבלה23[[#This Row],[City]],טבלה2[Arrests18])</f>
        <v>19</v>
      </c>
      <c r="V25" s="18">
        <f>טבלה23[[#This Row],[Arrests18]]/טבלה23[[#This Row],[Attendance17]]</f>
        <v>3.3285449003188393E-4</v>
      </c>
    </row>
    <row r="26" spans="1:22" x14ac:dyDescent="0.3">
      <c r="A26" s="19" t="s">
        <v>91</v>
      </c>
      <c r="B26" s="16">
        <f>SUMIF(טבלה2[City],טבלה23[[#This Row],[City]],טבלה2[Attendance])</f>
        <v>126578</v>
      </c>
      <c r="C26" s="16">
        <f>SUMIF(טבלה2[City],טבלה23[[#This Row],[City]],טבלה2[Arrests])</f>
        <v>11</v>
      </c>
      <c r="D26" s="18">
        <f>טבלה23[[#This Row],[Arrests]]/טבלה23[[#This Row],[Attendance]]</f>
        <v>8.6902937319281398E-5</v>
      </c>
      <c r="E26" s="16">
        <f>SUMIF(טבלה2[City],טבלה23[[#This Row],[City]],טבלה2[Attendance2])</f>
        <v>91030</v>
      </c>
      <c r="F26" s="16">
        <f>SUMIF(טבלה2[City],טבלה23[[#This Row],[City]],טבלה2[Arrests3])</f>
        <v>3</v>
      </c>
      <c r="G26" s="18">
        <f>טבלה23[[#This Row],[Arrests3]]/טבלה23[[#This Row],[Attendance2]]</f>
        <v>3.29561682961661E-5</v>
      </c>
      <c r="H26" s="16">
        <f>SUMIF(טבלה2[City],טבלה23[[#This Row],[City]],טבלה2[Attendance5])</f>
        <v>73564</v>
      </c>
      <c r="I26" s="16">
        <f>SUMIF(טבלה2[City],טבלה23[[#This Row],[City]],טבלה2[Arrests6])</f>
        <v>1</v>
      </c>
      <c r="J26" s="18">
        <f>טבלה23[[#This Row],[Arrests6]]/טבלה23[[#This Row],[Attendance5]]</f>
        <v>1.3593605567940841E-5</v>
      </c>
      <c r="K26" s="16">
        <f>SUMIF(טבלה2[City],טבלה23[[#This Row],[City]],טבלה2[Attendance8])</f>
        <v>76938</v>
      </c>
      <c r="L26" s="16">
        <f>SUMIF(טבלה2[City],טבלה23[[#This Row],[City]],טבלה2[Arrests9])</f>
        <v>2</v>
      </c>
      <c r="M26" s="18">
        <f>טבלה23[[#This Row],[Arrests9]]/טבלה23[[#This Row],[Attendance8]]</f>
        <v>2.5994956978346202E-5</v>
      </c>
      <c r="N26" s="16">
        <f>SUMIF(טבלה2[City],טבלה23[[#This Row],[City]],טבלה2[Attendance11])</f>
        <v>61355</v>
      </c>
      <c r="O26" s="16">
        <f>SUMIF(טבלה2[City],טבלה23[[#This Row],[City]],טבלה2[Arrests12])</f>
        <v>2</v>
      </c>
      <c r="P26" s="18">
        <f>טבלה23[[#This Row],[Arrests12]]/טבלה23[[#This Row],[Attendance11]]</f>
        <v>3.2597180343900254E-5</v>
      </c>
      <c r="Q26" s="16">
        <f>SUMIF(טבלה2[City],טבלה23[[#This Row],[City]],טבלה2[Attendance14])</f>
        <v>65925</v>
      </c>
      <c r="R26" s="16">
        <f>SUMIF(טבלה2[City],טבלה23[[#This Row],[City]],טבלה2[Arrests15])</f>
        <v>6</v>
      </c>
      <c r="S26" s="18">
        <f>טבלה23[[#This Row],[Arrests15]]/טבלה23[[#This Row],[Attendance14]]</f>
        <v>9.1012514220705352E-5</v>
      </c>
      <c r="T26" s="16">
        <f>SUMIF(טבלה2[City],טבלה23[[#This Row],[City]],טבלה2[Attendance17])</f>
        <v>72534</v>
      </c>
      <c r="U26" s="16">
        <f>SUMIF(טבלה2[City],טבלה23[[#This Row],[City]],טבלה2[Arrests18])</f>
        <v>12</v>
      </c>
      <c r="V26" s="18">
        <f>טבלה23[[#This Row],[Arrests18]]/טבלה23[[#This Row],[Attendance17]]</f>
        <v>1.6543965588551577E-4</v>
      </c>
    </row>
    <row r="27" spans="1:22" x14ac:dyDescent="0.3">
      <c r="A27" s="19" t="s">
        <v>92</v>
      </c>
      <c r="B27" s="16">
        <f>SUMIF(טבלה2[City],טבלה23[[#This Row],[City]],טבלה2[Attendance])</f>
        <v>71881</v>
      </c>
      <c r="C27" s="16">
        <f>SUMIF(טבלה2[City],טבלה23[[#This Row],[City]],טבלה2[Arrests])</f>
        <v>15</v>
      </c>
      <c r="D27" s="18">
        <f>טבלה23[[#This Row],[Arrests]]/טבלה23[[#This Row],[Attendance]]</f>
        <v>2.0867823207801784E-4</v>
      </c>
      <c r="E27" s="16">
        <f>SUMIF(טבלה2[City],טבלה23[[#This Row],[City]],טבלה2[Attendance2])</f>
        <v>74469</v>
      </c>
      <c r="F27" s="16">
        <f>SUMIF(טבלה2[City],טבלה23[[#This Row],[City]],טבלה2[Arrests3])</f>
        <v>14</v>
      </c>
      <c r="G27" s="18">
        <f>טבלה23[[#This Row],[Arrests3]]/טבלה23[[#This Row],[Attendance2]]</f>
        <v>1.8799769031409042E-4</v>
      </c>
      <c r="H27" s="16">
        <f>SUMIF(טבלה2[City],טבלה23[[#This Row],[City]],טבלה2[Attendance5])</f>
        <v>110777</v>
      </c>
      <c r="I27" s="16">
        <f>SUMIF(טבלה2[City],טבלה23[[#This Row],[City]],טבלה2[Arrests6])</f>
        <v>12</v>
      </c>
      <c r="J27" s="18">
        <f>טבלה23[[#This Row],[Arrests6]]/טבלה23[[#This Row],[Attendance5]]</f>
        <v>1.0832573548660823E-4</v>
      </c>
      <c r="K27" s="16">
        <f>SUMIF(טבלה2[City],טבלה23[[#This Row],[City]],טבלה2[Attendance8])</f>
        <v>111124</v>
      </c>
      <c r="L27" s="16">
        <f>SUMIF(טבלה2[City],טבלה23[[#This Row],[City]],טבלה2[Arrests9])</f>
        <v>11</v>
      </c>
      <c r="M27" s="18">
        <f>טבלה23[[#This Row],[Arrests9]]/טבלה23[[#This Row],[Attendance8]]</f>
        <v>9.8988517331989484E-5</v>
      </c>
      <c r="N27" s="16">
        <f>SUMIF(טבלה2[City],טבלה23[[#This Row],[City]],טבלה2[Attendance11])</f>
        <v>144425</v>
      </c>
      <c r="O27" s="16">
        <f>SUMIF(טבלה2[City],טבלה23[[#This Row],[City]],טבלה2[Arrests12])</f>
        <v>51</v>
      </c>
      <c r="P27" s="18">
        <f>טבלה23[[#This Row],[Arrests12]]/טבלה23[[#This Row],[Attendance11]]</f>
        <v>3.5312445906179678E-4</v>
      </c>
      <c r="Q27" s="16">
        <f>SUMIF(טבלה2[City],טבלה23[[#This Row],[City]],טבלה2[Attendance14])</f>
        <v>185480</v>
      </c>
      <c r="R27" s="16">
        <f>SUMIF(טבלה2[City],טבלה23[[#This Row],[City]],טבלה2[Arrests15])</f>
        <v>91</v>
      </c>
      <c r="S27" s="18">
        <f>טבלה23[[#This Row],[Arrests15]]/טבלה23[[#This Row],[Attendance14]]</f>
        <v>4.9061893465602755E-4</v>
      </c>
      <c r="T27" s="16">
        <f>SUMIF(טבלה2[City],טבלה23[[#This Row],[City]],טבלה2[Attendance17])</f>
        <v>170477</v>
      </c>
      <c r="U27" s="16">
        <f>SUMIF(טבלה2[City],טבלה23[[#This Row],[City]],טבלה2[Arrests18])</f>
        <v>57</v>
      </c>
      <c r="V27" s="18">
        <f>טבלה23[[#This Row],[Arrests18]]/טבלה23[[#This Row],[Attendance17]]</f>
        <v>3.3435595417563661E-4</v>
      </c>
    </row>
    <row r="28" spans="1:22" x14ac:dyDescent="0.3">
      <c r="A28" s="19" t="s">
        <v>103</v>
      </c>
      <c r="B28" s="16">
        <f>SUMIF(טבלה2[City],טבלה23[[#This Row],[City]],טבלה2[Attendance])</f>
        <v>88126</v>
      </c>
      <c r="C28" s="16">
        <f>SUMIF(טבלה2[City],טבלה23[[#This Row],[City]],טבלה2[Arrests])</f>
        <v>22</v>
      </c>
      <c r="D28" s="18">
        <f>טבלה23[[#This Row],[Arrests]]/טבלה23[[#This Row],[Attendance]]</f>
        <v>2.4964255724757735E-4</v>
      </c>
      <c r="E28" s="16">
        <f>SUMIF(טבלה2[City],טבלה23[[#This Row],[City]],טבלה2[Attendance2])</f>
        <v>154426</v>
      </c>
      <c r="F28" s="16">
        <f>SUMIF(טבלה2[City],טבלה23[[#This Row],[City]],טבלה2[Arrests3])</f>
        <v>79</v>
      </c>
      <c r="G28" s="18">
        <f>טבלה23[[#This Row],[Arrests3]]/טבלה23[[#This Row],[Attendance2]]</f>
        <v>5.1157188556331186E-4</v>
      </c>
      <c r="H28" s="16">
        <f>SUMIF(טבלה2[City],טבלה23[[#This Row],[City]],טבלה2[Attendance5])</f>
        <v>206485</v>
      </c>
      <c r="I28" s="16">
        <f>SUMIF(טבלה2[City],טבלה23[[#This Row],[City]],טבלה2[Arrests6])</f>
        <v>96</v>
      </c>
      <c r="J28" s="18">
        <f>טבלה23[[#This Row],[Arrests6]]/טבלה23[[#This Row],[Attendance5]]</f>
        <v>4.6492481294040729E-4</v>
      </c>
      <c r="K28" s="16">
        <f>SUMIF(טבלה2[City],טבלה23[[#This Row],[City]],טבלה2[Attendance8])</f>
        <v>185714</v>
      </c>
      <c r="L28" s="16">
        <f>SUMIF(טבלה2[City],טבלה23[[#This Row],[City]],טבלה2[Arrests9])</f>
        <v>60</v>
      </c>
      <c r="M28" s="18">
        <f>טבלה23[[#This Row],[Arrests9]]/טבלה23[[#This Row],[Attendance8]]</f>
        <v>3.2307742011910786E-4</v>
      </c>
      <c r="N28" s="16">
        <f>SUMIF(טבלה2[City],טבלה23[[#This Row],[City]],טבלה2[Attendance11])</f>
        <v>169787</v>
      </c>
      <c r="O28" s="16">
        <f>SUMIF(טבלה2[City],טבלה23[[#This Row],[City]],טבלה2[Arrests12])</f>
        <v>45</v>
      </c>
      <c r="P28" s="18">
        <f>טבלה23[[#This Row],[Arrests12]]/טבלה23[[#This Row],[Attendance11]]</f>
        <v>2.6503795932550784E-4</v>
      </c>
      <c r="Q28" s="16">
        <f>SUMIF(טבלה2[City],טבלה23[[#This Row],[City]],טבלה2[Attendance14])</f>
        <v>186112</v>
      </c>
      <c r="R28" s="16">
        <f>SUMIF(טבלה2[City],טבלה23[[#This Row],[City]],טבלה2[Arrests15])</f>
        <v>40</v>
      </c>
      <c r="S28" s="18">
        <f>טבלה23[[#This Row],[Arrests15]]/טבלה23[[#This Row],[Attendance14]]</f>
        <v>2.1492434662998623E-4</v>
      </c>
      <c r="T28" s="16">
        <f>SUMIF(טבלה2[City],טבלה23[[#This Row],[City]],טבלה2[Attendance17])</f>
        <v>191435</v>
      </c>
      <c r="U28" s="16">
        <f>SUMIF(טבלה2[City],טבלה23[[#This Row],[City]],טבלה2[Arrests18])</f>
        <v>38</v>
      </c>
      <c r="V28" s="18">
        <f>טבלה23[[#This Row],[Arrests18]]/טבלה23[[#This Row],[Attendance17]]</f>
        <v>1.9850079661503904E-4</v>
      </c>
    </row>
    <row r="29" spans="1:22" x14ac:dyDescent="0.3">
      <c r="A29" s="19" t="s">
        <v>93</v>
      </c>
      <c r="B29" s="16">
        <f>SUMIF(טבלה2[City],טבלה23[[#This Row],[City]],טבלה2[Attendance])</f>
        <v>139998</v>
      </c>
      <c r="C29" s="16">
        <f>SUMIF(טבלה2[City],טבלה23[[#This Row],[City]],טבלה2[Arrests])</f>
        <v>20</v>
      </c>
      <c r="D29" s="18">
        <f>טבלה23[[#This Row],[Arrests]]/טבלה23[[#This Row],[Attendance]]</f>
        <v>1.4285918370262433E-4</v>
      </c>
      <c r="E29" s="16">
        <f>SUMIF(טבלה2[City],טבלה23[[#This Row],[City]],טבלה2[Attendance2])</f>
        <v>163703</v>
      </c>
      <c r="F29" s="16">
        <f>SUMIF(טבלה2[City],טבלה23[[#This Row],[City]],טבלה2[Arrests3])</f>
        <v>51</v>
      </c>
      <c r="G29" s="18">
        <f>טבלה23[[#This Row],[Arrests3]]/טבלה23[[#This Row],[Attendance2]]</f>
        <v>3.1153980073669998E-4</v>
      </c>
      <c r="H29" s="16">
        <f>SUMIF(טבלה2[City],טבלה23[[#This Row],[City]],טבלה2[Attendance5])</f>
        <v>145189</v>
      </c>
      <c r="I29" s="16">
        <f>SUMIF(טבלה2[City],טבלה23[[#This Row],[City]],טבלה2[Arrests6])</f>
        <v>114</v>
      </c>
      <c r="J29" s="18">
        <f>טבלה23[[#This Row],[Arrests6]]/טבלה23[[#This Row],[Attendance5]]</f>
        <v>7.851834505368864E-4</v>
      </c>
      <c r="K29" s="16">
        <f>SUMIF(טבלה2[City],טבלה23[[#This Row],[City]],טבלה2[Attendance8])</f>
        <v>104121</v>
      </c>
      <c r="L29" s="16">
        <f>SUMIF(טבלה2[City],טבלה23[[#This Row],[City]],טבלה2[Arrests9])</f>
        <v>25</v>
      </c>
      <c r="M29" s="18">
        <f>טבלה23[[#This Row],[Arrests9]]/טבלה23[[#This Row],[Attendance8]]</f>
        <v>2.4010526214692521E-4</v>
      </c>
      <c r="N29" s="16">
        <f>SUMIF(טבלה2[City],טבלה23[[#This Row],[City]],טבלה2[Attendance11])</f>
        <v>108612</v>
      </c>
      <c r="O29" s="16">
        <f>SUMIF(טבלה2[City],טבלה23[[#This Row],[City]],טבלה2[Arrests12])</f>
        <v>223</v>
      </c>
      <c r="P29" s="18">
        <f>טבלה23[[#This Row],[Arrests12]]/טבלה23[[#This Row],[Attendance11]]</f>
        <v>2.053180127426067E-3</v>
      </c>
      <c r="Q29" s="16">
        <f>SUMIF(טבלה2[City],טבלה23[[#This Row],[City]],טבלה2[Attendance14])</f>
        <v>130836</v>
      </c>
      <c r="R29" s="16">
        <f>SUMIF(טבלה2[City],טבלה23[[#This Row],[City]],טבלה2[Arrests15])</f>
        <v>84</v>
      </c>
      <c r="S29" s="18">
        <f>טבלה23[[#This Row],[Arrests15]]/טבלה23[[#This Row],[Attendance14]]</f>
        <v>6.4202513069797301E-4</v>
      </c>
      <c r="T29" s="16">
        <f>SUMIF(טבלה2[City],טבלה23[[#This Row],[City]],טבלה2[Attendance17])</f>
        <v>154918</v>
      </c>
      <c r="U29" s="16">
        <f>SUMIF(טבלה2[City],טבלה23[[#This Row],[City]],טבלה2[Arrests18])</f>
        <v>56</v>
      </c>
      <c r="V29" s="18">
        <f>טבלה23[[#This Row],[Arrests18]]/טבלה23[[#This Row],[Attendance17]]</f>
        <v>3.6148155798551492E-4</v>
      </c>
    </row>
    <row r="30" spans="1:22" x14ac:dyDescent="0.3">
      <c r="A30" s="19" t="s">
        <v>76</v>
      </c>
      <c r="B30" s="16">
        <f>SUMIF(טבלה2[City],טבלה23[[#This Row],[City]],טבלה2[Attendance])</f>
        <v>150352</v>
      </c>
      <c r="C30" s="16">
        <f>SUMIF(טבלה2[City],טבלה23[[#This Row],[City]],טבלה2[Arrests])</f>
        <v>20</v>
      </c>
      <c r="D30" s="18">
        <f>טבלה23[[#This Row],[Arrests]]/טבלה23[[#This Row],[Attendance]]</f>
        <v>1.3302117697137385E-4</v>
      </c>
      <c r="E30" s="16">
        <f>SUMIF(טבלה2[City],טבלה23[[#This Row],[City]],טבלה2[Attendance2])</f>
        <v>117613</v>
      </c>
      <c r="F30" s="16">
        <f>SUMIF(טבלה2[City],טבלה23[[#This Row],[City]],טבלה2[Arrests3])</f>
        <v>25</v>
      </c>
      <c r="G30" s="18">
        <f>טבלה23[[#This Row],[Arrests3]]/טבלה23[[#This Row],[Attendance2]]</f>
        <v>2.1256153656483553E-4</v>
      </c>
      <c r="H30" s="16">
        <f>SUMIF(טבלה2[City],טבלה23[[#This Row],[City]],טבלה2[Attendance5])</f>
        <v>93974</v>
      </c>
      <c r="I30" s="16">
        <f>SUMIF(טבלה2[City],טבלה23[[#This Row],[City]],טבלה2[Arrests6])</f>
        <v>21</v>
      </c>
      <c r="J30" s="18">
        <f>טבלה23[[#This Row],[Arrests6]]/טבלה23[[#This Row],[Attendance5]]</f>
        <v>2.2346606508183114E-4</v>
      </c>
      <c r="K30" s="16">
        <f>SUMIF(טבלה2[City],טבלה23[[#This Row],[City]],טבלה2[Attendance8])</f>
        <v>94181</v>
      </c>
      <c r="L30" s="16">
        <f>SUMIF(טבלה2[City],טבלה23[[#This Row],[City]],טבלה2[Arrests9])</f>
        <v>17</v>
      </c>
      <c r="M30" s="18">
        <f>טבלה23[[#This Row],[Arrests9]]/טבלה23[[#This Row],[Attendance8]]</f>
        <v>1.8050349858251665E-4</v>
      </c>
      <c r="N30" s="16">
        <f>SUMIF(טבלה2[City],טבלה23[[#This Row],[City]],טבלה2[Attendance11])</f>
        <v>88350</v>
      </c>
      <c r="O30" s="16">
        <f>SUMIF(טבלה2[City],טבלה23[[#This Row],[City]],טבלה2[Arrests12])</f>
        <v>13</v>
      </c>
      <c r="P30" s="18">
        <f>טבלה23[[#This Row],[Arrests12]]/טבלה23[[#This Row],[Attendance11]]</f>
        <v>1.4714204867006227E-4</v>
      </c>
      <c r="Q30" s="16">
        <f>SUMIF(טבלה2[City],טבלה23[[#This Row],[City]],טבלה2[Attendance14])</f>
        <v>109983</v>
      </c>
      <c r="R30" s="16">
        <f>SUMIF(טבלה2[City],טבלה23[[#This Row],[City]],טבלה2[Arrests15])</f>
        <v>63</v>
      </c>
      <c r="S30" s="18">
        <f>טבלה23[[#This Row],[Arrests15]]/טבלה23[[#This Row],[Attendance14]]</f>
        <v>5.7281579880526993E-4</v>
      </c>
      <c r="T30" s="16">
        <f>SUMIF(טבלה2[City],טבלה23[[#This Row],[City]],טבלה2[Attendance17])</f>
        <v>158437</v>
      </c>
      <c r="U30" s="16">
        <f>SUMIF(טבלה2[City],טבלה23[[#This Row],[City]],טבלה2[Arrests18])</f>
        <v>117</v>
      </c>
      <c r="V30" s="18">
        <f>טבלה23[[#This Row],[Arrests18]]/טבלה23[[#This Row],[Attendance17]]</f>
        <v>7.3846386891950739E-4</v>
      </c>
    </row>
    <row r="31" spans="1:22" x14ac:dyDescent="0.3">
      <c r="A31" s="19" t="s">
        <v>61</v>
      </c>
      <c r="B31" s="16">
        <f>SUMIF(טבלה2[City],טבלה23[[#This Row],[City]],טבלה2[Attendance])</f>
        <v>44903</v>
      </c>
      <c r="C31" s="16">
        <f>SUMIF(טבלה2[City],טבלה23[[#This Row],[City]],טבלה2[Arrests])</f>
        <v>32</v>
      </c>
      <c r="D31" s="18">
        <f>טבלה23[[#This Row],[Arrests]]/טבלה23[[#This Row],[Attendance]]</f>
        <v>7.1264726187559853E-4</v>
      </c>
      <c r="E31" s="16">
        <f>SUMIF(טבלה2[City],טבלה23[[#This Row],[City]],טבלה2[Attendance2])</f>
        <v>45127</v>
      </c>
      <c r="F31" s="16">
        <f>SUMIF(טבלה2[City],טבלה23[[#This Row],[City]],טבלה2[Arrests3])</f>
        <v>47</v>
      </c>
      <c r="G31" s="18">
        <f>טבלה23[[#This Row],[Arrests3]]/טבלה23[[#This Row],[Attendance2]]</f>
        <v>1.0415050856471735E-3</v>
      </c>
      <c r="H31" s="16">
        <f>SUMIF(טבלה2[City],טבלה23[[#This Row],[City]],טבלה2[Attendance5])</f>
        <v>47510</v>
      </c>
      <c r="I31" s="16">
        <f>SUMIF(טבלה2[City],טבלה23[[#This Row],[City]],טבלה2[Arrests6])</f>
        <v>28</v>
      </c>
      <c r="J31" s="18">
        <f>טבלה23[[#This Row],[Arrests6]]/טבלה23[[#This Row],[Attendance5]]</f>
        <v>5.8934961060829296E-4</v>
      </c>
      <c r="K31" s="16">
        <f>SUMIF(טבלה2[City],טבלה23[[#This Row],[City]],טבלה2[Attendance8])</f>
        <v>39900</v>
      </c>
      <c r="L31" s="16">
        <f>SUMIF(טבלה2[City],טבלה23[[#This Row],[City]],טבלה2[Arrests9])</f>
        <v>5</v>
      </c>
      <c r="M31" s="18">
        <f>טבלה23[[#This Row],[Arrests9]]/טבלה23[[#This Row],[Attendance8]]</f>
        <v>1.2531328320802005E-4</v>
      </c>
      <c r="N31" s="16">
        <f>SUMIF(טבלה2[City],טבלה23[[#This Row],[City]],טבלה2[Attendance11])</f>
        <v>58464</v>
      </c>
      <c r="O31" s="16">
        <f>SUMIF(טבלה2[City],טבלה23[[#This Row],[City]],טבלה2[Arrests12])</f>
        <v>37</v>
      </c>
      <c r="P31" s="18">
        <f>טבלה23[[#This Row],[Arrests12]]/טבלה23[[#This Row],[Attendance11]]</f>
        <v>6.3286808976464144E-4</v>
      </c>
      <c r="Q31" s="16">
        <f>SUMIF(טבלה2[City],טבלה23[[#This Row],[City]],טבלה2[Attendance14])</f>
        <v>48561</v>
      </c>
      <c r="R31" s="16">
        <f>SUMIF(טבלה2[City],טבלה23[[#This Row],[City]],טבלה2[Arrests15])</f>
        <v>48</v>
      </c>
      <c r="S31" s="18">
        <f>טבלה23[[#This Row],[Arrests15]]/טבלה23[[#This Row],[Attendance14]]</f>
        <v>9.8844751961450544E-4</v>
      </c>
      <c r="T31" s="16">
        <f>SUMIF(טבלה2[City],טבלה23[[#This Row],[City]],טבלה2[Attendance17])</f>
        <v>55788</v>
      </c>
      <c r="U31" s="16">
        <f>SUMIF(טבלה2[City],טבלה23[[#This Row],[City]],טבלה2[Arrests18])</f>
        <v>7</v>
      </c>
      <c r="V31" s="18">
        <f>טבלה23[[#This Row],[Arrests18]]/טבלה23[[#This Row],[Attendance17]]</f>
        <v>1.2547501254750126E-4</v>
      </c>
    </row>
    <row r="32" spans="1:22" x14ac:dyDescent="0.3">
      <c r="A32" s="19" t="s">
        <v>94</v>
      </c>
      <c r="B32" s="16">
        <f>SUMIF(טבלה2[City],טבלה23[[#This Row],[City]],טבלה2[Attendance])</f>
        <v>84107</v>
      </c>
      <c r="C32" s="16">
        <f>SUMIF(טבלה2[City],טבלה23[[#This Row],[City]],טבלה2[Arrests])</f>
        <v>47</v>
      </c>
      <c r="D32" s="18">
        <f>טבלה23[[#This Row],[Arrests]]/טבלה23[[#This Row],[Attendance]]</f>
        <v>5.588119894895788E-4</v>
      </c>
      <c r="E32" s="16">
        <f>SUMIF(טבלה2[City],טבלה23[[#This Row],[City]],טבלה2[Attendance2])</f>
        <v>116279</v>
      </c>
      <c r="F32" s="16">
        <f>SUMIF(טבלה2[City],טבלה23[[#This Row],[City]],טבלה2[Arrests3])</f>
        <v>31</v>
      </c>
      <c r="G32" s="18">
        <f>טבלה23[[#This Row],[Arrests3]]/טבלה23[[#This Row],[Attendance2]]</f>
        <v>2.6660015996009598E-4</v>
      </c>
      <c r="H32" s="16">
        <f>SUMIF(טבלה2[City],טבלה23[[#This Row],[City]],טבלה2[Attendance5])</f>
        <v>127692</v>
      </c>
      <c r="I32" s="16">
        <f>SUMIF(טבלה2[City],טבלה23[[#This Row],[City]],טבלה2[Arrests6])</f>
        <v>48</v>
      </c>
      <c r="J32" s="18">
        <f>טבלה23[[#This Row],[Arrests6]]/טבלה23[[#This Row],[Attendance5]]</f>
        <v>3.7590452025185601E-4</v>
      </c>
      <c r="K32" s="16">
        <f>SUMIF(טבלה2[City],טבלה23[[#This Row],[City]],טבלה2[Attendance8])</f>
        <v>84539</v>
      </c>
      <c r="L32" s="16">
        <f>SUMIF(טבלה2[City],טבלה23[[#This Row],[City]],טבלה2[Arrests9])</f>
        <v>31</v>
      </c>
      <c r="M32" s="18">
        <f>טבלה23[[#This Row],[Arrests9]]/טבלה23[[#This Row],[Attendance8]]</f>
        <v>3.6669466163545821E-4</v>
      </c>
      <c r="N32" s="16">
        <f>SUMIF(טבלה2[City],טבלה23[[#This Row],[City]],טבלה2[Attendance11])</f>
        <v>104492</v>
      </c>
      <c r="O32" s="16">
        <f>SUMIF(טבלה2[City],טבלה23[[#This Row],[City]],טבלה2[Arrests12])</f>
        <v>70</v>
      </c>
      <c r="P32" s="18">
        <f>טבלה23[[#This Row],[Arrests12]]/טבלה23[[#This Row],[Attendance11]]</f>
        <v>6.6990774413352213E-4</v>
      </c>
      <c r="Q32" s="16">
        <f>SUMIF(טבלה2[City],טבלה23[[#This Row],[City]],טבלה2[Attendance14])</f>
        <v>109681</v>
      </c>
      <c r="R32" s="16">
        <f>SUMIF(טבלה2[City],טבלה23[[#This Row],[City]],טבלה2[Arrests15])</f>
        <v>37</v>
      </c>
      <c r="S32" s="18">
        <f>טבלה23[[#This Row],[Arrests15]]/טבלה23[[#This Row],[Attendance14]]</f>
        <v>3.37341927954705E-4</v>
      </c>
      <c r="T32" s="16">
        <f>SUMIF(טבלה2[City],טבלה23[[#This Row],[City]],טבלה2[Attendance17])</f>
        <v>85438</v>
      </c>
      <c r="U32" s="16">
        <f>SUMIF(טבלה2[City],טבלה23[[#This Row],[City]],טבלה2[Arrests18])</f>
        <v>29</v>
      </c>
      <c r="V32" s="18">
        <f>טבלה23[[#This Row],[Arrests18]]/טבלה23[[#This Row],[Attendance17]]</f>
        <v>3.394274210538636E-4</v>
      </c>
    </row>
    <row r="33" spans="1:22" x14ac:dyDescent="0.3">
      <c r="A33" s="19" t="s">
        <v>63</v>
      </c>
      <c r="B33" s="16">
        <f>SUMIF(טבלה2[City],טבלה23[[#This Row],[City]],טבלה2[Attendance])</f>
        <v>70504</v>
      </c>
      <c r="C33" s="16">
        <f>SUMIF(טבלה2[City],טבלה23[[#This Row],[City]],טבלה2[Arrests])</f>
        <v>146</v>
      </c>
      <c r="D33" s="18">
        <f>טבלה23[[#This Row],[Arrests]]/טבלה23[[#This Row],[Attendance]]</f>
        <v>2.0708044933620789E-3</v>
      </c>
      <c r="E33" s="16">
        <f>SUMIF(טבלה2[City],טבלה23[[#This Row],[City]],טבלה2[Attendance2])</f>
        <v>66895</v>
      </c>
      <c r="F33" s="16">
        <f>SUMIF(טבלה2[City],טבלה23[[#This Row],[City]],טבלה2[Arrests3])</f>
        <v>51</v>
      </c>
      <c r="G33" s="18">
        <f>טבלה23[[#This Row],[Arrests3]]/טבלה23[[#This Row],[Attendance2]]</f>
        <v>7.6238881829733161E-4</v>
      </c>
      <c r="H33" s="16">
        <f>SUMIF(טבלה2[City],טבלה23[[#This Row],[City]],טבלה2[Attendance5])</f>
        <v>53204</v>
      </c>
      <c r="I33" s="16">
        <f>SUMIF(טבלה2[City],טבלה23[[#This Row],[City]],טבלה2[Arrests6])</f>
        <v>31</v>
      </c>
      <c r="J33" s="18">
        <f>טבלה23[[#This Row],[Arrests6]]/טבלה23[[#This Row],[Attendance5]]</f>
        <v>5.8266295767235544E-4</v>
      </c>
      <c r="K33" s="16">
        <f>SUMIF(טבלה2[City],טבלה23[[#This Row],[City]],טבלה2[Attendance8])</f>
        <v>31161</v>
      </c>
      <c r="L33" s="16">
        <f>SUMIF(טבלה2[City],טבלה23[[#This Row],[City]],טבלה2[Arrests9])</f>
        <v>0</v>
      </c>
      <c r="M33" s="18">
        <f>טבלה23[[#This Row],[Arrests9]]/טבלה23[[#This Row],[Attendance8]]</f>
        <v>0</v>
      </c>
      <c r="N33" s="16">
        <f>SUMIF(טבלה2[City],טבלה23[[#This Row],[City]],טבלה2[Attendance11])</f>
        <v>36885</v>
      </c>
      <c r="O33" s="16">
        <f>SUMIF(טבלה2[City],טבלה23[[#This Row],[City]],טבלה2[Arrests12])</f>
        <v>7</v>
      </c>
      <c r="P33" s="18">
        <f>טבלה23[[#This Row],[Arrests12]]/טבלה23[[#This Row],[Attendance11]]</f>
        <v>1.897790429713976E-4</v>
      </c>
      <c r="Q33" s="16">
        <f>SUMIF(טבלה2[City],טבלה23[[#This Row],[City]],טבלה2[Attendance14])</f>
        <v>40503</v>
      </c>
      <c r="R33" s="16">
        <f>SUMIF(טבלה2[City],טבלה23[[#This Row],[City]],טבלה2[Arrests15])</f>
        <v>26</v>
      </c>
      <c r="S33" s="18">
        <f>טבלה23[[#This Row],[Arrests15]]/טבלה23[[#This Row],[Attendance14]]</f>
        <v>6.419277584376466E-4</v>
      </c>
      <c r="T33" s="16">
        <f>SUMIF(טבלה2[City],טבלה23[[#This Row],[City]],טבלה2[Attendance17])</f>
        <v>35302</v>
      </c>
      <c r="U33" s="16">
        <f>SUMIF(טבלה2[City],טבלה23[[#This Row],[City]],טבלה2[Arrests18])</f>
        <v>20</v>
      </c>
      <c r="V33" s="18">
        <f>טבלה23[[#This Row],[Arrests18]]/טבלה23[[#This Row],[Attendance17]]</f>
        <v>5.6654013936887433E-4</v>
      </c>
    </row>
    <row r="34" spans="1:22" x14ac:dyDescent="0.3">
      <c r="A34" s="19" t="s">
        <v>95</v>
      </c>
      <c r="B34" s="16">
        <f>SUMIF(טבלה2[City],טבלה23[[#This Row],[City]],טבלה2[Attendance])</f>
        <v>74405</v>
      </c>
      <c r="C34" s="16">
        <f>SUMIF(טבלה2[City],טבלה23[[#This Row],[City]],טבלה2[Arrests])</f>
        <v>46</v>
      </c>
      <c r="D34" s="18">
        <f>טבלה23[[#This Row],[Arrests]]/טבלה23[[#This Row],[Attendance]]</f>
        <v>6.1823802163833079E-4</v>
      </c>
      <c r="E34" s="16">
        <f>SUMIF(טבלה2[City],טבלה23[[#This Row],[City]],טבלה2[Attendance2])</f>
        <v>104588</v>
      </c>
      <c r="F34" s="16">
        <f>SUMIF(טבלה2[City],טבלה23[[#This Row],[City]],טבלה2[Arrests3])</f>
        <v>55</v>
      </c>
      <c r="G34" s="18">
        <f>טבלה23[[#This Row],[Arrests3]]/טבלה23[[#This Row],[Attendance2]]</f>
        <v>5.2587294909549852E-4</v>
      </c>
      <c r="H34" s="16">
        <f>SUMIF(טבלה2[City],טבלה23[[#This Row],[City]],טבלה2[Attendance5])</f>
        <v>81007</v>
      </c>
      <c r="I34" s="16">
        <f>SUMIF(טבלה2[City],טבלה23[[#This Row],[City]],טבלה2[Arrests6])</f>
        <v>15</v>
      </c>
      <c r="J34" s="18">
        <f>טבלה23[[#This Row],[Arrests6]]/טבלה23[[#This Row],[Attendance5]]</f>
        <v>1.8516918291011888E-4</v>
      </c>
      <c r="K34" s="16">
        <f>SUMIF(טבלה2[City],טבלה23[[#This Row],[City]],טבלה2[Attendance8])</f>
        <v>62458</v>
      </c>
      <c r="L34" s="16">
        <f>SUMIF(טבלה2[City],טבלה23[[#This Row],[City]],טבלה2[Arrests9])</f>
        <v>6</v>
      </c>
      <c r="M34" s="18">
        <f>טבלה23[[#This Row],[Arrests9]]/טבלה23[[#This Row],[Attendance8]]</f>
        <v>9.6064555381216175E-5</v>
      </c>
      <c r="N34" s="16">
        <f>SUMIF(טבלה2[City],טבלה23[[#This Row],[City]],טבלה2[Attendance11])</f>
        <v>70168</v>
      </c>
      <c r="O34" s="16">
        <f>SUMIF(טבלה2[City],טבלה23[[#This Row],[City]],טבלה2[Arrests12])</f>
        <v>3</v>
      </c>
      <c r="P34" s="18">
        <f>טבלה23[[#This Row],[Arrests12]]/טבלה23[[#This Row],[Attendance11]]</f>
        <v>4.275453198038992E-5</v>
      </c>
      <c r="Q34" s="16">
        <f>SUMIF(טבלה2[City],טבלה23[[#This Row],[City]],טבלה2[Attendance14])</f>
        <v>66077</v>
      </c>
      <c r="R34" s="16">
        <f>SUMIF(טבלה2[City],טבלה23[[#This Row],[City]],טבלה2[Arrests15])</f>
        <v>13</v>
      </c>
      <c r="S34" s="18">
        <f>טבלה23[[#This Row],[Arrests15]]/טבלה23[[#This Row],[Attendance14]]</f>
        <v>1.9674016677512598E-4</v>
      </c>
      <c r="T34" s="16">
        <f>SUMIF(טבלה2[City],טבלה23[[#This Row],[City]],טבלה2[Attendance17])</f>
        <v>66816</v>
      </c>
      <c r="U34" s="16">
        <f>SUMIF(טבלה2[City],טבלה23[[#This Row],[City]],טבלה2[Arrests18])</f>
        <v>5</v>
      </c>
      <c r="V34" s="18">
        <f>טבלה23[[#This Row],[Arrests18]]/טבלה23[[#This Row],[Attendance17]]</f>
        <v>7.4832375478927198E-5</v>
      </c>
    </row>
    <row r="35" spans="1:22" x14ac:dyDescent="0.3">
      <c r="A35" s="19" t="s">
        <v>96</v>
      </c>
      <c r="B35" s="16">
        <f>SUMIF(טבלה2[City],טבלה23[[#This Row],[City]],טבלה2[Attendance])</f>
        <v>108202</v>
      </c>
      <c r="C35" s="16">
        <f>SUMIF(טבלה2[City],טבלה23[[#This Row],[City]],טבלה2[Arrests])</f>
        <v>68</v>
      </c>
      <c r="D35" s="18">
        <f>טבלה23[[#This Row],[Arrests]]/טבלה23[[#This Row],[Attendance]]</f>
        <v>6.2845418753812313E-4</v>
      </c>
      <c r="E35" s="16">
        <f>SUMIF(טבלה2[City],טבלה23[[#This Row],[City]],טבלה2[Attendance2])</f>
        <v>108100</v>
      </c>
      <c r="F35" s="16">
        <f>SUMIF(טבלה2[City],טבלה23[[#This Row],[City]],טבלה2[Arrests3])</f>
        <v>37</v>
      </c>
      <c r="G35" s="18">
        <f>טבלה23[[#This Row],[Arrests3]]/טבלה23[[#This Row],[Attendance2]]</f>
        <v>3.4227567067530063E-4</v>
      </c>
      <c r="H35" s="16">
        <f>SUMIF(טבלה2[City],טבלה23[[#This Row],[City]],טבלה2[Attendance5])</f>
        <v>81283</v>
      </c>
      <c r="I35" s="16">
        <f>SUMIF(טבלה2[City],טבלה23[[#This Row],[City]],טבלה2[Arrests6])</f>
        <v>18</v>
      </c>
      <c r="J35" s="18">
        <f>טבלה23[[#This Row],[Arrests6]]/טבלה23[[#This Row],[Attendance5]]</f>
        <v>2.214485193705941E-4</v>
      </c>
      <c r="K35" s="16">
        <f>SUMIF(טבלה2[City],טבלה23[[#This Row],[City]],טבלה2[Attendance8])</f>
        <v>61695</v>
      </c>
      <c r="L35" s="16">
        <f>SUMIF(טבלה2[City],טבלה23[[#This Row],[City]],טבלה2[Arrests9])</f>
        <v>23</v>
      </c>
      <c r="M35" s="18">
        <f>טבלה23[[#This Row],[Arrests9]]/טבלה23[[#This Row],[Attendance8]]</f>
        <v>3.7280168571197019E-4</v>
      </c>
      <c r="N35" s="16">
        <f>SUMIF(טבלה2[City],טבלה23[[#This Row],[City]],טבלה2[Attendance11])</f>
        <v>79483</v>
      </c>
      <c r="O35" s="16">
        <f>SUMIF(טבלה2[City],טבלה23[[#This Row],[City]],טבלה2[Arrests12])</f>
        <v>38</v>
      </c>
      <c r="P35" s="18">
        <f>טבלה23[[#This Row],[Arrests12]]/טבלה23[[#This Row],[Attendance11]]</f>
        <v>4.7808965439150508E-4</v>
      </c>
      <c r="Q35" s="16">
        <f>SUMIF(טבלה2[City],טבלה23[[#This Row],[City]],טבלה2[Attendance14])</f>
        <v>71641</v>
      </c>
      <c r="R35" s="16">
        <f>SUMIF(טבלה2[City],טבלה23[[#This Row],[City]],טבלה2[Arrests15])</f>
        <v>74</v>
      </c>
      <c r="S35" s="18">
        <f>טבלה23[[#This Row],[Arrests15]]/טבלה23[[#This Row],[Attendance14]]</f>
        <v>1.0329280719141274E-3</v>
      </c>
      <c r="T35" s="16">
        <f>SUMIF(טבלה2[City],טבלה23[[#This Row],[City]],טבלה2[Attendance17])</f>
        <v>92435</v>
      </c>
      <c r="U35" s="16">
        <f>SUMIF(טבלה2[City],טבלה23[[#This Row],[City]],טבלה2[Arrests18])</f>
        <v>162</v>
      </c>
      <c r="V35" s="18">
        <f>טבלה23[[#This Row],[Arrests18]]/טבלה23[[#This Row],[Attendance17]]</f>
        <v>1.7525828960891438E-3</v>
      </c>
    </row>
    <row r="36" spans="1:22" x14ac:dyDescent="0.3">
      <c r="A36" s="19" t="s">
        <v>104</v>
      </c>
      <c r="B36" s="16">
        <f>SUMIF(טבלה2[City],טבלה23[[#This Row],[City]],טבלה2[Attendance])</f>
        <v>79320</v>
      </c>
      <c r="C36" s="16">
        <f>SUMIF(טבלה2[City],טבלה23[[#This Row],[City]],טבלה2[Arrests])</f>
        <v>3</v>
      </c>
      <c r="D36" s="18">
        <f>טבלה23[[#This Row],[Arrests]]/טבלה23[[#This Row],[Attendance]]</f>
        <v>3.7821482602118E-5</v>
      </c>
      <c r="E36" s="16">
        <f>SUMIF(טבלה2[City],טבלה23[[#This Row],[City]],טבלה2[Attendance2])</f>
        <v>84479</v>
      </c>
      <c r="F36" s="16">
        <f>SUMIF(טבלה2[City],טבלה23[[#This Row],[City]],טבלה2[Arrests3])</f>
        <v>30</v>
      </c>
      <c r="G36" s="18">
        <f>טבלה23[[#This Row],[Arrests3]]/טבלה23[[#This Row],[Attendance2]]</f>
        <v>3.5511783993655229E-4</v>
      </c>
      <c r="H36" s="16">
        <f>SUMIF(טבלה2[City],טבלה23[[#This Row],[City]],טבלה2[Attendance5])</f>
        <v>83880</v>
      </c>
      <c r="I36" s="16">
        <f>SUMIF(טבלה2[City],טבלה23[[#This Row],[City]],טבלה2[Arrests6])</f>
        <v>10</v>
      </c>
      <c r="J36" s="18">
        <f>טבלה23[[#This Row],[Arrests6]]/טבלה23[[#This Row],[Attendance5]]</f>
        <v>1.1921793037672866E-4</v>
      </c>
      <c r="K36" s="16">
        <f>SUMIF(טבלה2[City],טבלה23[[#This Row],[City]],טבלה2[Attendance8])</f>
        <v>131608</v>
      </c>
      <c r="L36" s="16">
        <f>SUMIF(טבלה2[City],טבלה23[[#This Row],[City]],טבלה2[Arrests9])</f>
        <v>15</v>
      </c>
      <c r="M36" s="18">
        <f>טבלה23[[#This Row],[Arrests9]]/טבלה23[[#This Row],[Attendance8]]</f>
        <v>1.1397483435657407E-4</v>
      </c>
      <c r="N36" s="16">
        <f>SUMIF(טבלה2[City],טבלה23[[#This Row],[City]],טבלה2[Attendance11])</f>
        <v>154868</v>
      </c>
      <c r="O36" s="16">
        <f>SUMIF(טבלה2[City],טבלה23[[#This Row],[City]],טבלה2[Arrests12])</f>
        <v>52</v>
      </c>
      <c r="P36" s="18">
        <f>טבלה23[[#This Row],[Arrests12]]/טבלה23[[#This Row],[Attendance11]]</f>
        <v>3.3576981687630757E-4</v>
      </c>
      <c r="Q36" s="16">
        <f>SUMIF(טבלה2[City],טבלה23[[#This Row],[City]],טבלה2[Attendance14])</f>
        <v>124118</v>
      </c>
      <c r="R36" s="16">
        <f>SUMIF(טבלה2[City],טבלה23[[#This Row],[City]],טבלה2[Arrests15])</f>
        <v>44</v>
      </c>
      <c r="S36" s="18">
        <f>טבלה23[[#This Row],[Arrests15]]/טבלה23[[#This Row],[Attendance14]]</f>
        <v>3.5450136160750253E-4</v>
      </c>
      <c r="T36" s="16">
        <f>SUMIF(טבלה2[City],טבלה23[[#This Row],[City]],טבלה2[Attendance17])</f>
        <v>140404</v>
      </c>
      <c r="U36" s="16">
        <f>SUMIF(טבלה2[City],טבלה23[[#This Row],[City]],טבלה2[Arrests18])</f>
        <v>24</v>
      </c>
      <c r="V36" s="18">
        <f>טבלה23[[#This Row],[Arrests18]]/טבלה23[[#This Row],[Attendance17]]</f>
        <v>1.7093530098857582E-4</v>
      </c>
    </row>
    <row r="37" spans="1:22" x14ac:dyDescent="0.3">
      <c r="A37" s="19" t="s">
        <v>97</v>
      </c>
      <c r="B37" s="16">
        <f>SUMIF(טבלה2[City],טבלה23[[#This Row],[City]],טבלה2[Attendance])</f>
        <v>52154</v>
      </c>
      <c r="C37" s="16">
        <f>SUMIF(טבלה2[City],טבלה23[[#This Row],[City]],טבלה2[Arrests])</f>
        <v>17</v>
      </c>
      <c r="D37" s="18">
        <f>טבלה23[[#This Row],[Arrests]]/טבלה23[[#This Row],[Attendance]]</f>
        <v>3.2595774053763852E-4</v>
      </c>
      <c r="E37" s="16">
        <f>SUMIF(טבלה2[City],טבלה23[[#This Row],[City]],טבלה2[Attendance2])</f>
        <v>64061</v>
      </c>
      <c r="F37" s="16">
        <f>SUMIF(טבלה2[City],טבלה23[[#This Row],[City]],טבלה2[Arrests3])</f>
        <v>53</v>
      </c>
      <c r="G37" s="18">
        <f>טבלה23[[#This Row],[Arrests3]]/טבלה23[[#This Row],[Attendance2]]</f>
        <v>8.2733644495090622E-4</v>
      </c>
      <c r="H37" s="16">
        <f>SUMIF(טבלה2[City],טבלה23[[#This Row],[City]],טבלה2[Attendance5])</f>
        <v>89758</v>
      </c>
      <c r="I37" s="16">
        <f>SUMIF(טבלה2[City],טבלה23[[#This Row],[City]],טבלה2[Arrests6])</f>
        <v>25</v>
      </c>
      <c r="J37" s="18">
        <f>טבלה23[[#This Row],[Arrests6]]/טבלה23[[#This Row],[Attendance5]]</f>
        <v>2.7852670514048888E-4</v>
      </c>
      <c r="K37" s="16">
        <f>SUMIF(טבלה2[City],טבלה23[[#This Row],[City]],טבלה2[Attendance8])</f>
        <v>74898</v>
      </c>
      <c r="L37" s="16">
        <f>SUMIF(טבלה2[City],טבלה23[[#This Row],[City]],טבלה2[Arrests9])</f>
        <v>14</v>
      </c>
      <c r="M37" s="18">
        <f>טבלה23[[#This Row],[Arrests9]]/טבלה23[[#This Row],[Attendance8]]</f>
        <v>1.8692087906219124E-4</v>
      </c>
      <c r="N37" s="16">
        <f>SUMIF(טבלה2[City],טבלה23[[#This Row],[City]],טבלה2[Attendance11])</f>
        <v>112599</v>
      </c>
      <c r="O37" s="16">
        <f>SUMIF(טבלה2[City],טבלה23[[#This Row],[City]],טבלה2[Arrests12])</f>
        <v>59</v>
      </c>
      <c r="P37" s="18">
        <f>טבלה23[[#This Row],[Arrests12]]/טבלה23[[#This Row],[Attendance11]]</f>
        <v>5.2398333910603113E-4</v>
      </c>
      <c r="Q37" s="16">
        <f>SUMIF(טבלה2[City],טבלה23[[#This Row],[City]],טבלה2[Attendance14])</f>
        <v>126585</v>
      </c>
      <c r="R37" s="16">
        <f>SUMIF(טבלה2[City],טבלה23[[#This Row],[City]],טבלה2[Arrests15])</f>
        <v>85</v>
      </c>
      <c r="S37" s="18">
        <f>טבלה23[[#This Row],[Arrests15]]/טבלה23[[#This Row],[Attendance14]]</f>
        <v>6.7148556306039419E-4</v>
      </c>
      <c r="T37" s="16">
        <f>SUMIF(טבלה2[City],טבלה23[[#This Row],[City]],טבלה2[Attendance17])</f>
        <v>117081</v>
      </c>
      <c r="U37" s="16">
        <f>SUMIF(טבלה2[City],טבלה23[[#This Row],[City]],טבלה2[Arrests18])</f>
        <v>13</v>
      </c>
      <c r="V37" s="18">
        <f>טבלה23[[#This Row],[Arrests18]]/טבלה23[[#This Row],[Attendance17]]</f>
        <v>1.1103424125178295E-4</v>
      </c>
    </row>
    <row r="38" spans="1:22" x14ac:dyDescent="0.3">
      <c r="A38" s="19" t="s">
        <v>98</v>
      </c>
      <c r="B38" s="16">
        <f>SUMIF(טבלה2[City],טבלה23[[#This Row],[City]],טבלה2[Attendance])</f>
        <v>100957</v>
      </c>
      <c r="C38" s="16">
        <f>SUMIF(טבלה2[City],טבלה23[[#This Row],[City]],טבלה2[Arrests])</f>
        <v>10</v>
      </c>
      <c r="D38" s="18">
        <f>טבלה23[[#This Row],[Arrests]]/טבלה23[[#This Row],[Attendance]]</f>
        <v>9.9052071674079066E-5</v>
      </c>
      <c r="E38" s="16">
        <f>SUMIF(טבלה2[City],טבלה23[[#This Row],[City]],טבלה2[Attendance2])</f>
        <v>112895</v>
      </c>
      <c r="F38" s="16">
        <f>SUMIF(טבלה2[City],טבלה23[[#This Row],[City]],טבלה2[Arrests3])</f>
        <v>51</v>
      </c>
      <c r="G38" s="18">
        <f>טבלה23[[#This Row],[Arrests3]]/טבלה23[[#This Row],[Attendance2]]</f>
        <v>4.5174719872447851E-4</v>
      </c>
      <c r="H38" s="16">
        <f>SUMIF(טבלה2[City],טבלה23[[#This Row],[City]],טבלה2[Attendance5])</f>
        <v>88396</v>
      </c>
      <c r="I38" s="16">
        <f>SUMIF(טבלה2[City],טבלה23[[#This Row],[City]],טבלה2[Arrests6])</f>
        <v>48</v>
      </c>
      <c r="J38" s="18">
        <f>טבלה23[[#This Row],[Arrests6]]/טבלה23[[#This Row],[Attendance5]]</f>
        <v>5.430109959726684E-4</v>
      </c>
      <c r="K38" s="16">
        <f>SUMIF(טבלה2[City],טבלה23[[#This Row],[City]],טבלה2[Attendance8])</f>
        <v>77836</v>
      </c>
      <c r="L38" s="16">
        <f>SUMIF(טבלה2[City],טבלה23[[#This Row],[City]],טבלה2[Arrests9])</f>
        <v>17</v>
      </c>
      <c r="M38" s="18">
        <f>טבלה23[[#This Row],[Arrests9]]/טבלה23[[#This Row],[Attendance8]]</f>
        <v>2.1840793463178993E-4</v>
      </c>
      <c r="N38" s="16">
        <f>SUMIF(טבלה2[City],טבלה23[[#This Row],[City]],טבלה2[Attendance11])</f>
        <v>77452</v>
      </c>
      <c r="O38" s="16">
        <f>SUMIF(טבלה2[City],טבלה23[[#This Row],[City]],טבלה2[Arrests12])</f>
        <v>24</v>
      </c>
      <c r="P38" s="18">
        <f>טבלה23[[#This Row],[Arrests12]]/טבלה23[[#This Row],[Attendance11]]</f>
        <v>3.0986933842896248E-4</v>
      </c>
      <c r="Q38" s="16">
        <f>SUMIF(טבלה2[City],טבלה23[[#This Row],[City]],טבלה2[Attendance14])</f>
        <v>119575</v>
      </c>
      <c r="R38" s="16">
        <f>SUMIF(טבלה2[City],טבלה23[[#This Row],[City]],טבלה2[Arrests15])</f>
        <v>23</v>
      </c>
      <c r="S38" s="18">
        <f>טבלה23[[#This Row],[Arrests15]]/טבלה23[[#This Row],[Attendance14]]</f>
        <v>1.9234789880827932E-4</v>
      </c>
      <c r="T38" s="16">
        <f>SUMIF(טבלה2[City],טבלה23[[#This Row],[City]],טבלה2[Attendance17])</f>
        <v>81281</v>
      </c>
      <c r="U38" s="16">
        <f>SUMIF(טבלה2[City],טבלה23[[#This Row],[City]],טבלה2[Arrests18])</f>
        <v>9</v>
      </c>
      <c r="V38" s="18">
        <f>טבלה23[[#This Row],[Arrests18]]/טבלה23[[#This Row],[Attendance17]]</f>
        <v>1.1072698416604126E-4</v>
      </c>
    </row>
    <row r="39" spans="1:22" x14ac:dyDescent="0.3">
      <c r="A39" s="19" t="s">
        <v>99</v>
      </c>
      <c r="B39" s="16">
        <f>SUMIF(טבלה2[City],טבלה23[[#This Row],[City]],טבלה2[Attendance])</f>
        <v>67434</v>
      </c>
      <c r="C39" s="16">
        <f>SUMIF(טבלה2[City],טבלה23[[#This Row],[City]],טבלה2[Arrests])</f>
        <v>21</v>
      </c>
      <c r="D39" s="18">
        <f>טבלה23[[#This Row],[Arrests]]/טבלה23[[#This Row],[Attendance]]</f>
        <v>3.1141560637067356E-4</v>
      </c>
      <c r="E39" s="16">
        <f>SUMIF(טבלה2[City],טבלה23[[#This Row],[City]],טבלה2[Attendance2])</f>
        <v>53852</v>
      </c>
      <c r="F39" s="16">
        <f>SUMIF(טבלה2[City],טבלה23[[#This Row],[City]],טבלה2[Arrests3])</f>
        <v>16</v>
      </c>
      <c r="G39" s="18">
        <f>טבלה23[[#This Row],[Arrests3]]/טבלה23[[#This Row],[Attendance2]]</f>
        <v>2.9711059942063434E-4</v>
      </c>
      <c r="H39" s="16">
        <f>SUMIF(טבלה2[City],טבלה23[[#This Row],[City]],טבלה2[Attendance5])</f>
        <v>49484</v>
      </c>
      <c r="I39" s="16">
        <f>SUMIF(טבלה2[City],טבלה23[[#This Row],[City]],טבלה2[Arrests6])</f>
        <v>27</v>
      </c>
      <c r="J39" s="18">
        <f>טבלה23[[#This Row],[Arrests6]]/טבלה23[[#This Row],[Attendance5]]</f>
        <v>5.4563091100153589E-4</v>
      </c>
      <c r="K39" s="16">
        <f>SUMIF(טבלה2[City],טבלה23[[#This Row],[City]],טבלה2[Attendance8])</f>
        <v>65038</v>
      </c>
      <c r="L39" s="16">
        <f>SUMIF(טבלה2[City],טבלה23[[#This Row],[City]],טבלה2[Arrests9])</f>
        <v>3</v>
      </c>
      <c r="M39" s="18">
        <f>טבלה23[[#This Row],[Arrests9]]/טבלה23[[#This Row],[Attendance8]]</f>
        <v>4.6126879670346567E-5</v>
      </c>
      <c r="N39" s="16">
        <f>SUMIF(טבלה2[City],טבלה23[[#This Row],[City]],טבלה2[Attendance11])</f>
        <v>62886</v>
      </c>
      <c r="O39" s="16">
        <f>SUMIF(טבלה2[City],טבלה23[[#This Row],[City]],טבלה2[Arrests12])</f>
        <v>49</v>
      </c>
      <c r="P39" s="18">
        <f>טבלה23[[#This Row],[Arrests12]]/טבלה23[[#This Row],[Attendance11]]</f>
        <v>7.7918773653913435E-4</v>
      </c>
      <c r="Q39" s="16">
        <f>SUMIF(טבלה2[City],טבלה23[[#This Row],[City]],טבלה2[Attendance14])</f>
        <v>56605</v>
      </c>
      <c r="R39" s="16">
        <f>SUMIF(טבלה2[City],טבלה23[[#This Row],[City]],טבלה2[Arrests15])</f>
        <v>66</v>
      </c>
      <c r="S39" s="18">
        <f>טבלה23[[#This Row],[Arrests15]]/טבלה23[[#This Row],[Attendance14]]</f>
        <v>1.165974737214027E-3</v>
      </c>
      <c r="T39" s="16">
        <f>SUMIF(טבלה2[City],טבלה23[[#This Row],[City]],טבלה2[Attendance17])</f>
        <v>72167</v>
      </c>
      <c r="U39" s="16">
        <f>SUMIF(טבלה2[City],טבלה23[[#This Row],[City]],טבלה2[Arrests18])</f>
        <v>2</v>
      </c>
      <c r="V39" s="18">
        <f>טבלה23[[#This Row],[Arrests18]]/טבלה23[[#This Row],[Attendance17]]</f>
        <v>2.7713497859132291E-5</v>
      </c>
    </row>
    <row r="40" spans="1:22" x14ac:dyDescent="0.3">
      <c r="A40" s="19" t="s">
        <v>100</v>
      </c>
      <c r="B40" s="16">
        <f>SUMIF(טבלה2[City],טבלה23[[#This Row],[City]],טבלה2[Attendance])</f>
        <v>76847</v>
      </c>
      <c r="C40" s="16">
        <f>SUMIF(טבלה2[City],טבלה23[[#This Row],[City]],טבלה2[Arrests])</f>
        <v>53</v>
      </c>
      <c r="D40" s="18">
        <f>טבלה23[[#This Row],[Arrests]]/טבלה23[[#This Row],[Attendance]]</f>
        <v>6.8968209559254099E-4</v>
      </c>
      <c r="E40" s="16">
        <f>SUMIF(טבלה2[City],טבלה23[[#This Row],[City]],טבלה2[Attendance2])</f>
        <v>121830</v>
      </c>
      <c r="F40" s="16">
        <f>SUMIF(טבלה2[City],טבלה23[[#This Row],[City]],טבלה2[Arrests3])</f>
        <v>20</v>
      </c>
      <c r="G40" s="18">
        <f>טבלה23[[#This Row],[Arrests3]]/טבלה23[[#This Row],[Attendance2]]</f>
        <v>1.6416317819912992E-4</v>
      </c>
      <c r="H40" s="16">
        <f>SUMIF(טבלה2[City],טבלה23[[#This Row],[City]],טבלה2[Attendance5])</f>
        <v>171200</v>
      </c>
      <c r="I40" s="16">
        <f>SUMIF(טבלה2[City],טבלה23[[#This Row],[City]],טבלה2[Arrests6])</f>
        <v>27</v>
      </c>
      <c r="J40" s="18">
        <f>טבלה23[[#This Row],[Arrests6]]/טבלה23[[#This Row],[Attendance5]]</f>
        <v>1.5771028037383177E-4</v>
      </c>
      <c r="K40" s="16">
        <f>SUMIF(טבלה2[City],טבלה23[[#This Row],[City]],טבלה2[Attendance8])</f>
        <v>141898</v>
      </c>
      <c r="L40" s="16">
        <f>SUMIF(טבלה2[City],טבלה23[[#This Row],[City]],טבלה2[Arrests9])</f>
        <v>13</v>
      </c>
      <c r="M40" s="18">
        <f>טבלה23[[#This Row],[Arrests9]]/טבלה23[[#This Row],[Attendance8]]</f>
        <v>9.1615103806959932E-5</v>
      </c>
      <c r="N40" s="16">
        <f>SUMIF(טבלה2[City],טבלה23[[#This Row],[City]],טבלה2[Attendance11])</f>
        <v>203445</v>
      </c>
      <c r="O40" s="16">
        <f>SUMIF(טבלה2[City],טבלה23[[#This Row],[City]],טבלה2[Arrests12])</f>
        <v>80</v>
      </c>
      <c r="P40" s="18">
        <f>טבלה23[[#This Row],[Arrests12]]/טבלה23[[#This Row],[Attendance11]]</f>
        <v>3.9322667059893336E-4</v>
      </c>
      <c r="Q40" s="16">
        <f>SUMIF(טבלה2[City],טבלה23[[#This Row],[City]],טבלה2[Attendance14])</f>
        <v>185644</v>
      </c>
      <c r="R40" s="16">
        <f>SUMIF(טבלה2[City],טבלה23[[#This Row],[City]],טבלה2[Arrests15])</f>
        <v>45</v>
      </c>
      <c r="S40" s="18">
        <f>טבלה23[[#This Row],[Arrests15]]/טבלה23[[#This Row],[Attendance14]]</f>
        <v>2.4239943116933485E-4</v>
      </c>
      <c r="T40" s="16">
        <f>SUMIF(טבלה2[City],טבלה23[[#This Row],[City]],טבלה2[Attendance17])</f>
        <v>186278</v>
      </c>
      <c r="U40" s="16">
        <f>SUMIF(טבלה2[City],טבלה23[[#This Row],[City]],טבלה2[Arrests18])</f>
        <v>94</v>
      </c>
      <c r="V40" s="18">
        <f>טבלה23[[#This Row],[Arrests18]]/טבלה23[[#This Row],[Attendance17]]</f>
        <v>5.0462212392230962E-4</v>
      </c>
    </row>
    <row r="41" spans="1:22" x14ac:dyDescent="0.3">
      <c r="A41" s="19" t="s">
        <v>71</v>
      </c>
      <c r="B41" s="16">
        <f>SUMIF(טבלה2[City],טבלה23[[#This Row],[City]],טבלה2[Attendance])</f>
        <v>128153</v>
      </c>
      <c r="C41" s="16">
        <f>SUMIF(טבלה2[City],טבלה23[[#This Row],[City]],טבלה2[Arrests])</f>
        <v>47</v>
      </c>
      <c r="D41" s="18">
        <f>טבלה23[[#This Row],[Arrests]]/טבלה23[[#This Row],[Attendance]]</f>
        <v>3.6674912019227018E-4</v>
      </c>
      <c r="E41" s="16">
        <f>SUMIF(טבלה2[City],טבלה23[[#This Row],[City]],טבלה2[Attendance2])</f>
        <v>140495</v>
      </c>
      <c r="F41" s="16">
        <f>SUMIF(טבלה2[City],טבלה23[[#This Row],[City]],טבלה2[Arrests3])</f>
        <v>148</v>
      </c>
      <c r="G41" s="18">
        <f>טבלה23[[#This Row],[Arrests3]]/טבלה23[[#This Row],[Attendance2]]</f>
        <v>1.0534182711128509E-3</v>
      </c>
      <c r="H41" s="16">
        <f>SUMIF(טבלה2[City],טבלה23[[#This Row],[City]],טבלה2[Attendance5])</f>
        <v>93765</v>
      </c>
      <c r="I41" s="16">
        <f>SUMIF(טבלה2[City],טבלה23[[#This Row],[City]],טבלה2[Arrests6])</f>
        <v>55</v>
      </c>
      <c r="J41" s="18">
        <f>טבלה23[[#This Row],[Arrests6]]/טבלה23[[#This Row],[Attendance5]]</f>
        <v>5.8657281501626405E-4</v>
      </c>
      <c r="K41" s="16">
        <f>SUMIF(טבלה2[City],טבלה23[[#This Row],[City]],טבלה2[Attendance8])</f>
        <v>95188</v>
      </c>
      <c r="L41" s="16">
        <f>SUMIF(טבלה2[City],טבלה23[[#This Row],[City]],טבלה2[Arrests9])</f>
        <v>35</v>
      </c>
      <c r="M41" s="18">
        <f>טבלה23[[#This Row],[Arrests9]]/טבלה23[[#This Row],[Attendance8]]</f>
        <v>3.6769340673194098E-4</v>
      </c>
      <c r="N41" s="16">
        <f>SUMIF(טבלה2[City],טבלה23[[#This Row],[City]],טבלה2[Attendance11])</f>
        <v>74075</v>
      </c>
      <c r="O41" s="16">
        <f>SUMIF(טבלה2[City],טבלה23[[#This Row],[City]],טבלה2[Arrests12])</f>
        <v>40</v>
      </c>
      <c r="P41" s="18">
        <f>טבלה23[[#This Row],[Arrests12]]/טבלה23[[#This Row],[Attendance11]]</f>
        <v>5.399932500843739E-4</v>
      </c>
      <c r="Q41" s="16">
        <f>SUMIF(טבלה2[City],טבלה23[[#This Row],[City]],טבלה2[Attendance14])</f>
        <v>76191</v>
      </c>
      <c r="R41" s="16">
        <f>SUMIF(טבלה2[City],טבלה23[[#This Row],[City]],טבלה2[Arrests15])</f>
        <v>17</v>
      </c>
      <c r="S41" s="18">
        <f>טבלה23[[#This Row],[Arrests15]]/טבלה23[[#This Row],[Attendance14]]</f>
        <v>2.2312346602617106E-4</v>
      </c>
      <c r="T41" s="16">
        <f>SUMIF(טבלה2[City],טבלה23[[#This Row],[City]],טבלה2[Attendance17])</f>
        <v>88977</v>
      </c>
      <c r="U41" s="16">
        <f>SUMIF(טבלה2[City],טבלה23[[#This Row],[City]],טבלה2[Arrests18])</f>
        <v>10</v>
      </c>
      <c r="V41" s="18">
        <f>טבלה23[[#This Row],[Arrests18]]/טבלה23[[#This Row],[Attendance17]]</f>
        <v>1.1238859480539914E-4</v>
      </c>
    </row>
    <row r="42" spans="1:22" x14ac:dyDescent="0.3">
      <c r="A42" s="19" t="s">
        <v>101</v>
      </c>
      <c r="B42" s="16">
        <f>SUMIF(טבלה2[City],טבלה23[[#This Row],[City]],טבלה2[Attendance])</f>
        <v>86776</v>
      </c>
      <c r="C42" s="16">
        <f>SUMIF(טבלה2[City],טבלה23[[#This Row],[City]],טבלה2[Arrests])</f>
        <v>4</v>
      </c>
      <c r="D42" s="18">
        <f>טבלה23[[#This Row],[Arrests]]/טבלה23[[#This Row],[Attendance]]</f>
        <v>4.6095694662118557E-5</v>
      </c>
      <c r="E42" s="16">
        <f>SUMIF(טבלה2[City],טבלה23[[#This Row],[City]],טבלה2[Attendance2])</f>
        <v>72263</v>
      </c>
      <c r="F42" s="16">
        <f>SUMIF(טבלה2[City],טבלה23[[#This Row],[City]],טבלה2[Arrests3])</f>
        <v>4</v>
      </c>
      <c r="G42" s="18">
        <f>טבלה23[[#This Row],[Arrests3]]/טבלה23[[#This Row],[Attendance2]]</f>
        <v>5.535336202482598E-5</v>
      </c>
      <c r="H42" s="16">
        <f>SUMIF(טבלה2[City],טבלה23[[#This Row],[City]],טבלה2[Attendance5])</f>
        <v>63486</v>
      </c>
      <c r="I42" s="16">
        <f>SUMIF(טבלה2[City],טבלה23[[#This Row],[City]],טבלה2[Arrests6])</f>
        <v>14</v>
      </c>
      <c r="J42" s="18">
        <f>טבלה23[[#This Row],[Arrests6]]/טבלה23[[#This Row],[Attendance5]]</f>
        <v>2.2052105976120718E-4</v>
      </c>
      <c r="K42" s="16">
        <f>SUMIF(טבלה2[City],טבלה23[[#This Row],[City]],טבלה2[Attendance8])</f>
        <v>52337</v>
      </c>
      <c r="L42" s="16">
        <f>SUMIF(טבלה2[City],טבלה23[[#This Row],[City]],טבלה2[Arrests9])</f>
        <v>8</v>
      </c>
      <c r="M42" s="18">
        <f>טבלה23[[#This Row],[Arrests9]]/טבלה23[[#This Row],[Attendance8]]</f>
        <v>1.5285553241492635E-4</v>
      </c>
      <c r="N42" s="16">
        <f>SUMIF(טבלה2[City],טבלה23[[#This Row],[City]],טבלה2[Attendance11])</f>
        <v>65817</v>
      </c>
      <c r="O42" s="16">
        <f>SUMIF(טבלה2[City],טבלה23[[#This Row],[City]],טבלה2[Arrests12])</f>
        <v>14</v>
      </c>
      <c r="P42" s="18">
        <f>טבלה23[[#This Row],[Arrests12]]/טבלה23[[#This Row],[Attendance11]]</f>
        <v>2.1271100171688166E-4</v>
      </c>
      <c r="Q42" s="16">
        <f>SUMIF(טבלה2[City],טבלה23[[#This Row],[City]],טבלה2[Attendance14])</f>
        <v>59757</v>
      </c>
      <c r="R42" s="16">
        <f>SUMIF(טבלה2[City],טבלה23[[#This Row],[City]],טבלה2[Arrests15])</f>
        <v>17</v>
      </c>
      <c r="S42" s="18">
        <f>טבלה23[[#This Row],[Arrests15]]/טבלה23[[#This Row],[Attendance14]]</f>
        <v>2.8448549960674065E-4</v>
      </c>
      <c r="T42" s="16">
        <f>SUMIF(טבלה2[City],טבלה23[[#This Row],[City]],טבלה2[Attendance17])</f>
        <v>39844</v>
      </c>
      <c r="U42" s="16">
        <f>SUMIF(טבלה2[City],טבלה23[[#This Row],[City]],טבלה2[Arrests18])</f>
        <v>17</v>
      </c>
      <c r="V42" s="18">
        <f>טבלה23[[#This Row],[Arrests18]]/טבלה23[[#This Row],[Attendance17]]</f>
        <v>4.2666398955928117E-4</v>
      </c>
    </row>
    <row r="43" spans="1:22" x14ac:dyDescent="0.3">
      <c r="A43" s="19" t="s">
        <v>77</v>
      </c>
      <c r="B43" s="16">
        <f>SUMIF(טבלה2[City],טבלה23[[#This Row],[City]],טבלה2[Attendance])</f>
        <v>51539</v>
      </c>
      <c r="C43" s="16">
        <f>SUMIF(טבלה2[City],טבלה23[[#This Row],[City]],טבלה2[Arrests])</f>
        <v>17</v>
      </c>
      <c r="D43" s="18">
        <f>טבלה23[[#This Row],[Arrests]]/טבלה23[[#This Row],[Attendance]]</f>
        <v>3.2984730010283476E-4</v>
      </c>
      <c r="E43" s="16">
        <f>SUMIF(טבלה2[City],טבלה23[[#This Row],[City]],טבלה2[Attendance2])</f>
        <v>61051</v>
      </c>
      <c r="F43" s="16">
        <f>SUMIF(טבלה2[City],טבלה23[[#This Row],[City]],טבלה2[Arrests3])</f>
        <v>12</v>
      </c>
      <c r="G43" s="18">
        <f>טבלה23[[#This Row],[Arrests3]]/טבלה23[[#This Row],[Attendance2]]</f>
        <v>1.9655697695369445E-4</v>
      </c>
      <c r="H43" s="16">
        <f>SUMIF(טבלה2[City],טבלה23[[#This Row],[City]],טבלה2[Attendance5])</f>
        <v>54974</v>
      </c>
      <c r="I43" s="16">
        <f>SUMIF(טבלה2[City],טבלה23[[#This Row],[City]],טבלה2[Arrests6])</f>
        <v>3</v>
      </c>
      <c r="J43" s="18">
        <f>טבלה23[[#This Row],[Arrests6]]/טבלה23[[#This Row],[Attendance5]]</f>
        <v>5.457125186451777E-5</v>
      </c>
      <c r="K43" s="16">
        <f>SUMIF(טבלה2[City],טבלה23[[#This Row],[City]],טבלה2[Attendance8])</f>
        <v>36204</v>
      </c>
      <c r="L43" s="16">
        <f>SUMIF(טבלה2[City],טבלה23[[#This Row],[City]],טבלה2[Arrests9])</f>
        <v>2</v>
      </c>
      <c r="M43" s="18">
        <f>טבלה23[[#This Row],[Arrests9]]/טבלה23[[#This Row],[Attendance8]]</f>
        <v>5.524251463926638E-5</v>
      </c>
      <c r="N43" s="16">
        <f>SUMIF(טבלה2[City],טבלה23[[#This Row],[City]],טבלה2[Attendance11])</f>
        <v>57371</v>
      </c>
      <c r="O43" s="16">
        <f>SUMIF(טבלה2[City],טבלה23[[#This Row],[City]],טבלה2[Arrests12])</f>
        <v>4</v>
      </c>
      <c r="P43" s="18">
        <f>טבלה23[[#This Row],[Arrests12]]/טבלה23[[#This Row],[Attendance11]]</f>
        <v>6.9721636366805529E-5</v>
      </c>
      <c r="Q43" s="16">
        <f>SUMIF(טבלה2[City],טבלה23[[#This Row],[City]],טבלה2[Attendance14])</f>
        <v>104722</v>
      </c>
      <c r="R43" s="16">
        <f>SUMIF(טבלה2[City],טבלה23[[#This Row],[City]],טבלה2[Arrests15])</f>
        <v>35</v>
      </c>
      <c r="S43" s="18">
        <f>טבלה23[[#This Row],[Arrests15]]/טבלה23[[#This Row],[Attendance14]]</f>
        <v>3.3421821584767291E-4</v>
      </c>
      <c r="T43" s="16">
        <f>SUMIF(טבלה2[City],טבלה23[[#This Row],[City]],טבלה2[Attendance17])</f>
        <v>91098</v>
      </c>
      <c r="U43" s="16">
        <f>SUMIF(טבלה2[City],טבלה23[[#This Row],[City]],טבלה2[Arrests18])</f>
        <v>48</v>
      </c>
      <c r="V43" s="18">
        <f>טבלה23[[#This Row],[Arrests18]]/טבלה23[[#This Row],[Attendance17]]</f>
        <v>5.2690509122044389E-4</v>
      </c>
    </row>
    <row r="44" spans="1:22" x14ac:dyDescent="0.3">
      <c r="A44" s="19" t="s">
        <v>102</v>
      </c>
      <c r="B44" s="16">
        <f>SUMIF(טבלה2[City],טבלה23[[#This Row],[City]],טבלה2[Attendance])</f>
        <v>62902</v>
      </c>
      <c r="C44" s="16">
        <f>SUMIF(טבלה2[City],טבלה23[[#This Row],[City]],טבלה2[Arrests])</f>
        <v>62</v>
      </c>
      <c r="D44" s="18">
        <f>טבלה23[[#This Row],[Arrests]]/טבלה23[[#This Row],[Attendance]]</f>
        <v>9.8566023337890688E-4</v>
      </c>
      <c r="E44" s="16">
        <f>SUMIF(טבלה2[City],טבלה23[[#This Row],[City]],טבלה2[Attendance2])</f>
        <v>59119</v>
      </c>
      <c r="F44" s="16">
        <f>SUMIF(טבלה2[City],טבלה23[[#This Row],[City]],טבלה2[Arrests3])</f>
        <v>132</v>
      </c>
      <c r="G44" s="18">
        <f>טבלה23[[#This Row],[Arrests3]]/טבלה23[[#This Row],[Attendance2]]</f>
        <v>2.2327847223396879E-3</v>
      </c>
      <c r="H44" s="16">
        <f>SUMIF(טבלה2[City],טבלה23[[#This Row],[City]],טבלה2[Attendance5])</f>
        <v>59395</v>
      </c>
      <c r="I44" s="16">
        <f>SUMIF(טבלה2[City],טבלה23[[#This Row],[City]],טבלה2[Arrests6])</f>
        <v>39</v>
      </c>
      <c r="J44" s="18">
        <f>טבלה23[[#This Row],[Arrests6]]/טבלה23[[#This Row],[Attendance5]]</f>
        <v>6.5662092768751579E-4</v>
      </c>
      <c r="K44" s="16">
        <f>SUMIF(טבלה2[City],טבלה23[[#This Row],[City]],טבלה2[Attendance8])</f>
        <v>57543</v>
      </c>
      <c r="L44" s="16">
        <f>SUMIF(טבלה2[City],טבלה23[[#This Row],[City]],טבלה2[Arrests9])</f>
        <v>16</v>
      </c>
      <c r="M44" s="18">
        <f>טבלה23[[#This Row],[Arrests9]]/טבלה23[[#This Row],[Attendance8]]</f>
        <v>2.7805293432737256E-4</v>
      </c>
      <c r="N44" s="16">
        <f>SUMIF(טבלה2[City],טבלה23[[#This Row],[City]],טבלה2[Attendance11])</f>
        <v>55139</v>
      </c>
      <c r="O44" s="16">
        <f>SUMIF(טבלה2[City],טבלה23[[#This Row],[City]],טבלה2[Arrests12])</f>
        <v>11</v>
      </c>
      <c r="P44" s="18">
        <f>טבלה23[[#This Row],[Arrests12]]/טבלה23[[#This Row],[Attendance11]]</f>
        <v>1.9949581965577904E-4</v>
      </c>
      <c r="Q44" s="16">
        <f>SUMIF(טבלה2[City],טבלה23[[#This Row],[City]],טבלה2[Attendance14])</f>
        <v>82859</v>
      </c>
      <c r="R44" s="16">
        <f>SUMIF(טבלה2[City],טבלה23[[#This Row],[City]],טבלה2[Arrests15])</f>
        <v>23</v>
      </c>
      <c r="S44" s="18">
        <f>טבלה23[[#This Row],[Arrests15]]/טבלה23[[#This Row],[Attendance14]]</f>
        <v>2.7757998527619209E-4</v>
      </c>
      <c r="T44" s="16">
        <f>SUMIF(טבלה2[City],טבלה23[[#This Row],[City]],טבלה2[Attendance17])</f>
        <v>106160</v>
      </c>
      <c r="U44" s="16">
        <f>SUMIF(טבלה2[City],טבלה23[[#This Row],[City]],טבלה2[Arrests18])</f>
        <v>55</v>
      </c>
      <c r="V44" s="18">
        <f>טבלה23[[#This Row],[Arrests18]]/טבלה23[[#This Row],[Attendance17]]</f>
        <v>5.1808590806330071E-4</v>
      </c>
    </row>
    <row r="45" spans="1:22" x14ac:dyDescent="0.3">
      <c r="B45" s="16">
        <f>SUBTOTAL(109,טבלה23[Attendance])</f>
        <v>3809836</v>
      </c>
      <c r="C45" s="16">
        <f>SUBTOTAL(109,טבלה23[Arrests])</f>
        <v>1800</v>
      </c>
      <c r="D45" s="18">
        <f>טבלה23[[#Totals],[Arrests]]/טבלה23[[#Totals],[Attendance]]</f>
        <v>4.7246128179795663E-4</v>
      </c>
      <c r="E45" s="16">
        <f>SUBTOTAL(109,טבלה23[Attendance2])</f>
        <v>4082137</v>
      </c>
      <c r="F45" s="16">
        <f>SUBTOTAL(109,טבלה23[Arrests3])</f>
        <v>1804</v>
      </c>
      <c r="G45" s="18">
        <f>טבלה23[[#Totals],[Arrests3]]/טבלה23[[#Totals],[Attendance2]]</f>
        <v>4.4192539348875354E-4</v>
      </c>
      <c r="H45" s="16">
        <f>SUBTOTAL(109,טבלה23[Attendance5])</f>
        <v>4431133</v>
      </c>
      <c r="I45" s="16">
        <f>SUBTOTAL(109,טבלה23[Arrests6])</f>
        <v>1592</v>
      </c>
      <c r="J45" s="18">
        <f>טבלה23[[#Totals],[Arrests6]]/טבלה23[[#Totals],[Attendance5]]</f>
        <v>3.5927605874163559E-4</v>
      </c>
      <c r="K45" s="16">
        <f>SUBTOTAL(109,טבלה23[Attendance8])</f>
        <v>3748456</v>
      </c>
      <c r="L45" s="16">
        <f>SUBTOTAL(109,טבלה23[Arrests9])</f>
        <v>607</v>
      </c>
      <c r="M45" s="18">
        <f>טבלה23[[#Totals],[Arrests9]]/טבלה23[[#Totals],[Attendance8]]</f>
        <v>1.6193334002053111E-4</v>
      </c>
      <c r="N45" s="16">
        <f>SUBTOTAL(109,טבלה23[Attendance11])</f>
        <v>4273753</v>
      </c>
      <c r="O45" s="16">
        <f>SUBTOTAL(109,טבלה23[Arrests12])</f>
        <v>1443</v>
      </c>
      <c r="P45" s="18">
        <f>טבלה23[[#Totals],[Arrests12]]/טבלה23[[#Totals],[Attendance11]]</f>
        <v>3.3764234854003026E-4</v>
      </c>
      <c r="Q45" s="16">
        <f>SUBTOTAL(109,טבלה23[Attendance14])</f>
        <v>4598331</v>
      </c>
      <c r="R45" s="16">
        <f>SUBTOTAL(109,טבלה23[Arrests15])</f>
        <v>1573</v>
      </c>
      <c r="S45" s="18">
        <f>טבלה23[[#Totals],[Arrests15]]/טבלה23[[#Totals],[Attendance14]]</f>
        <v>3.4208063751826477E-4</v>
      </c>
      <c r="T45" s="16">
        <f>SUBTOTAL(109,טבלה23[Attendance17])</f>
        <v>4455074</v>
      </c>
      <c r="U45" s="16">
        <f>SUBTOTAL(109,טבלה23[Arrests18])</f>
        <v>1356</v>
      </c>
      <c r="V45" s="18">
        <f>טבלה23[[#Totals],[Arrests18]]/טבלה23[[#Totals],[Attendance17]]</f>
        <v>3.0437204858998974E-4</v>
      </c>
    </row>
    <row r="46" spans="1:22" x14ac:dyDescent="0.3">
      <c r="B46" s="16"/>
      <c r="C46" s="16"/>
      <c r="D46" s="18"/>
      <c r="E46" s="16"/>
      <c r="F46" s="16"/>
      <c r="G46" s="18"/>
      <c r="H46" s="16"/>
      <c r="I46" s="16"/>
      <c r="J46" s="18"/>
      <c r="K46" s="16"/>
      <c r="L46" s="16"/>
      <c r="M46" s="18"/>
      <c r="N46" s="16"/>
      <c r="O46" s="16"/>
      <c r="P46" s="18"/>
      <c r="Q46" s="16"/>
      <c r="R46" s="16"/>
      <c r="S46" s="18"/>
      <c r="T46" s="16"/>
      <c r="U46" s="16"/>
      <c r="V46" s="18"/>
    </row>
  </sheetData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3rd_4th Divisions arrests</vt:lpstr>
      <vt:lpstr>Arrests by City</vt:lpstr>
      <vt:lpstr>'3rd_4th Divisions arrests'!Extract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Gralnik</dc:creator>
  <cp:lastModifiedBy>Omer Gralnik</cp:lastModifiedBy>
  <dcterms:created xsi:type="dcterms:W3CDTF">2020-04-11T12:29:03Z</dcterms:created>
  <dcterms:modified xsi:type="dcterms:W3CDTF">2020-04-11T15:41:50Z</dcterms:modified>
</cp:coreProperties>
</file>